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kalani/Downloads/SHVO/"/>
    </mc:Choice>
  </mc:AlternateContent>
  <xr:revisionPtr revIDLastSave="0" documentId="13_ncr:1_{88584FCB-E97B-A645-831F-BF87C3DC9977}" xr6:coauthVersionLast="47" xr6:coauthVersionMax="47" xr10:uidLastSave="{00000000-0000-0000-0000-000000000000}"/>
  <bookViews>
    <workbookView xWindow="0" yWindow="560" windowWidth="33600" windowHeight="19360" firstSheet="1" activeTab="7" xr2:uid="{3E0C0736-E620-BC40-8D97-B099791C3298}"/>
  </bookViews>
  <sheets>
    <sheet name="Scenario Summary" sheetId="15" state="veryHidden" r:id="rId1"/>
    <sheet name="Grand Prairie- Exec Summary (1)" sheetId="1" r:id="rId2"/>
    <sheet name="Grand Prairie- Loan Calcs (2)" sheetId="2" r:id="rId3"/>
    <sheet name="Grand Prairie Const Sched (3)" sheetId="3" r:id="rId4"/>
    <sheet name="Grand Prairie- Pro Forma (3)" sheetId="4" r:id="rId5"/>
    <sheet name="Grand Prairie- Loan Amort (4)" sheetId="5" r:id="rId6"/>
    <sheet name="Grand Prairi-IRRWorksht10Yr (5)" sheetId="6" r:id="rId7"/>
    <sheet name="Grand Prairie Rent Comps" sheetId="12" r:id="rId8"/>
    <sheet name="Sales Comps" sheetId="13" r:id="rId9"/>
    <sheet name="Grand Prairie- Waterfall (7)" sheetId="7" state="veryHidden" r:id="rId10"/>
    <sheet name="Grand Prairie RE Taxes" sheetId="8" state="veryHidden" r:id="rId11"/>
    <sheet name="GP Fees" sheetId="9" state="veryHidden" r:id="rId12"/>
    <sheet name="GP Offsite Costs" sheetId="10" state="veryHidden" r:id="rId13"/>
    <sheet name="Grand Prairie Unit Mix" sheetId="11" state="veryHidden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</externalReferences>
  <definedNames>
    <definedName name="___CEI1" localSheetId="3">#REF!</definedName>
    <definedName name="___CEI1">#REF!</definedName>
    <definedName name="___CEI2" localSheetId="3">#REF!</definedName>
    <definedName name="___CEI2">#REF!</definedName>
    <definedName name="__CEI1">#REF!</definedName>
    <definedName name="__CEI2">#REF!</definedName>
    <definedName name="_0_OCC_UNITS">#REF!</definedName>
    <definedName name="_0_UNITS">#REF!</definedName>
    <definedName name="_1">#REF!</definedName>
    <definedName name="_1_OCC_UNITS">#REF!</definedName>
    <definedName name="_1_UNITS">#REF!</definedName>
    <definedName name="_10_OCC_UNITS">#REF!</definedName>
    <definedName name="_10_UNITS">#REF!</definedName>
    <definedName name="_11_OCC_UNITS">#REF!</definedName>
    <definedName name="_11_UNITS">#REF!</definedName>
    <definedName name="_12_OCC_UNITS">#REF!</definedName>
    <definedName name="_12_UNITS">#REF!</definedName>
    <definedName name="_13_OCC_UNITS">#REF!</definedName>
    <definedName name="_13_UNITS">#REF!</definedName>
    <definedName name="_2">#REF!</definedName>
    <definedName name="_2_OCC_UNITS">#REF!</definedName>
    <definedName name="_2_UNITS">#REF!</definedName>
    <definedName name="_2013">#REF!</definedName>
    <definedName name="_2013_PAGE2">#REF!</definedName>
    <definedName name="_2013_PAGE3">#REF!</definedName>
    <definedName name="_3">#REF!</definedName>
    <definedName name="_3_OCC_UNITS">#REF!</definedName>
    <definedName name="_3_UNITS">#REF!</definedName>
    <definedName name="_4">#N/A</definedName>
    <definedName name="_4_OCC_UNITS">#REF!</definedName>
    <definedName name="_4_UNITS">#REF!</definedName>
    <definedName name="_5">#N/A</definedName>
    <definedName name="_5_OCC_UNITS">#REF!</definedName>
    <definedName name="_5_UNITS">#REF!</definedName>
    <definedName name="_6">#N/A</definedName>
    <definedName name="_6_OCC_UNITS">#REF!</definedName>
    <definedName name="_6_UNITS">#REF!</definedName>
    <definedName name="_7">#N/A</definedName>
    <definedName name="_7_OCC_UNITS">#REF!</definedName>
    <definedName name="_7_UNITS">#REF!</definedName>
    <definedName name="_8">#N/A</definedName>
    <definedName name="_8_OCC_UNITS">#REF!</definedName>
    <definedName name="_8_UNITS">#REF!</definedName>
    <definedName name="_85_">#REF!</definedName>
    <definedName name="_9_OCC_UNITS">#REF!</definedName>
    <definedName name="_9_UNITS">#REF!</definedName>
    <definedName name="_A_OCC_UNITS">#REF!</definedName>
    <definedName name="_A_UNITS">#REF!</definedName>
    <definedName name="_B_OCC_UNITS">#REF!</definedName>
    <definedName name="_B_UNITS">#REF!</definedName>
    <definedName name="_C_OCC_UNITS">#REF!</definedName>
    <definedName name="_C_UNITS">#REF!</definedName>
    <definedName name="_CEI1">#REF!</definedName>
    <definedName name="_CEI2">#REF!</definedName>
    <definedName name="_CFR1">#REF!</definedName>
    <definedName name="_CFR2">#REF!</definedName>
    <definedName name="_F10_OCC_UNITS">#REF!</definedName>
    <definedName name="_Fill" hidden="1">'[1]Proforma 01-12 w COLA Plus'!#REF!</definedName>
    <definedName name="_N">#REF!</definedName>
    <definedName name="_Order1" hidden="1">255</definedName>
    <definedName name="_P">#REF!</definedName>
    <definedName name="_REQ1">'[2]Acq &amp; Redev'!$K$32</definedName>
    <definedName name="_SUM2">#REF!</definedName>
    <definedName name="_SUM3">#REF!</definedName>
    <definedName name="_TSF3">[3]Assumptions!#REF!</definedName>
    <definedName name="\A">#REF!</definedName>
    <definedName name="\C">#REF!</definedName>
    <definedName name="\H">'[4]Weekly Leasing Report'!#REF!</definedName>
    <definedName name="\L">#REF!</definedName>
    <definedName name="\M">#REF!</definedName>
    <definedName name="\N">#REF!</definedName>
    <definedName name="\O">'[4]Weekly Leasing Report'!#REF!</definedName>
    <definedName name="\P">#REF!</definedName>
    <definedName name="\R">#REF!</definedName>
    <definedName name="\S">#REF!</definedName>
    <definedName name="\W">#REF!</definedName>
    <definedName name="\Y">#REF!</definedName>
    <definedName name="A_OCC_UNITS">#REF!</definedName>
    <definedName name="A_UNITS">#REF!</definedName>
    <definedName name="Absorb_year_1">#REF!</definedName>
    <definedName name="Absorb_Year_2">#REF!</definedName>
    <definedName name="Absorb_Year_3">#REF!</definedName>
    <definedName name="Absorb_Year_4">#REF!</definedName>
    <definedName name="Absorption_Period">#REF!</definedName>
    <definedName name="Accessory_Building_1">'[5]92264 Input Assumptions'!$B$16</definedName>
    <definedName name="Accessory_Building_1_Area">'[5]92264 Input Assumptions'!$B$17</definedName>
    <definedName name="Accessory_Building_2">'[5]92264 Input Assumptions'!$B$18</definedName>
    <definedName name="Accessory_Building_2_Area">'[5]92264 Input Assumptions'!$B$19</definedName>
    <definedName name="Accessory_Building_3">'[5]92264 Input Assumptions'!$B$20</definedName>
    <definedName name="Accessory_Building_3_Area">'[5]92264 Input Assumptions'!$B$21</definedName>
    <definedName name="Accessory_Buildings">'[5]92264 Input Assumptions'!$B$97</definedName>
    <definedName name="Accrued_Depreciation">#REF!</definedName>
    <definedName name="Actual">[6]Actual!$A$2:$M$500</definedName>
    <definedName name="Actual_Age">[7]Assumptions!$B$30</definedName>
    <definedName name="AD_Val_Tax">#REF!</definedName>
    <definedName name="Additional_Costs">'[5]92264 Input Assumptions'!$B$41</definedName>
    <definedName name="Address">[8]Summary!$E$8</definedName>
    <definedName name="Admin">'[9]Direct Cap'!#REF!</definedName>
    <definedName name="Admin_Advert">#REF!</definedName>
    <definedName name="Admin_Aff">[10]AptModel!#REF!</definedName>
    <definedName name="Admin_Mkt">#REF!</definedName>
    <definedName name="Admin_psf_Aff">[10]AptModel!#REF!</definedName>
    <definedName name="Admin_psf_mkt">#REF!</definedName>
    <definedName name="Advertising">'[5]92264 Input Assumptions'!$B$54</definedName>
    <definedName name="Aff_Housing_Rent_Mo">#REF!</definedName>
    <definedName name="Aff_Housing_Rent_sf">[10]AptModel!#REF!</definedName>
    <definedName name="All_Other_Buildings">'[5]92264 Input Assumptions'!$B$99</definedName>
    <definedName name="ALL_UNITS">#REF!</definedName>
    <definedName name="Amortization_Term__Yrs">'[5]92264 Input Assumptions'!$B$116</definedName>
    <definedName name="AMPO__N.P._only">'[5]92264 Input Assumptions'!$B$124</definedName>
    <definedName name="Ana_18mo">#REF!</definedName>
    <definedName name="Anc_esc_1">#REF!</definedName>
    <definedName name="Anc_esc_2">#REF!</definedName>
    <definedName name="Anc_esc_3">#REF!</definedName>
    <definedName name="Anc_esc_4">#REF!</definedName>
    <definedName name="Anc_esc_5">#REF!</definedName>
    <definedName name="ANC_INC">'[11]Direct Cap'!$J$81</definedName>
    <definedName name="ANC_INC_MISC">[10]AptModel!#REF!</definedName>
    <definedName name="ANC_INC_WASH_DRY">[10]AptModel!#REF!</definedName>
    <definedName name="Anc_Rent_1">#REF!</definedName>
    <definedName name="Anc_Rent_2">#REF!</definedName>
    <definedName name="Anc_Rent_3">#REF!</definedName>
    <definedName name="Anc_Rent_4">#REF!</definedName>
    <definedName name="Anc_Rent_5">#REF!</definedName>
    <definedName name="Anchor_Escalation">#REF!</definedName>
    <definedName name="Anchor_Rent">#REF!</definedName>
    <definedName name="Anchor_Tenant">#REF!</definedName>
    <definedName name="Anchor_Tenant_Size">#REF!</definedName>
    <definedName name="Anchored_Space">#REF!</definedName>
    <definedName name="Ancil_Monthly_Inc">#REF!</definedName>
    <definedName name="Ancillary_Income">#REF!</definedName>
    <definedName name="ANCINC">'[12]Direct Cap'!#REF!</definedName>
    <definedName name="ANNAULR6">#REF!</definedName>
    <definedName name="ANNUAL">#REF!</definedName>
    <definedName name="Annual_Expense_Adjustment">'[5]92264 Input Assumptions'!$B$87</definedName>
    <definedName name="Annual_PGI">#REF!</definedName>
    <definedName name="ANNUAL1">#REF!</definedName>
    <definedName name="ANNUAL2">#REF!</definedName>
    <definedName name="ANNUAL3">#REF!</definedName>
    <definedName name="ANNUAL4">#REF!</definedName>
    <definedName name="ANNUAL5">#REF!</definedName>
    <definedName name="ANNUALParking">#REF!</definedName>
    <definedName name="ANNUALR3">#REF!</definedName>
    <definedName name="ANNUALR4">#REF!</definedName>
    <definedName name="ANNUALR5">#REF!</definedName>
    <definedName name="ANNUAResRetail">#REF!</definedName>
    <definedName name="anscount" hidden="1">2</definedName>
    <definedName name="Applicable">'[5]92264 Input Assumptions'!$B$33</definedName>
    <definedName name="Appraisal_Date">'[13]Summary &amp; Salient'!$F$59</definedName>
    <definedName name="ARA_Threshold">'[14]Bal Sheet'!#REF!</definedName>
    <definedName name="Arch._Fee_Design">'[5]92264 Input Assumptions'!$B$105</definedName>
    <definedName name="Arch._Fee_Supvr.">'[5]92264 Input Assumptions'!$B$106</definedName>
    <definedName name="ARP_Threshold">'[14]Bal Sheet'!#REF!</definedName>
    <definedName name="As_Is_Property_Value__Rehab_only">'[5]92264 Input Assumptions'!$B$141</definedName>
    <definedName name="AS2DocOpenMode" hidden="1">"AS2DocumentEdit"</definedName>
    <definedName name="assume">#REF!</definedName>
    <definedName name="ASSUMPSR">#REF!</definedName>
    <definedName name="AVGUT">'[12]Direct Cap'!$H$22</definedName>
    <definedName name="B_OCC_UNITS">#REF!</definedName>
    <definedName name="B_UNITS">#REF!</definedName>
    <definedName name="Beg_Bal">#REF!</definedName>
    <definedName name="BEGCON">#REF!</definedName>
    <definedName name="beginlse">#REF!</definedName>
    <definedName name="BEGMO">#REF!</definedName>
    <definedName name="BEGRENT">#REF!</definedName>
    <definedName name="BEGSQFT">#REF!</definedName>
    <definedName name="Bldg_Cap_Rate">#REF!</definedName>
    <definedName name="Bond_Issue">#REF!</definedName>
    <definedName name="Bond_Premium">'[5]92264 Input Assumptions'!$B$107</definedName>
    <definedName name="Bond_Underwriting_Cost">'[5]92264 Input Assumptions'!$B$136</definedName>
    <definedName name="Breakeven_Occ">'[9]Direct Cap'!#REF!</definedName>
    <definedName name="Breakeven_Occ_Aff">[10]AptModel!#REF!</definedName>
    <definedName name="Breakeven_Occ_Mkt">#REF!</definedName>
    <definedName name="Breakeven_Occup">#REF!</definedName>
    <definedName name="Budget">[6]Budget!$A$2:$O$500</definedName>
    <definedName name="Builder_and_Sponsor_Profit___Risk">'[5]92264 Input Assumptions'!$B$134</definedName>
    <definedName name="Builder_s_Gen._Overhead">'[5]92264 Input Assumptions'!$B$103</definedName>
    <definedName name="Builder_s_Profit">'[5]92264 Input Assumptions'!$B$104</definedName>
    <definedName name="Buildings">'[5]92264 Input Assumptions'!$B$15</definedName>
    <definedName name="Buyer_Seller_Relationship">'[5]92264 Input Assumptions'!$B$45</definedName>
    <definedName name="C_OCC_UNITS">#REF!</definedName>
    <definedName name="C_UNITS">#REF!</definedName>
    <definedName name="CAL_MHP_Loan">#REF!</definedName>
    <definedName name="CAL_MHP_Loan_Per_Low_Inc_Unit">#REF!</definedName>
    <definedName name="CAM">#REF!</definedName>
    <definedName name="Cam_1">#REF!</definedName>
    <definedName name="Cam_10">#REF!</definedName>
    <definedName name="Cam_2">#REF!</definedName>
    <definedName name="Cam_3">#REF!</definedName>
    <definedName name="Cam_4">#REF!</definedName>
    <definedName name="Cam_5">#REF!</definedName>
    <definedName name="Cam_6">#REF!</definedName>
    <definedName name="Cam_7">#REF!</definedName>
    <definedName name="Cam_8">#REF!</definedName>
    <definedName name="Cam_9">#REF!</definedName>
    <definedName name="CAM_esc_1">#REF!</definedName>
    <definedName name="CAM_esc_2">#REF!</definedName>
    <definedName name="CAM_esc_3">#REF!</definedName>
    <definedName name="CAM_esc_4">#REF!</definedName>
    <definedName name="CAM_esc_5">#REF!</definedName>
    <definedName name="CAM_TAX_INS">SUM('[15]Direct Cap.'!$F$17:$F$21)</definedName>
    <definedName name="CAMTaxInsur.on_Vacancy">#REF!</definedName>
    <definedName name="Cap_Rate">'[9]Direct Cap'!#REF!</definedName>
    <definedName name="Cap_Rate_Aff">[10]AptModel!#REF!</definedName>
    <definedName name="Cap_Rate_Mkt">#REF!</definedName>
    <definedName name="Cap_Value">'[5]Page 6'!$L$42</definedName>
    <definedName name="Capitalized">#REF!</definedName>
    <definedName name="CAPRATE">#REF!</definedName>
    <definedName name="Case">[3]Assumptions!#REF!</definedName>
    <definedName name="CASER">#REF!</definedName>
    <definedName name="CASH_FLOW">#REF!</definedName>
    <definedName name="CASH1">#REF!</definedName>
    <definedName name="CASH2">#REF!</definedName>
    <definedName name="CASH3">#REF!</definedName>
    <definedName name="CASH4">#REF!</definedName>
    <definedName name="CASHFLOW1">#REF!</definedName>
    <definedName name="CASHFLOW2">#REF!</definedName>
    <definedName name="cashflow3">#REF!</definedName>
    <definedName name="cashflow4">#REF!</definedName>
    <definedName name="CASHR">#REF!</definedName>
    <definedName name="CASHR2">#REF!</definedName>
    <definedName name="CASHR3">#REF!</definedName>
    <definedName name="CASHR5">#REF!</definedName>
    <definedName name="Census_Tract">'[5]92264 Input Assumptions'!$B$10</definedName>
    <definedName name="Center_Name">#REF!</definedName>
    <definedName name="CESC">#REF!</definedName>
    <definedName name="chart1print">#REF!</definedName>
    <definedName name="Chasecase">#REF!</definedName>
    <definedName name="City">'[5]92264 Input Assumptions'!$B$6</definedName>
    <definedName name="City_State">#REF!</definedName>
    <definedName name="Closing_Cost">#REF!</definedName>
    <definedName name="Commerc_Monthly_Inc">#REF!</definedName>
    <definedName name="Commercial_Expenses">'[5]92264 Input Assumptions'!$B$51</definedName>
    <definedName name="Commercial_Income_Occupancy">'[5]92264 Input Assumptions'!$B$50</definedName>
    <definedName name="Commission">#REF!</definedName>
    <definedName name="COMMRATE">#REF!</definedName>
    <definedName name="CON">#REF!</definedName>
    <definedName name="CONEND">#REF!</definedName>
    <definedName name="CONFLOW">#REF!</definedName>
    <definedName name="CONFLOWSET">#REF!</definedName>
    <definedName name="conhead">#REF!</definedName>
    <definedName name="CONLSE">#REF!</definedName>
    <definedName name="CONLSEP2">#REF!</definedName>
    <definedName name="conmos">#REF!</definedName>
    <definedName name="CONSTERM">#REF!</definedName>
    <definedName name="Construct_Period">#REF!</definedName>
    <definedName name="Construction_Insurance">'[5]92264 Input Assumptions'!$B$119</definedName>
    <definedName name="Construction_Interest">'[5]92264 Input Assumptions'!$B$117</definedName>
    <definedName name="Construction_SF">#REF!</definedName>
    <definedName name="Consultant_Fee__N._P._only">'[5]92264 Input Assumptions'!$B$135</definedName>
    <definedName name="Contingency_Reserve">'[5]92264 Input Assumptions'!$B$138</definedName>
    <definedName name="Cost_App">#REF!</definedName>
    <definedName name="Cost_Before_Land">#REF!</definedName>
    <definedName name="Cost_Certification_Audit_Fee">'[5]92264 Input Assumptions'!$B$132</definedName>
    <definedName name="Cost_Feasible_Rent">#REF!</definedName>
    <definedName name="Cost_Feasible_Rent_Rate">#REF!</definedName>
    <definedName name="Cost_To_Finish">#REF!</definedName>
    <definedName name="cost_value">#REF!</definedName>
    <definedName name="COSTINP">#REF!</definedName>
    <definedName name="COSTPROF">#REF!</definedName>
    <definedName name="costprof1">#REF!</definedName>
    <definedName name="COSTREPT">#REF!</definedName>
    <definedName name="Costs_to_Finish">#REF!</definedName>
    <definedName name="COSTSUM">#REF!</definedName>
    <definedName name="COUNTER">#REF!</definedName>
    <definedName name="County">'[5]92264 Input Assumptions'!$B$7</definedName>
    <definedName name="COVER">#REF!</definedName>
    <definedName name="CPIE">#REF!</definedName>
    <definedName name="CPIIND">#REF!</definedName>
    <definedName name="CPISET">#REF!</definedName>
    <definedName name="CSCRANGECAR">'[16]D1-RevExpCar'!$C$95:$BA$102</definedName>
    <definedName name="CSCRANGEMON">'[16]D2-RevExpMon'!$C$95:$BA$102</definedName>
    <definedName name="CSCRANGEPIC">'[16]D3-RevExpPic'!$C$95:$BA$102</definedName>
    <definedName name="Current_Multiplier">#REF!</definedName>
    <definedName name="Current_Occupancy">#REF!</definedName>
    <definedName name="CVALUE_Aff">'[17]Cost App'!$O$117</definedName>
    <definedName name="CY_Common_Equity">'[14]Bal Sheet'!#REF!</definedName>
    <definedName name="CY_Depreciation">'[14]Income Statement'!#REF!</definedName>
    <definedName name="CY_Intangible_Assets">'[14]Bal Sheet'!#REF!</definedName>
    <definedName name="CY_Interest_Expense">'[14]Income Statement'!#REF!</definedName>
    <definedName name="CY_LT_Debt">'[14]Bal Sheet'!#REF!</definedName>
    <definedName name="CY_Market_Value_of_Equity">'[14]Income Statement'!#REF!</definedName>
    <definedName name="CY_Marketable_Sec">'[14]Bal Sheet'!#REF!</definedName>
    <definedName name="CY_Other">'[14]Income Statement'!#REF!</definedName>
    <definedName name="CY_Selling">'[14]Income Statement'!#REF!</definedName>
    <definedName name="CY_Tangible_Net_Worth">'[14]Income Statement'!#REF!</definedName>
    <definedName name="D_OCC_UNITS">#REF!</definedName>
    <definedName name="D_UNITS">#REF!</definedName>
    <definedName name="_xlnm.Database">#REF!</definedName>
    <definedName name="DATE">'[4]Weekly Leasing Report'!#REF!</definedName>
    <definedName name="Date_Acquired">'[5]92264 Input Assumptions'!$B$39</definedName>
    <definedName name="Date_of_Inspection">'[5]92264 Input Assumptions'!$B$11</definedName>
    <definedName name="Date_of_Report">#REF!</definedName>
    <definedName name="Date_of_Value">#REF!</definedName>
    <definedName name="DCF_Value">#REF!</definedName>
    <definedName name="DCF_Year_1_Eff.Rent_Rate">#REF!</definedName>
    <definedName name="DCFVALUE">[10]AptModel!#REF!</definedName>
    <definedName name="Decorating">'[5]92264 Input Assumptions'!$B$67</definedName>
    <definedName name="Def_Maintanence">'[15]Improved Sales Comp.'!#REF!</definedName>
    <definedName name="Deferred_Maint.">#REF!</definedName>
    <definedName name="Deffered_Maint">#REF!</definedName>
    <definedName name="DEFINE">#REF!</definedName>
    <definedName name="Dep_Factor">#REF!</definedName>
    <definedName name="DEPRECIATION">#REF!</definedName>
    <definedName name="DETAILB">#REF!</definedName>
    <definedName name="DEV_COSTS">#REF!</definedName>
    <definedName name="Dir_Cap_Value">#REF!</definedName>
    <definedName name="Direct_Cap_Rate">#REF!</definedName>
    <definedName name="Direct_Costs">#REF!</definedName>
    <definedName name="Discount_Rate">'[12]Direct Cap'!#REF!</definedName>
    <definedName name="Drape_Unit_Cost">'[10]CostEst.'!#REF!</definedName>
    <definedName name="DSC_Value">#REF!</definedName>
    <definedName name="DSValue">'[15]Improved Sales Comp.'!#REF!</definedName>
    <definedName name="e">"Employee"</definedName>
    <definedName name="E_OCC_UNITS">#REF!</definedName>
    <definedName name="E_UNITS">#REF!</definedName>
    <definedName name="Eco_Flag">#REF!</definedName>
    <definedName name="ECO_OBS">#REF!</definedName>
    <definedName name="EDR">#REF!</definedName>
    <definedName name="Eff_Rent_Mo">'[18]Rent Sched'!#REF!</definedName>
    <definedName name="Eff.Lease_Commision">#REF!</definedName>
    <definedName name="Eff.Rollover_Vac">#REF!</definedName>
    <definedName name="Effective_Age">#REF!</definedName>
    <definedName name="EGI">'[5]Page 4'!$S$6</definedName>
    <definedName name="EGIM_INC">#REF!</definedName>
    <definedName name="EGIM_INC_Aff">#REF!</definedName>
    <definedName name="Elec_psf">#REF!</definedName>
    <definedName name="Electricity">'[9]Direct Cap'!#REF!</definedName>
    <definedName name="Elevator_Main._Exp.">'[5]92264 Input Assumptions'!$B$58</definedName>
    <definedName name="Empl._Payroll_Tax">'[5]92264 Input Assumptions'!$B$82</definedName>
    <definedName name="End_Bal">'[19]Amortization Table'!$I$17:$I$376</definedName>
    <definedName name="ENDFREE">#REF!</definedName>
    <definedName name="endlse">#REF!</definedName>
    <definedName name="Entrepreneur_Profit">#REF!</definedName>
    <definedName name="EQUITY">#REF!</definedName>
    <definedName name="Equity_Dividend_Rate">#REF!</definedName>
    <definedName name="Equity_Requirement">#REF!</definedName>
    <definedName name="ESC_1">#REF!</definedName>
    <definedName name="ESC_2">#REF!</definedName>
    <definedName name="ESC_3">#REF!</definedName>
    <definedName name="ESC_4">#REF!</definedName>
    <definedName name="ESC_5">#REF!</definedName>
    <definedName name="ESC_6">#REF!</definedName>
    <definedName name="ESC_7">#REF!</definedName>
    <definedName name="ESC_8">#REF!</definedName>
    <definedName name="Estimated_Construction_Time__Months">'[5]92264 Input Assumptions'!$B$112</definedName>
    <definedName name="Excel_BuiltIn_Print_Area_10">#REF!</definedName>
    <definedName name="Excel_BuiltIn_Print_Area_11">#REF!</definedName>
    <definedName name="Excel_BuiltIn_Print_Area_8">#REF!</definedName>
    <definedName name="Excel_BuiltIn_Print_Area_9">#REF!</definedName>
    <definedName name="EXP">'[9]Direct Cap'!#REF!</definedName>
    <definedName name="EXP_Aff">#REF!</definedName>
    <definedName name="Exp_Growth">#REF!</definedName>
    <definedName name="EXP_Mkt">#REF!</definedName>
    <definedName name="EXPENSE_ADMIN">#REF!</definedName>
    <definedName name="Expense_Date">'[5]92264 Input Assumptions'!$B$88</definedName>
    <definedName name="Expense_Escalation">#REF!</definedName>
    <definedName name="EXPENSE_INS">#REF!</definedName>
    <definedName name="EXPENSE_MGMNT">#REF!</definedName>
    <definedName name="EXPENSE_PAYROL">#REF!</definedName>
    <definedName name="EXPENSE_RM">#REF!</definedName>
    <definedName name="EXPENSE_SUMMARY">#REF!</definedName>
    <definedName name="EXPENSE_TAXES">#REF!</definedName>
    <definedName name="Expense_Time_Adjustment">'[5]92264 Input Assumptions'!$B$89</definedName>
    <definedName name="EXPENSE_UTIL">#REF!</definedName>
    <definedName name="EXPSF">'[9]Direct Cap'!#REF!</definedName>
    <definedName name="Exterior_Finish">'[5]92264 Input Assumptions'!$B$37</definedName>
    <definedName name="Exterior_Lighting">#REF!</definedName>
    <definedName name="Exterminating">'[5]92264 Input Assumptions'!$B$69</definedName>
    <definedName name="External_Obsolescence">#REF!</definedName>
    <definedName name="Extra_Pay">#REF!</definedName>
    <definedName name="f">'[20]92264 Input Assumptions'!$B$74</definedName>
    <definedName name="F_1">#REF!</definedName>
    <definedName name="F_2">#REF!</definedName>
    <definedName name="F_3">#REF!</definedName>
    <definedName name="F_4">#REF!</definedName>
    <definedName name="F_5">#REF!</definedName>
    <definedName name="F_OCC_UNITS">#REF!</definedName>
    <definedName name="F_UNITS">#REF!</definedName>
    <definedName name="FAC">#REF!</definedName>
    <definedName name="FACRENT">#REF!</definedName>
    <definedName name="Fee_Simple_Value">#REF!</definedName>
    <definedName name="FHA_Exam._Fee">'[5]92264 Input Assumptions'!$B$121</definedName>
    <definedName name="FHA_Inspec._Fee">'[5]92264 Input Assumptions'!$B$122</definedName>
    <definedName name="FHA_Mtg._Ins._Prem.">'[5]92264 Input Assumptions'!$B$120</definedName>
    <definedName name="FHALnAmt">[21]MrtgCalc!$J$6</definedName>
    <definedName name="FILENAME">[22]Input!$G$5</definedName>
    <definedName name="Final_Cost_Value">#REF!</definedName>
    <definedName name="Final_Value">#REF!</definedName>
    <definedName name="Financing_Fee">'[5]92264 Input Assumptions'!$B$123</definedName>
    <definedName name="Finish_Allowance">#REF!</definedName>
    <definedName name="First_Generation">#REF!</definedName>
    <definedName name="Fixed_Exp">#REF!</definedName>
    <definedName name="Floor_System">'[5]92264 Input Assumptions'!$B$36</definedName>
    <definedName name="FLOWRANGE">#REF!</definedName>
    <definedName name="FNMA_GNMA_Fee">'[5]92264 Input Assumptions'!$B$125</definedName>
    <definedName name="FOOTPRINT">#REF!</definedName>
    <definedName name="Fuel___Heating">'[5]92264 Input Assumptions'!$B$59</definedName>
    <definedName name="FULL_Wash_Dry">'[10]CostEst.'!#REF!</definedName>
    <definedName name="FValue">[5]Summary!#REF!</definedName>
    <definedName name="FValue_Aff">[10]Summary!#REF!</definedName>
    <definedName name="FValue_Mkt">[23]Summary!$E$54</definedName>
    <definedName name="G_OCC_UNITS">#REF!</definedName>
    <definedName name="G_UNITS">#REF!</definedName>
    <definedName name="Garages">'[5]92264 Input Assumptions'!$B$98</definedName>
    <definedName name="Garbage___Trash_Removal">'[5]92264 Input Assumptions'!$B$63</definedName>
    <definedName name="Gas">[10]AptModel!#REF!</definedName>
    <definedName name="Gas_psf">#REF!</definedName>
    <definedName name="GBA">#REF!</definedName>
    <definedName name="General_Requirements">'[5]92264 Input Assumptions'!$B$101</definedName>
    <definedName name="GENERALREQ">#REF!</definedName>
    <definedName name="gr">#REF!</definedName>
    <definedName name="GROSSFT">#REF!</definedName>
    <definedName name="Ground_Expense">'[5]92264 Input Assumptions'!$B$71</definedName>
    <definedName name="H_6">'[24]92264-P2'!#REF!</definedName>
    <definedName name="H_7">'[24]92264-P2'!#REF!</definedName>
    <definedName name="H_8">'[24]92264-P2'!#REF!</definedName>
    <definedName name="H_9">'[24]92264-P2'!#REF!</definedName>
    <definedName name="H_OCC_UNITS">#REF!</definedName>
    <definedName name="H_UNITS">#REF!</definedName>
    <definedName name="HARDCOST">#REF!</definedName>
    <definedName name="Header_Row">ROW('[19]Amortization Table'!$A$16:$IV$16)</definedName>
    <definedName name="Heating_A_C_System">'[5]92264 Input Assumptions'!$B$38</definedName>
    <definedName name="HISTDATE">'[4]Rent Schedule'!#REF!</definedName>
    <definedName name="HISTFOOT">'[4]Rent Schedule'!#REF!</definedName>
    <definedName name="HISTTOTAL">'[4]Rent Schedule'!#REF!</definedName>
    <definedName name="HISTWORDS">'[4]Rent Schedule'!#REF!</definedName>
    <definedName name="HOLD">#REF!</definedName>
    <definedName name="HOLD2">#REF!</definedName>
    <definedName name="HOMEONE">#REF!</definedName>
    <definedName name="Housing_Const_Cost_per_S.F.">#REF!</definedName>
    <definedName name="Housing_Grants">#REF!</definedName>
    <definedName name="housing_rsf">[25]Assumptions!$D$24</definedName>
    <definedName name="HUDMTGMAX">[22]Input!$E$105</definedName>
    <definedName name="HUDVALS">[22]Input!#REF!</definedName>
    <definedName name="I_OCC_UNITS">#REF!</definedName>
    <definedName name="I_UNITS">#REF!</definedName>
    <definedName name="ID_int">#REF!</definedName>
    <definedName name="INCOME_COMM">#REF!</definedName>
    <definedName name="INCOME_GPR">#REF!</definedName>
    <definedName name="INCOME_LAUNDRY">#REF!</definedName>
    <definedName name="INCOME_NRI">#REF!</definedName>
    <definedName name="INCOME_OTHER">#REF!</definedName>
    <definedName name="INCOME_PARKING">#REF!</definedName>
    <definedName name="INCREASES">#REF!</definedName>
    <definedName name="Indirect_Cost">#REF!</definedName>
    <definedName name="Indirect_Fees">#REF!</definedName>
    <definedName name="Indirect_Land">#REF!</definedName>
    <definedName name="Indirect_Marketing">#REF!</definedName>
    <definedName name="INPUT">#REF!</definedName>
    <definedName name="Ins_esc_1">#REF!</definedName>
    <definedName name="Ins_esc_2">#REF!</definedName>
    <definedName name="Ins_esc_3">#REF!</definedName>
    <definedName name="Ins_esc_4">#REF!</definedName>
    <definedName name="Ins_esc_5">#REF!</definedName>
    <definedName name="Ins_Inc_1">#REF!</definedName>
    <definedName name="Ins_Inc_2">#REF!</definedName>
    <definedName name="Ins_psf">#REF!</definedName>
    <definedName name="INSTRUCTIONS">#REF!</definedName>
    <definedName name="Insurance">#REF!</definedName>
    <definedName name="Insurance_1">#REF!</definedName>
    <definedName name="Insurance_10">#REF!</definedName>
    <definedName name="Insurance_2">#REF!</definedName>
    <definedName name="Insurance_3">#REF!</definedName>
    <definedName name="Insurance_4">#REF!</definedName>
    <definedName name="Insurance_5">#REF!</definedName>
    <definedName name="Insurance_6">#REF!</definedName>
    <definedName name="Insurance_7">#REF!</definedName>
    <definedName name="Insurance_8">#REF!</definedName>
    <definedName name="Insurance_9">#REF!</definedName>
    <definedName name="Int">#REF!</definedName>
    <definedName name="INT_RATE">'[9]Direct Cap'!#REF!</definedName>
    <definedName name="Intended_M_F_Use">'[5]92264 Input Assumptions'!$B$32</definedName>
    <definedName name="Interest_Rate">#REF!</definedName>
    <definedName name="Interest_Rate_on_Bonds">#REF!</definedName>
    <definedName name="Internal_Rate_of_Return">#REF!</definedName>
    <definedName name="INTRATE">#REF!</definedName>
    <definedName name="investment">#REF!</definedName>
    <definedName name="IRR">[26]Model!#REF!</definedName>
    <definedName name="IVALUE">[10]AptModel!#REF!</definedName>
    <definedName name="IVALUE_Aff">[10]AptModel!#REF!</definedName>
    <definedName name="J_OCC_UNITS">#REF!</definedName>
    <definedName name="J_UNITS">#REF!</definedName>
    <definedName name="jack">#REF!</definedName>
    <definedName name="jkl" localSheetId="6">#N/A</definedName>
    <definedName name="jkl" localSheetId="2">IF('Grand Prairie- Loan Calcs (2)'!Values_Entered,[0]!Header_Row+'Grand Prairie- Loan Calcs (2)'!Number_of_Payments,[0]!Header_Row)</definedName>
    <definedName name="jkl">#N/A</definedName>
    <definedName name="K_OCC_UNITS" localSheetId="2">#REF!</definedName>
    <definedName name="K_OCC_UNITS">#REF!</definedName>
    <definedName name="K_UNITS" localSheetId="2">#REF!</definedName>
    <definedName name="K_UNITS">#REF!</definedName>
    <definedName name="Key_Map" localSheetId="2">#REF!</definedName>
    <definedName name="Key_Map">#REF!</definedName>
    <definedName name="L_OCC_UNITS">#REF!</definedName>
    <definedName name="L_UNITS">#REF!</definedName>
    <definedName name="LAND_AREA">'[27]CostEst.'!$C$17</definedName>
    <definedName name="Land_Area_SF" localSheetId="2">#REF!</definedName>
    <definedName name="Land_Area_SF">#REF!</definedName>
    <definedName name="Land_Cost_per_Unit" localSheetId="2">#REF!</definedName>
    <definedName name="Land_Cost_per_Unit">#REF!</definedName>
    <definedName name="Land_L_to_V" localSheetId="2">#REF!</definedName>
    <definedName name="Land_L_to_V">#REF!</definedName>
    <definedName name="Land_Unit_Price">#REF!</definedName>
    <definedName name="Land_Val">#REF!</definedName>
    <definedName name="Land_Val_PSF">#REF!</definedName>
    <definedName name="Land_Value">#REF!</definedName>
    <definedName name="Landscaping">#REF!</definedName>
    <definedName name="LANDSF">#REF!</definedName>
    <definedName name="Last_Row" localSheetId="6">#N/A</definedName>
    <definedName name="Last_Row" localSheetId="2">IF('Grand Prairie- Loan Calcs (2)'!Values_Entered,[0]!Header_Row+'Grand Prairie- Loan Calcs (2)'!Number_of_Payments,[0]!Header_Row)</definedName>
    <definedName name="Last_Row">#N/A</definedName>
    <definedName name="LASTLEASEMO" localSheetId="2">#REF!</definedName>
    <definedName name="LASTLEASEMO">#REF!</definedName>
    <definedName name="LASTLSMO" localSheetId="2">#REF!</definedName>
    <definedName name="LASTLSMO">#REF!</definedName>
    <definedName name="Lease_Term" localSheetId="2">#REF!</definedName>
    <definedName name="Lease_Term">#REF!</definedName>
    <definedName name="Leasehold_Adj_Site" localSheetId="2">'[15]Improved Sales Comp.'!#REF!</definedName>
    <definedName name="Leasehold_Adj_Site">'[15]Improved Sales Comp.'!#REF!</definedName>
    <definedName name="Leasehold_Annual_Ground_Rent">'[5]92264 Input Assumptions'!$B$42</definedName>
    <definedName name="Leasehold_Estate">#REF!</definedName>
    <definedName name="Leasehold_Estate_Adjustment">#REF!</definedName>
    <definedName name="Leasehold_Interest">'[15]Direct Cap.'!#REF!</definedName>
    <definedName name="Leaseup_Alt_Cost">#REF!</definedName>
    <definedName name="Legal">'[5]92264 Input Assumptions'!$B$130</definedName>
    <definedName name="Lighting___Misc._Power">'[5]92264 Input Assumptions'!$B$60</definedName>
    <definedName name="Line_36_B" localSheetId="2">SUM('[24]92264-P2'!$G$86:$G$88)</definedName>
    <definedName name="Line_36_B">SUM('[24]92264-P2'!$G$86:$G$88)</definedName>
    <definedName name="Line_37">#REF!</definedName>
    <definedName name="Line_41">#REF!</definedName>
    <definedName name="LINEF6">#REF!</definedName>
    <definedName name="LOA">#REF!</definedName>
    <definedName name="Loan_Amount">'[19]Amortization Table'!$D$6</definedName>
    <definedName name="Loan_Coverage_Ratio">#REF!</definedName>
    <definedName name="Loan_Start">'[19]Amortization Table'!$D$10</definedName>
    <definedName name="Loan_Term">#REF!</definedName>
    <definedName name="Loan_to_Value">#REF!</definedName>
    <definedName name="Loan_Years">'[19]Amortization Table'!$D$8</definedName>
    <definedName name="LoanValue_Ratio">#REF!</definedName>
    <definedName name="Local_Multiplier">#REF!</definedName>
    <definedName name="Location">#REF!</definedName>
    <definedName name="LSBEGIN1">#REF!</definedName>
    <definedName name="LSEND1">#REF!</definedName>
    <definedName name="LUD">#REF!</definedName>
    <definedName name="LUD_Discount_Rate">#REF!</definedName>
    <definedName name="LUpDiscount">#REF!</definedName>
    <definedName name="LUpDiscount_Aff">[10]LeaseUp!#REF!</definedName>
    <definedName name="m" localSheetId="2">#REF!</definedName>
    <definedName name="m">#REF!</definedName>
    <definedName name="M_OCC_UNITS" localSheetId="2">#REF!</definedName>
    <definedName name="M_OCC_UNITS">#REF!</definedName>
    <definedName name="M_UNITS" localSheetId="2">#REF!</definedName>
    <definedName name="M_UNITS">#REF!</definedName>
    <definedName name="MAIN_BLDG_COSTS">#REF!</definedName>
    <definedName name="Main_Buildings">'[5]92264 Input Assumptions'!$B$96</definedName>
    <definedName name="Maint_Rep_psf">#REF!</definedName>
    <definedName name="Maint_Repair">'[9]Direct Cap'!#REF!</definedName>
    <definedName name="Maint_Repair_Aff">[10]AptModel!#REF!</definedName>
    <definedName name="Management_1">#REF!</definedName>
    <definedName name="Management_2">#REF!</definedName>
    <definedName name="Management_3">#REF!</definedName>
    <definedName name="Management_4">#REF!</definedName>
    <definedName name="Management_5">#REF!</definedName>
    <definedName name="Management_Fee">'[5]92264 Input Assumptions'!$B$55</definedName>
    <definedName name="Market_Rate_Rents_S.F.">#REF!</definedName>
    <definedName name="Market_Rate_Units">#REF!</definedName>
    <definedName name="Market_Rent">#REF!</definedName>
    <definedName name="Market_Rent_SF">#REF!</definedName>
    <definedName name="Mgmt_Fee">#REF!</definedName>
    <definedName name="MGMT_TOT">'[28]Direct Cap'!$H$95</definedName>
    <definedName name="MGMT_TOT_Aff">[10]AptModel!#REF!</definedName>
    <definedName name="MGMT_TOT_Mkt">#REF!</definedName>
    <definedName name="Mgmt._Fee">#REF!</definedName>
    <definedName name="mininvest">#REF!</definedName>
    <definedName name="MIP">'[10]CostEst.'!#REF!</definedName>
    <definedName name="Misc_inc_esc_1">#REF!</definedName>
    <definedName name="Misc_inc_esc_10">#REF!</definedName>
    <definedName name="Misc_inc_esc_2">#REF!</definedName>
    <definedName name="Misc_inc_esc_3">#REF!</definedName>
    <definedName name="Misc_inc_esc_4">#REF!</definedName>
    <definedName name="Misc_inc_esc_5">#REF!</definedName>
    <definedName name="Misc_inc_esc_6">#REF!</definedName>
    <definedName name="Misc_inc_esc_7">#REF!</definedName>
    <definedName name="Misc_inc_esc_8">#REF!</definedName>
    <definedName name="Misc_inc_esc_9">#REF!</definedName>
    <definedName name="Misc_psf">#REF!</definedName>
    <definedName name="Misc.">'[9]Direct Cap'!#REF!</definedName>
    <definedName name="MKT_RENT">#REF!</definedName>
    <definedName name="Mkt_Rent_Mo">#REF!</definedName>
    <definedName name="Mkt_Rent_sf">'[5]Mkt Rents and Alt. Reserves'!$H$25</definedName>
    <definedName name="MONTHLY" localSheetId="2">#REF!</definedName>
    <definedName name="MONTHLY">#REF!</definedName>
    <definedName name="Monthly_PGI" localSheetId="2">#REF!</definedName>
    <definedName name="Monthly_PGI">#REF!</definedName>
    <definedName name="MONTHLY1" localSheetId="2">#REF!</definedName>
    <definedName name="MONTHLY1">#REF!</definedName>
    <definedName name="MONTHLY2">#REF!</definedName>
    <definedName name="MONTHLY3">#REF!</definedName>
    <definedName name="MONTHLY4">#REF!</definedName>
    <definedName name="MONTHLY5">#REF!</definedName>
    <definedName name="MONTHLYR">#REF!</definedName>
    <definedName name="MONTHLYR2">#REF!</definedName>
    <definedName name="MONTHLYR3">#REF!</definedName>
    <definedName name="MONTHLYR4">#REF!</definedName>
    <definedName name="MONTHLYR5">#REF!</definedName>
    <definedName name="MONTHLYR6">#REF!</definedName>
    <definedName name="Months_to_Reach_Stabilization">'[5]92264 Input Assumptions'!$B$49</definedName>
    <definedName name="MONTHSCOL">#REF!</definedName>
    <definedName name="Mortgage_Amount">'[5]92264 Input Assumptions'!$B$114</definedName>
    <definedName name="Mortgage_Constant">#REF!</definedName>
    <definedName name="Mortgage_Interest">#REF!</definedName>
    <definedName name="Mortgagee_3rd_Party_Cost">'[5]92264 Input Assumptions'!$B$126</definedName>
    <definedName name="MTGAMT">#REF!</definedName>
    <definedName name="MTGTYPE">#REF!</definedName>
    <definedName name="N_OCC_UNITS">#REF!</definedName>
    <definedName name="N_UNITS">#REF!</definedName>
    <definedName name="Name">'[12]Summary &amp; Salient'!$F$5</definedName>
    <definedName name="NAME1">[22]Input!#REF!</definedName>
    <definedName name="Net_Rentable_Area">#REF!</definedName>
    <definedName name="New_Finish_1">#REF!</definedName>
    <definedName name="New_Finish_2">#REF!</definedName>
    <definedName name="New_Finish_3">#REF!</definedName>
    <definedName name="New_Finish_4">#REF!</definedName>
    <definedName name="No_Units">#REF!</definedName>
    <definedName name="NOI">#REF!</definedName>
    <definedName name="NOI_Aff">#REF!</definedName>
    <definedName name="NOI_Mkt">#REF!</definedName>
    <definedName name="Non_Pass_Thru">#REF!</definedName>
    <definedName name="Non_REC_1">#REF!</definedName>
    <definedName name="Non_REC_10">#REF!</definedName>
    <definedName name="Non_REC_2">#REF!</definedName>
    <definedName name="Non_REC_3">#REF!</definedName>
    <definedName name="Non_REC_4">#REF!</definedName>
    <definedName name="Non_REC_5">#REF!</definedName>
    <definedName name="Non_REC_6">#REF!</definedName>
    <definedName name="Non_REC_7">#REF!</definedName>
    <definedName name="Non_REC_8">#REF!</definedName>
    <definedName name="Non_REC_9">#REF!</definedName>
    <definedName name="Non_Revenue_Units">'[5]92264 Input Assumptions'!$B$14</definedName>
    <definedName name="Nonrec_esc_1">#REF!</definedName>
    <definedName name="Nonrec_esc_2">#REF!</definedName>
    <definedName name="Nonrec_esc_3">#REF!</definedName>
    <definedName name="Nonrec_esc_4">#REF!</definedName>
    <definedName name="Nonrec_esc_5">#REF!</definedName>
    <definedName name="NonRecov._Exp.">#REF!</definedName>
    <definedName name="NonRecovery_Exp.">#REF!</definedName>
    <definedName name="NOTE1">#REF!</definedName>
    <definedName name="NOTE2">#REF!</definedName>
    <definedName name="NOTE3">#REF!</definedName>
    <definedName name="NOTE4">#REF!</definedName>
    <definedName name="NOTE5">#REF!</definedName>
    <definedName name="NOTE6">#REF!</definedName>
    <definedName name="notepad">#REF!</definedName>
    <definedName name="NOTES">#REF!</definedName>
    <definedName name="NRA">#REF!</definedName>
    <definedName name="NS">[29]MrtgCalc!$J$6</definedName>
    <definedName name="Num_Pmt_Per_Year">#REF!</definedName>
    <definedName name="Number_of_Payments" localSheetId="6">MATCH(0.01,[0]!End_Bal,-1)+1</definedName>
    <definedName name="Number_of_Payments" localSheetId="3">MATCH(0.01,[0]!End_Bal,-1)+1</definedName>
    <definedName name="Number_of_Payments" localSheetId="2">MATCH(0.01,[0]!End_Bal,-1)+1</definedName>
    <definedName name="Number_of_Payments">MATCH(0.01,End_Bal,-1)+1</definedName>
    <definedName name="Number_of_Units">#REF!</definedName>
    <definedName name="O_OCC_UNITS">#REF!</definedName>
    <definedName name="O_UNITS">#REF!</definedName>
    <definedName name="OCC_UNITS">#REF!</definedName>
    <definedName name="Occupancy_at_Completion">'[5]92264 Input Assumptions'!$B$47</definedName>
    <definedName name="Occupied_Units_at_Completion">'[5]92264 Input Assumptions'!$B$46</definedName>
    <definedName name="oeq">'[3]Acq &amp; Redev'!$H$29</definedName>
    <definedName name="Off_Site__if_needed__Rehab_only">'[5]92264 Input Assumptions'!$B$142</definedName>
    <definedName name="ONE">#REF!</definedName>
    <definedName name="Oper_Exp">#REF!</definedName>
    <definedName name="Operating_Costs_SF">#REF!</definedName>
    <definedName name="OPTIONA2">'[4]Weekly Leasing Report'!#REF!</definedName>
    <definedName name="OPTIONB1">'[4]Weekly Leasing Report'!#REF!</definedName>
    <definedName name="OPTIONB2">'[4]Weekly Leasing Report'!#REF!</definedName>
    <definedName name="OPTIONB3">'[4]Weekly Leasing Report'!#REF!</definedName>
    <definedName name="Organization">'[5]92264 Input Assumptions'!$B$131</definedName>
    <definedName name="osf">[3]Assumptions!$I$96</definedName>
    <definedName name="Other_Admin.">'[5]92264 Input Assumptions'!$B$56</definedName>
    <definedName name="Other_Contractor_Fees">'[5]92264 Input Assumptions'!$B$108</definedName>
    <definedName name="Other_Income">#REF!</definedName>
    <definedName name="Other_Land_Improvements">'[5]92264 Input Assumptions'!$B$93</definedName>
    <definedName name="Other_Maintenance">'[5]92264 Input Assumptions'!$B$72</definedName>
    <definedName name="Other_Operating">'[5]92264 Input Assumptions'!$B$65</definedName>
    <definedName name="OTHER_SOURCES_REQUIRED">#REF!</definedName>
    <definedName name="Other_Sponsor_Fees">'[5]92264 Input Assumptions'!$B$109</definedName>
    <definedName name="Other_Taxes_1">'[5]92264 Input Assumptions'!$B$83</definedName>
    <definedName name="Other_Taxes_2">'[5]92264 Input Assumptions'!$B$84</definedName>
    <definedName name="Outstanding_Balance">'[5]92264 Input Assumptions'!$B$44</definedName>
    <definedName name="Overall_Market_Rent">#REF!</definedName>
    <definedName name="OVERHEAD">#REF!</definedName>
    <definedName name="Ovrl_Mark_Rent_1">#REF!</definedName>
    <definedName name="Ovrl_Mark_Rent_10">#REF!</definedName>
    <definedName name="Ovrl_Mark_Rent_11">#REF!</definedName>
    <definedName name="Ovrl_Mark_Rent_2">#REF!</definedName>
    <definedName name="Ovrl_Mark_Rent_3">#REF!</definedName>
    <definedName name="Ovrl_Mark_Rent_4">#REF!</definedName>
    <definedName name="Ovrl_Mark_Rent_5">#REF!</definedName>
    <definedName name="Ovrl_Mark_Rent_6">#REF!</definedName>
    <definedName name="Ovrl_Mark_Rent_7">#REF!</definedName>
    <definedName name="Ovrl_Mark_Rent_8">#REF!</definedName>
    <definedName name="Ovrl_Mark_Rent_9">#REF!</definedName>
    <definedName name="P_OCC_UNITS">#REF!</definedName>
    <definedName name="P_UNITS">#REF!</definedName>
    <definedName name="P.V._of_Cash_Flows_">#REF!</definedName>
    <definedName name="P1End">#REF!</definedName>
    <definedName name="P1Start">#REF!</definedName>
    <definedName name="P2End">#REF!</definedName>
    <definedName name="P2Start">#REF!</definedName>
    <definedName name="P3End">#REF!</definedName>
    <definedName name="P3Start">#REF!</definedName>
    <definedName name="P4End">#REF!</definedName>
    <definedName name="P4Start">#REF!</definedName>
    <definedName name="P5End">#REF!</definedName>
    <definedName name="P5Start">#REF!</definedName>
    <definedName name="P6End">#REF!</definedName>
    <definedName name="P6Start">#REF!</definedName>
    <definedName name="Page_1">#REF!</definedName>
    <definedName name="page18">#REF!</definedName>
    <definedName name="page19">#REF!</definedName>
    <definedName name="Parking_Drives">#REF!</definedName>
    <definedName name="Parking_Ratio">#REF!</definedName>
    <definedName name="Parking_Spaces">#REF!</definedName>
    <definedName name="PARTA">#REF!</definedName>
    <definedName name="PARTI">#REF!</definedName>
    <definedName name="PARTIC">#REF!</definedName>
    <definedName name="PARTII">#REF!</definedName>
    <definedName name="PARTIII">#REF!</definedName>
    <definedName name="PASS_THRU">#REF!</definedName>
    <definedName name="Pay_Num">#REF!</definedName>
    <definedName name="Payroll">#REF!</definedName>
    <definedName name="Payroll_psf">#REF!</definedName>
    <definedName name="Pbased_Section_8_Units">#REF!</definedName>
    <definedName name="PERMLOAN">#REF!</definedName>
    <definedName name="Personal_Prop._Est._Assessed_Value">'[5]92264 Input Assumptions'!$B$79</definedName>
    <definedName name="Personal_Prop._Tax_Rate">'[5]92264 Input Assumptions'!$B$80</definedName>
    <definedName name="Personal_Prop._Taxes">'[5]92264 Input Assumptions'!$B$81</definedName>
    <definedName name="Phys_Depreciate">#REF!</definedName>
    <definedName name="PLACESET">#REF!</definedName>
    <definedName name="Pot_Gross_Inc_Aff">[10]AptModel!#REF!</definedName>
    <definedName name="Pot_Gross_Inc_Mkt">[10]AptModel!#REF!</definedName>
    <definedName name="Pot_Gross_Income">'[11]Direct Cap'!$J$79</definedName>
    <definedName name="PRCASHFLOW1">#REF!</definedName>
    <definedName name="PRCASHFLOW2">#REF!</definedName>
    <definedName name="PRCONFLOWMKT">#REF!</definedName>
    <definedName name="PRCONST">#REF!</definedName>
    <definedName name="PRCOSTCOMB">#REF!</definedName>
    <definedName name="PRCOSTMKT">#REF!</definedName>
    <definedName name="PRCOSTNAV">#REF!</definedName>
    <definedName name="Prepay">#REF!</definedName>
    <definedName name="Primary_Loan">#REF!</definedName>
    <definedName name="Princ">#REF!</definedName>
    <definedName name="_xlnm.Print_Area" localSheetId="6">'Grand Prairi-IRRWorksht10Yr (5)'!$B$1:$R$30</definedName>
    <definedName name="_xlnm.Print_Area" localSheetId="1">'Grand Prairie- Exec Summary (1)'!$B$2:$R$59</definedName>
    <definedName name="_xlnm.Print_Area" localSheetId="5">'Grand Prairie- Loan Amort (4)'!$B$1:$I$57</definedName>
    <definedName name="_xlnm.Print_Area" localSheetId="2">'Grand Prairie- Loan Calcs (2)'!$B$1:$N$50</definedName>
    <definedName name="_xlnm.Print_Area" localSheetId="4">'Grand Prairie- Pro Forma (3)'!$B$1:$V$44</definedName>
    <definedName name="_xlnm.Print_Area">#REF!</definedName>
    <definedName name="print1">[30]input!$A$1:$H$15,[30]input!$M$3:$Y$30</definedName>
    <definedName name="print2" localSheetId="2">#REF!</definedName>
    <definedName name="print2">#REF!</definedName>
    <definedName name="PRINTCOL" localSheetId="2">#REF!</definedName>
    <definedName name="PRINTCOL">#REF!</definedName>
    <definedName name="printinput">[30]input!$A$1:$H$26,[30]input!$M$3:$Y$31,[30]input!$AB$3:$AG$48,[30]input!$A$129:$H$178,[30]input!$AU$1:$BE$18,[30]input!$AU$22:$BI$61,[30]input!$AU$65:$BI$92,[30]input!$BJ$2:$BR$29,[30]input!$BZ$1:$CO$56,[30]input!$CS$1:$DD$45,[30]input!$DO$1:$DZ$42,[30]input!$EE$1:$EP$51,[30]input!$FA$1:$FK$53,[30]input!$FV$1:$GG$24,[30]input!$FV$27:$GG$61</definedName>
    <definedName name="printinput1">[30]input!$A$1:$J$26,[30]input!$M$3:$Y$31,[30]input!$AB$3:$AG$48,[30]input!$A$129:$H$178,[30]input!$AU$1:$BE$18,[30]input!$AU$22:$BI$61,[30]input!$AU$65:$BI$126,[30]input!$BJ$2:$BR$29</definedName>
    <definedName name="PRINTMACRO" localSheetId="2">#REF!</definedName>
    <definedName name="PRINTMACRO">#REF!</definedName>
    <definedName name="PRIRRFLOW1" localSheetId="2">#REF!</definedName>
    <definedName name="PRIRRFLOW1">#REF!</definedName>
    <definedName name="PRIRRFLOW2">#REF!</definedName>
    <definedName name="PROCESS">#REF!</definedName>
    <definedName name="PRODIND">#REF!</definedName>
    <definedName name="PROF">#REF!</definedName>
    <definedName name="PROFBEGINMO">#REF!</definedName>
    <definedName name="Professional_Fees">#REF!</definedName>
    <definedName name="PROFEXPFACT">#REF!</definedName>
    <definedName name="PROFIT">#REF!</definedName>
    <definedName name="proforma">#REF!</definedName>
    <definedName name="PROFRET">#REF!</definedName>
    <definedName name="PROJCOST">#REF!</definedName>
    <definedName name="Project">[31]Assumptions!$B$4</definedName>
    <definedName name="Project_Name" localSheetId="2">#REF!</definedName>
    <definedName name="Project_Name">#REF!</definedName>
    <definedName name="Project_Number">'[5]92264 Input Assumptions'!$B$3</definedName>
    <definedName name="Projected_Taxes">'[31]Ad Valorem Tax Analysis'!#REF!</definedName>
    <definedName name="PROJNM" localSheetId="2">#REF!</definedName>
    <definedName name="PROJNM">#REF!</definedName>
    <definedName name="PROJTYPE" localSheetId="2">#REF!</definedName>
    <definedName name="PROJTYPE">#REF!</definedName>
    <definedName name="Property_Name">'[5]92264 Input Assumptions'!$B$2</definedName>
    <definedName name="PROPSMKT">#REF!</definedName>
    <definedName name="PROPSNAV">#REF!</definedName>
    <definedName name="PROPSPAT">#REF!</definedName>
    <definedName name="PRREVAPP7">#REF!</definedName>
    <definedName name="PRSOUECENAV">#REF!</definedName>
    <definedName name="PRSOURCECOMB">#REF!</definedName>
    <definedName name="PRSOURCEMKT">#REF!</definedName>
    <definedName name="PRSOURCENAV">#REF!</definedName>
    <definedName name="PRSW">#REF!</definedName>
    <definedName name="PRSW1">#REF!</definedName>
    <definedName name="PRSW2">#REF!</definedName>
    <definedName name="PRSW3">#REF!</definedName>
    <definedName name="PRSW4">#REF!</definedName>
    <definedName name="PRSW5">#REF!</definedName>
    <definedName name="PRSW6">#REF!</definedName>
    <definedName name="PRSW7">#REF!</definedName>
    <definedName name="PRSW8">#REF!</definedName>
    <definedName name="PRSW9">#REF!</definedName>
    <definedName name="prswa">#REF!</definedName>
    <definedName name="prswb">#REF!</definedName>
    <definedName name="prswc">#REF!</definedName>
    <definedName name="prswd">#REF!</definedName>
    <definedName name="prswe">#REF!</definedName>
    <definedName name="prswf">#REF!</definedName>
    <definedName name="prswg">#REF!</definedName>
    <definedName name="prswh">#REF!</definedName>
    <definedName name="prswi">#REF!</definedName>
    <definedName name="prswj">#REF!</definedName>
    <definedName name="prswk">#REF!</definedName>
    <definedName name="prswl">#REF!</definedName>
    <definedName name="prswm">#REF!</definedName>
    <definedName name="prswn">#REF!</definedName>
    <definedName name="PTAX">#REF!</definedName>
    <definedName name="PTAXDOL">#REF!</definedName>
    <definedName name="PUM">#REF!</definedName>
    <definedName name="PURCHASE">#REF!</definedName>
    <definedName name="Purchase_Price">'[5]92264 Input Assumptions'!$B$40</definedName>
    <definedName name="PY_Common_Equity">'[14]Bal Sheet'!#REF!</definedName>
    <definedName name="PY_Depreciation">'[14]Income Statement'!#REF!</definedName>
    <definedName name="PY_Intangible_Assets">'[14]Bal Sheet'!#REF!</definedName>
    <definedName name="PY_Interest_Expense">'[14]Income Statement'!#REF!</definedName>
    <definedName name="PY_LT_Debt">'[14]Bal Sheet'!#REF!</definedName>
    <definedName name="PY_Market_Value_of_Equity">'[14]Income Statement'!#REF!</definedName>
    <definedName name="PY_Marketable_Sec">'[14]Bal Sheet'!#REF!</definedName>
    <definedName name="PY_Other_Exp">'[14]Income Statement'!#REF!</definedName>
    <definedName name="PY_Selling">'[14]Income Statement'!#REF!</definedName>
    <definedName name="PY_Tangible_Net_Worth">'[14]Income Statement'!#REF!</definedName>
    <definedName name="PY2_Common_Equity">'[14]Bal Sheet'!#REF!</definedName>
    <definedName name="PY2_Depreciation">'[14]Income Statement'!#REF!</definedName>
    <definedName name="PY2_Intangible_Assets">'[14]Bal Sheet'!#REF!</definedName>
    <definedName name="PY2_Interest_Expense">'[14]Income Statement'!#REF!</definedName>
    <definedName name="PY2_LT_Debt">'[14]Bal Sheet'!#REF!</definedName>
    <definedName name="PY2_Marketable_Sec">'[14]Bal Sheet'!#REF!</definedName>
    <definedName name="PY2_Other_Exp.">'[14]Income Statement'!#REF!</definedName>
    <definedName name="PY2_Selling">'[14]Income Statement'!#REF!</definedName>
    <definedName name="PY2_Tangible_Net_Worth">'[14]Income Statement'!#REF!</definedName>
    <definedName name="Pylon_Sign">#REF!</definedName>
    <definedName name="Q_OCC_UNITS">#REF!</definedName>
    <definedName name="Q_UNITS">#REF!</definedName>
    <definedName name="R_OCC_UNITS">#REF!</definedName>
    <definedName name="R_UNITS">#REF!</definedName>
    <definedName name="RE_Taxes">[10]Taxes!$I$40</definedName>
    <definedName name="RE_Taxes_Aff">[10]Taxes!#REF!</definedName>
    <definedName name="Real_Estate_Est._Assessed_Value">'[5]92264 Input Assumptions'!$B$76</definedName>
    <definedName name="Real_Estate_Tax_Rate">'[5]92264 Input Assumptions'!$B$77</definedName>
    <definedName name="Real_Estate_Taxes">'[5]92264 Input Assumptions'!$B$78</definedName>
    <definedName name="_xlnm.Recorder">#REF!</definedName>
    <definedName name="Recoveries">SUM(#REF!)</definedName>
    <definedName name="Recreation_Facility_1">'[5]92264 Input Assumptions'!$B$22</definedName>
    <definedName name="Recreation_Facility_1_Area">'[5]92264 Input Assumptions'!$B$23</definedName>
    <definedName name="Recreation_Facility_2">'[5]92264 Input Assumptions'!$B$24</definedName>
    <definedName name="Recreation_Facility_2_Area">'[5]92264 Input Assumptions'!$B$25</definedName>
    <definedName name="Recreation_Facility_3">'[5]92264 Input Assumptions'!$B$26</definedName>
    <definedName name="Recreation_Facility_3_Area">'[5]92264 Input Assumptions'!$B$27</definedName>
    <definedName name="REFI">#REF!</definedName>
    <definedName name="Rehab_Absorption_Space">#REF!</definedName>
    <definedName name="REIT">'[32]Rate Build-up'!#REF!</definedName>
    <definedName name="Remain_Eco_Life" localSheetId="2">#REF!</definedName>
    <definedName name="Remain_Eco_Life">#REF!</definedName>
    <definedName name="REMARKS" localSheetId="2">#REF!</definedName>
    <definedName name="REMARKS">#REF!</definedName>
    <definedName name="Renewal_Probability" localSheetId="2">#REF!</definedName>
    <definedName name="Renewal_Probability">#REF!</definedName>
    <definedName name="Rent_Escalation">#REF!</definedName>
    <definedName name="Rent_History">#REF!</definedName>
    <definedName name="Rent_Inc_1">#REF!</definedName>
    <definedName name="Rent_Inc_2">#REF!</definedName>
    <definedName name="Rent_Schedule">#REF!</definedName>
    <definedName name="RENTANN">[10]AptModel!#REF!</definedName>
    <definedName name="RENTEXPA">#REF!</definedName>
    <definedName name="RENTEXPB">#REF!</definedName>
    <definedName name="RENTEXPC">#REF!</definedName>
    <definedName name="RENTEXPMST">#REF!</definedName>
    <definedName name="RENTINPA">#REF!</definedName>
    <definedName name="rentmat">#REF!</definedName>
    <definedName name="RENTMO">'[18]Rent Sched'!#REF!</definedName>
    <definedName name="RENTSF">'[5]Mkt Rents and Alt. Reserves'!$H$25</definedName>
    <definedName name="RENTTOP">'[4]Weekly Leasing Report'!#REF!</definedName>
    <definedName name="Repair_Maint" localSheetId="2">#REF!</definedName>
    <definedName name="Repair_Maint">#REF!</definedName>
    <definedName name="Repairs">'[5]92264 Input Assumptions'!$B$68</definedName>
    <definedName name="Replace_Cost_New">#REF!</definedName>
    <definedName name="Replacement_Reserve">'[5]92264 Input Assumptions'!$B$74</definedName>
    <definedName name="req">'[3]Acq &amp; Redev'!$L$29</definedName>
    <definedName name="Required_D.S._Coverage_Ratio" localSheetId="2">#REF!</definedName>
    <definedName name="Required_D.S._Coverage_Ratio">#REF!</definedName>
    <definedName name="res_esc_1" localSheetId="2">#REF!</definedName>
    <definedName name="res_esc_1">#REF!</definedName>
    <definedName name="res_esc_2" localSheetId="2">#REF!</definedName>
    <definedName name="res_esc_2">#REF!</definedName>
    <definedName name="res_esc_3">#REF!</definedName>
    <definedName name="res_esc_4">#REF!</definedName>
    <definedName name="res_esc_5">#REF!</definedName>
    <definedName name="Res_Monthly_Inc">#REF!</definedName>
    <definedName name="Res_psf">'[9]Direct Cap'!#REF!</definedName>
    <definedName name="Reserve_1">#REF!</definedName>
    <definedName name="Reserve_10">#REF!</definedName>
    <definedName name="Reserve_2">#REF!</definedName>
    <definedName name="Reserve_3">#REF!</definedName>
    <definedName name="Reserve_4">#REF!</definedName>
    <definedName name="Reserve_5">#REF!</definedName>
    <definedName name="Reserve_6">#REF!</definedName>
    <definedName name="Reserve_7">#REF!</definedName>
    <definedName name="Reserve_8">#REF!</definedName>
    <definedName name="Reserve_9">#REF!</definedName>
    <definedName name="RESERVES">#REF!</definedName>
    <definedName name="Reserves_DCF">#REF!</definedName>
    <definedName name="Reserves_Stabilized">#REF!</definedName>
    <definedName name="Restricted_Exp_Esc_Yr_1">[10]DCF!#REF!</definedName>
    <definedName name="Restricted_Expense_Escalation" localSheetId="2">#REF!</definedName>
    <definedName name="Restricted_Expense_Escalation">#REF!</definedName>
    <definedName name="Restricted_Rent_Esc_Yr_1">[10]DCF!#REF!</definedName>
    <definedName name="Restricted_Rent_Escalation" localSheetId="2">#REF!</definedName>
    <definedName name="Restricted_Rent_Escalation">#REF!</definedName>
    <definedName name="Retail_SF">[25]Assumptions!$R$42</definedName>
    <definedName name="Retrofit">#REF!</definedName>
    <definedName name="Revenue_Units">'[5]92264 Input Assumptions'!$B$13</definedName>
    <definedName name="Rounded">[10]AptModel!#REF!</definedName>
    <definedName name="Rounded_Aff">[10]DCF!#REF!</definedName>
    <definedName name="rsf">[3]Assumptions!#REF!</definedName>
    <definedName name="runits">#REF!</definedName>
    <definedName name="S_OCC_UNITS">#REF!</definedName>
    <definedName name="S_UNITS">#REF!</definedName>
    <definedName name="SALEMONTH">'[33]P4Apt-condo Assum'!#REF!</definedName>
    <definedName name="SALEMONTH2">'[33]P5Apt  Assum'!#REF!</definedName>
    <definedName name="SALES_APP_VALUE">'[15]Improved Sales Comp.'!#REF!</definedName>
    <definedName name="Sales_Value">#REF!</definedName>
    <definedName name="SALEYEAR">#REF!</definedName>
    <definedName name="Sample1">[34]Template!#REF!</definedName>
    <definedName name="Sched_Pay" localSheetId="2">#REF!</definedName>
    <definedName name="Sched_Pay">#REF!</definedName>
    <definedName name="Scheduled_Extra_Payments" localSheetId="2">#REF!</definedName>
    <definedName name="Scheduled_Extra_Payments">#REF!</definedName>
    <definedName name="Scheduled_Monthly_Payment" localSheetId="2">#REF!</definedName>
    <definedName name="Scheduled_Monthly_Payment">#REF!</definedName>
    <definedName name="Secondary_Loan">#REF!</definedName>
    <definedName name="Secondary_Loan_Per_Unit">#REF!</definedName>
    <definedName name="SECTIONL">#REF!</definedName>
    <definedName name="SENDBL">#REF!</definedName>
    <definedName name="SENDMAT">#REF!</definedName>
    <definedName name="sendproj">#REF!</definedName>
    <definedName name="SenExp">'[33]P4Apt-condo Assum'!#REF!</definedName>
    <definedName name="senior_exp1">'[32]PRO FORMA'!#REF!</definedName>
    <definedName name="senior_exp2">'[32]PRO FORMA'!#REF!</definedName>
    <definedName name="senior_exp3">'[32]PRO FORMA'!#REF!</definedName>
    <definedName name="Senior_Housing_Related_Expenses">'[32]Debt Exit Strategy'!#REF!</definedName>
    <definedName name="senior_other_income">'[32]PRO FORMA'!#REF!</definedName>
    <definedName name="SF">[3]Assumptions!#REF!</definedName>
    <definedName name="SFparking">#REF!</definedName>
    <definedName name="SFR">#REF!</definedName>
    <definedName name="SFresidential">#REF!</definedName>
    <definedName name="SFresidentialretail">#REF!</definedName>
    <definedName name="SFretail">#REF!</definedName>
    <definedName name="SFtotal">#REF!</definedName>
    <definedName name="Shell_Cost">#REF!</definedName>
    <definedName name="Shell_Cost_2">#REF!</definedName>
    <definedName name="Shell_Cost_3">#REF!</definedName>
    <definedName name="Shell_Cost_4">#REF!</definedName>
    <definedName name="Shell_Cost_5">#REF!</definedName>
    <definedName name="Shell_Cost_6">#REF!</definedName>
    <definedName name="Shell_Cost_Esc_1">#REF!</definedName>
    <definedName name="Shell_Cost_Esc_2">#REF!</definedName>
    <definedName name="Shell_Cost_Esc_3">#REF!</definedName>
    <definedName name="Shell_Cost_Esc_4">#REF!</definedName>
    <definedName name="Shell_Cost_Esc_5">#REF!</definedName>
    <definedName name="Shell_Finish_Cost">#REF!</definedName>
    <definedName name="Shell_Space">#REF!</definedName>
    <definedName name="Site_Area__SF">'[5]92264 Input Assumptions'!$B$30</definedName>
    <definedName name="Site_Depth">'[5]92264 Input Assumptions'!$B$29</definedName>
    <definedName name="Site_Imp_1">#REF!</definedName>
    <definedName name="Site_Imp_2">#REF!</definedName>
    <definedName name="Site_Imp_3">#REF!</definedName>
    <definedName name="Site_Imp_4">#REF!</definedName>
    <definedName name="Site_Imp._Cost">#REF!</definedName>
    <definedName name="Site_Width">'[5]92264 Input Assumptions'!$B$28</definedName>
    <definedName name="Spec_Space">#REF!</definedName>
    <definedName name="Spec._Rent_1">#REF!</definedName>
    <definedName name="Spec._Rent_2">#REF!</definedName>
    <definedName name="Spec._Size__1">#REF!</definedName>
    <definedName name="Spec._Size__2">#REF!</definedName>
    <definedName name="Spec._Size_1">#REF!</definedName>
    <definedName name="Spec._Size_2">#REF!</definedName>
    <definedName name="Spec1_esc_1">#REF!</definedName>
    <definedName name="Spec1_esc_2">#REF!</definedName>
    <definedName name="Spec1_esc_3">#REF!</definedName>
    <definedName name="Spec1_esc_4">#REF!</definedName>
    <definedName name="Spec1_esc_5">#REF!</definedName>
    <definedName name="Spec1_rent_1">#REF!</definedName>
    <definedName name="Spec1_rent_2">#REF!</definedName>
    <definedName name="Spec1_rent_3">#REF!</definedName>
    <definedName name="Spec1_rent_4">#REF!</definedName>
    <definedName name="Spec1_rent_5">#REF!</definedName>
    <definedName name="Spec2_esc_1">#REF!</definedName>
    <definedName name="Spec2_esc_2">#REF!</definedName>
    <definedName name="Spec2_esc_3">#REF!</definedName>
    <definedName name="Spec2_esc_4">#REF!</definedName>
    <definedName name="Spec2_esc_5">#REF!</definedName>
    <definedName name="spec2_rent_1">#REF!</definedName>
    <definedName name="spec2_rent_2">#REF!</definedName>
    <definedName name="spec2_rent_3">#REF!</definedName>
    <definedName name="spec2_rent_4">#REF!</definedName>
    <definedName name="spec2_rent_5">#REF!</definedName>
    <definedName name="Speculative_Rent">#REF!</definedName>
    <definedName name="Sprinkler_Cost">#REF!</definedName>
    <definedName name="Sq_Ft">[10]AptModel!#REF!</definedName>
    <definedName name="Stab_Exp_recovery">#REF!</definedName>
    <definedName name="Stab_Vacancy">[10]AptModel!$F$61</definedName>
    <definedName name="Stabil_Occupancy">#REF!</definedName>
    <definedName name="Stabilize_Occupancy">'[12]Summary &amp; Salient'!$E$43</definedName>
    <definedName name="Stabilize_Occupancy_Aff">[10]Summary!#REF!</definedName>
    <definedName name="Stabilized_Expense_Recoveries">#REF!</definedName>
    <definedName name="Stabilized_Market_Rent">#REF!</definedName>
    <definedName name="Stabilized_Occupancy">'[5]92264 Input Assumptions'!$B$48</definedName>
    <definedName name="Stabilized_Vacancy">#REF!</definedName>
    <definedName name="Stable_NOI">#REF!</definedName>
    <definedName name="STACK_Wash_Dry">'[10]CostEst.'!#REF!</definedName>
    <definedName name="stalls">'[3]Acq &amp; Redev'!#REF!</definedName>
    <definedName name="Start_Occupancy" localSheetId="2">#REF!</definedName>
    <definedName name="Start_Occupancy">#REF!</definedName>
    <definedName name="State">'[5]92264 Input Assumptions'!$B$8</definedName>
    <definedName name="Stories">'[5]92264 Input Assumptions'!$B$12</definedName>
    <definedName name="Street_Name">'[5]92264 Input Assumptions'!$B$5</definedName>
    <definedName name="Street_Number">'[5]92264 Input Assumptions'!$B$4</definedName>
    <definedName name="Structural_System">'[5]92264 Input Assumptions'!$B$35</definedName>
    <definedName name="Structures">'[10]CostEst.'!#REF!</definedName>
    <definedName name="Sub_Anchor_Size">#REF!</definedName>
    <definedName name="Sub_rent_1">#REF!</definedName>
    <definedName name="Sub_rent_2">#REF!</definedName>
    <definedName name="Sub_rent_3">#REF!</definedName>
    <definedName name="Sub_rent_4">#REF!</definedName>
    <definedName name="Sub_rent_5">#REF!</definedName>
    <definedName name="Subanc_esc_1">#REF!</definedName>
    <definedName name="Subanc_esc_2">#REF!</definedName>
    <definedName name="Subanc_esc_3">#REF!</definedName>
    <definedName name="Subanc_esc_4">#REF!</definedName>
    <definedName name="Subanc_esc_5">#REF!</definedName>
    <definedName name="SubAnchor_Rent">#REF!</definedName>
    <definedName name="SubAnchor_Size">#REF!</definedName>
    <definedName name="SubAnchor_Space">#REF!</definedName>
    <definedName name="SubTax">#REF!</definedName>
    <definedName name="SUMFLOW">#REF!</definedName>
    <definedName name="SUMMARY">#REF!</definedName>
    <definedName name="SUMR1">#REF!</definedName>
    <definedName name="Supplemental_Management_Fund">'[5]92264 Input Assumptions'!$B$137</definedName>
    <definedName name="Supplies">#REF!</definedName>
    <definedName name="Supplies_psf">#REF!</definedName>
    <definedName name="Supplies_Service">'[9]Direct Cap'!#REF!</definedName>
    <definedName name="T_OCC_UNITS">#REF!</definedName>
    <definedName name="T_UNITS">#REF!</definedName>
    <definedName name="TAX">#REF!</definedName>
    <definedName name="Tax_1">#REF!</definedName>
    <definedName name="Tax_10">#REF!</definedName>
    <definedName name="Tax_2">#REF!</definedName>
    <definedName name="Tax_3">#REF!</definedName>
    <definedName name="Tax_4">#REF!</definedName>
    <definedName name="Tax_5">#REF!</definedName>
    <definedName name="Tax_6">#REF!</definedName>
    <definedName name="Tax_7">#REF!</definedName>
    <definedName name="Tax_8">#REF!</definedName>
    <definedName name="Tax_9">#REF!</definedName>
    <definedName name="Tax_Credit_Syndication">#REF!</definedName>
    <definedName name="Tax_Credit_Units">#REF!</definedName>
    <definedName name="Tax_Esc_1">#REF!</definedName>
    <definedName name="Tax_Esc_2">#REF!</definedName>
    <definedName name="Tax_Esc_3">#REF!</definedName>
    <definedName name="Tax_Esc_4">#REF!</definedName>
    <definedName name="Tax_Esc_5">#REF!</definedName>
    <definedName name="Tax_Inc_1">#REF!</definedName>
    <definedName name="Tax_Inc_2">#REF!</definedName>
    <definedName name="Tax_Rate">#REF!</definedName>
    <definedName name="Taxes">#REF!</definedName>
    <definedName name="Taxes_Aff">[10]AptModel!#REF!</definedName>
    <definedName name="Taxes_Improvements">'[15]Ad Valorem Tax Analysis'!#REF!</definedName>
    <definedName name="Taxes_Land">'[15]Ad Valorem Tax Analysis'!#REF!</definedName>
    <definedName name="TENRENT" localSheetId="2">#REF!</definedName>
    <definedName name="TENRENT">#REF!</definedName>
    <definedName name="TENSET" localSheetId="2">#REF!</definedName>
    <definedName name="TENSET">#REF!</definedName>
    <definedName name="Term_Cap_Rate_Adj." localSheetId="2">#REF!</definedName>
    <definedName name="Term_Cap_Rate_Adj.">#REF!</definedName>
    <definedName name="Term_of_Bonds">#REF!</definedName>
    <definedName name="Terminal_Cap_Rate">'[9]Direct Cap'!#REF!</definedName>
    <definedName name="Terminal_Cap_Rate_Adj.">#REF!</definedName>
    <definedName name="test1">#REF!</definedName>
    <definedName name="TFAI">#REF!</definedName>
    <definedName name="TIDOL">#REF!</definedName>
    <definedName name="Title___Recording">'[5]92264 Input Assumptions'!$B$127</definedName>
    <definedName name="TOPSCH">#REF!</definedName>
    <definedName name="Tot_Exp">#REF!</definedName>
    <definedName name="Tot_Incur_Deprec">#REF!</definedName>
    <definedName name="Tot_Phy_deprec.">#REF!</definedName>
    <definedName name="tot_rent_loss">#REF!</definedName>
    <definedName name="Total_Administrative">'[5]92264 Input Assumptions'!$B$57</definedName>
    <definedName name="Total_All_Improvements">'[5]92264 Input Assumptions'!$B$111</definedName>
    <definedName name="total_beds">[25]Assumptions!$B$24</definedName>
    <definedName name="Total_Carrying_Charges___Financing">'[5]92264 Input Assumptions'!$B$128</definedName>
    <definedName name="Total_Cost">'[5]92264 Input Assumptions'!$B$43</definedName>
    <definedName name="Total_Est._Development_Cost__Excl._Land_or_Off_Site">'[5]92264 Input Assumptions'!$B$139</definedName>
    <definedName name="Total_Estimated_Replacement_Cost_of_Project">'[5]92264 Input Assumptions'!$B$143</definedName>
    <definedName name="Total_Exp">#REF!</definedName>
    <definedName name="Total_Exp_Growth">#REF!</definedName>
    <definedName name="Total_Expense">'[5]Page 3'!$AQ$82</definedName>
    <definedName name="Total_Expenses">SUM(#REF!)</definedName>
    <definedName name="Total_Fees">'[5]92264 Input Assumptions'!$B$110</definedName>
    <definedName name="total_gsf">[25]Assumptions!$E$71</definedName>
    <definedName name="Total_Inc">'[9]Direct Cap'!#REF!</definedName>
    <definedName name="Total_Inc_Aff">#REF!</definedName>
    <definedName name="Total_Inc_Mkt">#REF!</definedName>
    <definedName name="Total_Land_Improvements">'[5]92264 Input Assumptions'!$B$94</definedName>
    <definedName name="Total_Legal__Organization___Audit_Fees">'[5]92264 Input Assumptions'!$B$133</definedName>
    <definedName name="Total_LUD">#REF!+#REF!+#REF!</definedName>
    <definedName name="Total_Maintenance">'[5]92264 Input Assumptions'!$B$73</definedName>
    <definedName name="Total_Operating">'[5]92264 Input Assumptions'!$B$66</definedName>
    <definedName name="Total_Operating_Expenses">'[5]92264 Input Assumptions'!$B$75</definedName>
    <definedName name="Total_Pay">#REF!</definedName>
    <definedName name="Total_Structures">'[5]92264 Input Assumptions'!$B$100</definedName>
    <definedName name="Total_Taxes">'[5]92264 Input Assumptions'!$B$85</definedName>
    <definedName name="TOTCOST">#REF!</definedName>
    <definedName name="TOTMOS">#REF!</definedName>
    <definedName name="TOTSF">#REF!</definedName>
    <definedName name="Trash">[10]AptModel!#REF!</definedName>
    <definedName name="Trash_psf">#REF!</definedName>
    <definedName name="TWO">#N/A</definedName>
    <definedName name="TYPE">#REF!</definedName>
    <definedName name="U_OCC_UNITS">#REF!</definedName>
    <definedName name="U_UNITS">#REF!</definedName>
    <definedName name="Unfinished_Space">#REF!</definedName>
    <definedName name="UNIT">#REF!</definedName>
    <definedName name="UNIT_TYPE_DATABASE">#REF!</definedName>
    <definedName name="UNITS">#REF!</definedName>
    <definedName name="UNITSres">#REF!</definedName>
    <definedName name="Unrestricted_Exp_Esc_Yr_1">#REF!</definedName>
    <definedName name="Unrestricted_Expense_Escalation">#REF!</definedName>
    <definedName name="Unrestricted_Rent_Esc_Yr_1">#REF!</definedName>
    <definedName name="Unrestricted_Rent_Escalation">#REF!</definedName>
    <definedName name="Unusual_Land_Improvements">'[5]92264 Input Assumptions'!$B$92</definedName>
    <definedName name="upb">#REF!</definedName>
    <definedName name="Utilities">#REF!</definedName>
    <definedName name="V">"Vacant"</definedName>
    <definedName name="V_OCC_UNITS">#REF!</definedName>
    <definedName name="V_UNITS">#REF!</definedName>
    <definedName name="VAC_1">#REF!</definedName>
    <definedName name="Vacant">#REF!</definedName>
    <definedName name="Values_Entered" localSheetId="6">#N/A</definedName>
    <definedName name="Values_Entered" localSheetId="2">IF([0]!Loan_Amount*[0]!Interest_Rate*[0]!Loan_Years*[0]!Loan_Start&gt;0,1,0)</definedName>
    <definedName name="Values_Entered">#N/A</definedName>
    <definedName name="Var_Exp_Ratio" localSheetId="2">'[9]Direct Cap'!#REF!</definedName>
    <definedName name="Var_Exp_Ratio">'[9]Direct Cap'!#REF!</definedName>
    <definedName name="Variable_Exp" localSheetId="2">#REF!</definedName>
    <definedName name="Variable_Exp">#REF!</definedName>
    <definedName name="VC_1" localSheetId="2">#REF!</definedName>
    <definedName name="VC_1">#REF!</definedName>
    <definedName name="VC_2" localSheetId="2">#REF!</definedName>
    <definedName name="VC_2">#REF!</definedName>
    <definedName name="VC_3">#REF!</definedName>
    <definedName name="VC_4">#REF!</definedName>
    <definedName name="VC_Aff_1">#REF!</definedName>
    <definedName name="VC_Aff_2">#REF!</definedName>
    <definedName name="VC_Aff_3">#REF!</definedName>
    <definedName name="VC_Aff_4">#REF!</definedName>
    <definedName name="VL">"Vacant - Leased"</definedName>
    <definedName name="VU">"Vac/Unr"</definedName>
    <definedName name="W_OCC_UNITS">#REF!</definedName>
    <definedName name="W_UNITS">#REF!</definedName>
    <definedName name="WASH_DRY">'[10]CostEst.'!#REF!</definedName>
    <definedName name="Water">'[5]92264 Input Assumptions'!$B$61</definedName>
    <definedName name="Water_Sewer">[10]AptModel!#REF!</definedName>
    <definedName name="Water_Sewer_psf">#REF!</definedName>
    <definedName name="wrn.92264." localSheetId="6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3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localSheetId="2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92264." hidden="1">{"Page 1",#N/A,FALSE,"92264 Page 1";"Page 2",#N/A,FALSE,"92264 Page 2";"Page 3",#N/A,FALSE,"92264 Page 3";"Page 4",#N/A,FALSE,"92264 Page 4";"Page 5",#N/A,FALSE,"92264 Page 5";"Page 6",#N/A,FALSE,"92264 Page 6";"Page 7",#N/A,FALSE,"92264 Page 7";"Page 8",#N/A,FALSE,"92264 Page 8"}</definedName>
    <definedName name="wrn.projection." localSheetId="6" hidden="1">{#N/A,#N/A,TRUE,"TOC";#N/A,#N/A,TRUE,"GEN";#N/A,#N/A,TRUE,"FINANCING ";#N/A,#N/A,TRUE,"SYND";#N/A,#N/A,TRUE,"RENT";#N/A,#N/A,TRUE,"RENTUP";#N/A,#N/A,TRUE,"CASH";#N/A,#N/A,TRUE,"LOSS";#N/A,#N/A,TRUE,"BENEFITS";#N/A,#N/A,TRUE,"SOURCE";#N/A,#N/A,TRUE,"FLOW";#N/A,#N/A,TRUE,"TAX CREDIT";#N/A,#N/A,TRUE,"DEPREC";#N/A,#N/A,TRUE,"RESERVES";#N/A,#N/A,TRUE,"AMORT_4";#N/A,#N/A,TRUE,"UT SU ";#N/A,#N/A,TRUE,"UT FLOW";#N/A,#N/A,TRUE,"UT BRIDGE LOAN";#N/A,#N/A,TRUE,"UT LOSS";#N/A,#N/A,TRUE,"UT BENEFITS";#N/A,#N/A,TRUE,"UT FUNDED";#N/A,#N/A,TRUE,"SALES1";#N/A,#N/A,TRUE,"SALES2"}</definedName>
    <definedName name="wrn.projection." localSheetId="3" hidden="1">{#N/A,#N/A,TRUE,"TOC";#N/A,#N/A,TRUE,"GEN";#N/A,#N/A,TRUE,"FINANCING ";#N/A,#N/A,TRUE,"SYND";#N/A,#N/A,TRUE,"RENT";#N/A,#N/A,TRUE,"RENTUP";#N/A,#N/A,TRUE,"CASH";#N/A,#N/A,TRUE,"LOSS";#N/A,#N/A,TRUE,"BENEFITS";#N/A,#N/A,TRUE,"SOURCE";#N/A,#N/A,TRUE,"FLOW";#N/A,#N/A,TRUE,"TAX CREDIT";#N/A,#N/A,TRUE,"DEPREC";#N/A,#N/A,TRUE,"RESERVES";#N/A,#N/A,TRUE,"AMORT_4";#N/A,#N/A,TRUE,"UT SU ";#N/A,#N/A,TRUE,"UT FLOW";#N/A,#N/A,TRUE,"UT BRIDGE LOAN";#N/A,#N/A,TRUE,"UT LOSS";#N/A,#N/A,TRUE,"UT BENEFITS";#N/A,#N/A,TRUE,"UT FUNDED";#N/A,#N/A,TRUE,"SALES1";#N/A,#N/A,TRUE,"SALES2"}</definedName>
    <definedName name="wrn.projection." localSheetId="2" hidden="1">{#N/A,#N/A,TRUE,"TOC";#N/A,#N/A,TRUE,"GEN";#N/A,#N/A,TRUE,"FINANCING ";#N/A,#N/A,TRUE,"SYND";#N/A,#N/A,TRUE,"RENT";#N/A,#N/A,TRUE,"RENTUP";#N/A,#N/A,TRUE,"CASH";#N/A,#N/A,TRUE,"LOSS";#N/A,#N/A,TRUE,"BENEFITS";#N/A,#N/A,TRUE,"SOURCE";#N/A,#N/A,TRUE,"FLOW";#N/A,#N/A,TRUE,"TAX CREDIT";#N/A,#N/A,TRUE,"DEPREC";#N/A,#N/A,TRUE,"RESERVES";#N/A,#N/A,TRUE,"AMORT_4";#N/A,#N/A,TRUE,"UT SU ";#N/A,#N/A,TRUE,"UT FLOW";#N/A,#N/A,TRUE,"UT BRIDGE LOAN";#N/A,#N/A,TRUE,"UT LOSS";#N/A,#N/A,TRUE,"UT BENEFITS";#N/A,#N/A,TRUE,"UT FUNDED";#N/A,#N/A,TRUE,"SALES1";#N/A,#N/A,TRUE,"SALES2"}</definedName>
    <definedName name="wrn.projection." hidden="1">{#N/A,#N/A,TRUE,"TOC";#N/A,#N/A,TRUE,"GEN";#N/A,#N/A,TRUE,"FINANCING ";#N/A,#N/A,TRUE,"SYND";#N/A,#N/A,TRUE,"RENT";#N/A,#N/A,TRUE,"RENTUP";#N/A,#N/A,TRUE,"CASH";#N/A,#N/A,TRUE,"LOSS";#N/A,#N/A,TRUE,"BENEFITS";#N/A,#N/A,TRUE,"SOURCE";#N/A,#N/A,TRUE,"FLOW";#N/A,#N/A,TRUE,"TAX CREDIT";#N/A,#N/A,TRUE,"DEPREC";#N/A,#N/A,TRUE,"RESERVES";#N/A,#N/A,TRUE,"AMORT_4";#N/A,#N/A,TRUE,"UT SU ";#N/A,#N/A,TRUE,"UT FLOW";#N/A,#N/A,TRUE,"UT BRIDGE LOAN";#N/A,#N/A,TRUE,"UT LOSS";#N/A,#N/A,TRUE,"UT BENEFITS";#N/A,#N/A,TRUE,"UT FUNDED";#N/A,#N/A,TRUE,"SALES1";#N/A,#N/A,TRUE,"SALES2"}</definedName>
    <definedName name="X_OCC_UNITS">#REF!</definedName>
    <definedName name="X_UNITS">#REF!</definedName>
    <definedName name="Y_OCC_UNITS">#REF!</definedName>
    <definedName name="Y_UNITS">#REF!</definedName>
    <definedName name="Year_Built">'[5]92264 Input Assumptions'!$B$34</definedName>
    <definedName name="YOC">'[12]Summary &amp; Salient'!$F$12</definedName>
    <definedName name="Yr1_leasehold" localSheetId="2">#REF!</definedName>
    <definedName name="Yr1_leasehold">#REF!</definedName>
    <definedName name="Yr2_leasehold" localSheetId="2">#REF!</definedName>
    <definedName name="Yr2_leasehold">#REF!</definedName>
    <definedName name="Yr3_leasehold" localSheetId="2">#REF!</definedName>
    <definedName name="Yr3_leasehold">#REF!</definedName>
    <definedName name="Yr4_leasehold">#REF!</definedName>
    <definedName name="Yr5_leasehold">#REF!</definedName>
    <definedName name="Z_OCC_UNITS">#REF!</definedName>
    <definedName name="Z_UNITS">#REF!</definedName>
    <definedName name="Zip">'[5]92264 Input Assumptions'!$B$9</definedName>
    <definedName name="Zoning_District">'[5]92264 Input Assumptions'!$B$31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2" i="1" l="1"/>
  <c r="G7" i="4" s="1"/>
  <c r="F5" i="13"/>
  <c r="F6" i="13"/>
  <c r="I3" i="6"/>
  <c r="D17" i="6"/>
  <c r="N21" i="1"/>
  <c r="K21" i="1"/>
  <c r="M21" i="1"/>
  <c r="D25" i="3"/>
  <c r="E9" i="15"/>
  <c r="E10" i="15" s="1"/>
  <c r="J34" i="2"/>
  <c r="AB18" i="5"/>
  <c r="Y13" i="5"/>
  <c r="AB19" i="5"/>
  <c r="AB20" i="5"/>
  <c r="AF9" i="5"/>
  <c r="AF7" i="5"/>
  <c r="G10" i="13" l="1"/>
  <c r="G9" i="13"/>
  <c r="G8" i="13"/>
  <c r="G7" i="13"/>
  <c r="H8" i="12" l="1"/>
  <c r="L8" i="12" s="1"/>
  <c r="H13" i="12"/>
  <c r="L13" i="12" s="1"/>
  <c r="G11" i="12"/>
  <c r="I11" i="12"/>
  <c r="H12" i="12"/>
  <c r="H11" i="12" s="1"/>
  <c r="M9" i="12"/>
  <c r="H10" i="12"/>
  <c r="L10" i="12" s="1"/>
  <c r="H9" i="12"/>
  <c r="L9" i="12" s="1"/>
  <c r="I7" i="12"/>
  <c r="L7" i="12" s="1"/>
  <c r="G7" i="12"/>
  <c r="H6" i="12"/>
  <c r="H7" i="12" s="1"/>
  <c r="E7" i="12"/>
  <c r="F7" i="12"/>
  <c r="E8" i="12"/>
  <c r="J8" i="12" s="1"/>
  <c r="F8" i="12"/>
  <c r="M8" i="12" s="1"/>
  <c r="E9" i="12"/>
  <c r="J9" i="12" s="1"/>
  <c r="F9" i="12"/>
  <c r="K9" i="12" s="1"/>
  <c r="E10" i="12"/>
  <c r="J10" i="12" s="1"/>
  <c r="F10" i="12"/>
  <c r="M10" i="12" s="1"/>
  <c r="E11" i="12"/>
  <c r="F11" i="12"/>
  <c r="E12" i="12"/>
  <c r="F12" i="12"/>
  <c r="K12" i="12" s="1"/>
  <c r="E13" i="12"/>
  <c r="J13" i="12" s="1"/>
  <c r="F13" i="12"/>
  <c r="K13" i="12" s="1"/>
  <c r="F6" i="12"/>
  <c r="K6" i="12" s="1"/>
  <c r="E6" i="12"/>
  <c r="J6" i="12" s="1"/>
  <c r="D7" i="12"/>
  <c r="D8" i="12"/>
  <c r="D9" i="12"/>
  <c r="D10" i="12"/>
  <c r="D11" i="12"/>
  <c r="D12" i="12"/>
  <c r="D13" i="12"/>
  <c r="D6" i="12"/>
  <c r="H20" i="6"/>
  <c r="G19" i="6"/>
  <c r="G20" i="6"/>
  <c r="D13" i="3"/>
  <c r="J23" i="2"/>
  <c r="I23" i="2"/>
  <c r="O32" i="1"/>
  <c r="D7" i="3"/>
  <c r="J13" i="2"/>
  <c r="M11" i="12" l="1"/>
  <c r="M7" i="12"/>
  <c r="M13" i="12"/>
  <c r="M12" i="12"/>
  <c r="J11" i="12"/>
  <c r="J7" i="12"/>
  <c r="L11" i="12"/>
  <c r="J12" i="12"/>
  <c r="L6" i="12"/>
  <c r="M6" i="12"/>
  <c r="K10" i="12"/>
  <c r="L12" i="12"/>
  <c r="K7" i="12"/>
  <c r="K8" i="12"/>
  <c r="K11" i="12"/>
  <c r="G17" i="1" l="1"/>
  <c r="X18" i="5" l="1"/>
  <c r="K2" i="4"/>
  <c r="F8" i="5"/>
  <c r="E18" i="5" s="1"/>
  <c r="D13" i="2"/>
  <c r="F13" i="2"/>
  <c r="D14" i="2"/>
  <c r="F14" i="2"/>
  <c r="D15" i="2"/>
  <c r="F15" i="2"/>
  <c r="D16" i="2"/>
  <c r="F16" i="2"/>
  <c r="D17" i="2"/>
  <c r="F17" i="2"/>
  <c r="D18" i="2"/>
  <c r="F18" i="2"/>
  <c r="D19" i="2"/>
  <c r="F19" i="2"/>
  <c r="B19" i="2"/>
  <c r="B13" i="2"/>
  <c r="B14" i="2"/>
  <c r="B15" i="2"/>
  <c r="B16" i="2"/>
  <c r="B17" i="2"/>
  <c r="B18" i="2"/>
  <c r="C33" i="1"/>
  <c r="C19" i="2" s="1"/>
  <c r="C32" i="1"/>
  <c r="C18" i="2" s="1"/>
  <c r="C31" i="1"/>
  <c r="C17" i="2" s="1"/>
  <c r="C30" i="1"/>
  <c r="C16" i="2" s="1"/>
  <c r="C29" i="1"/>
  <c r="C15" i="2" s="1"/>
  <c r="C28" i="1"/>
  <c r="C14" i="2" s="1"/>
  <c r="C27" i="1"/>
  <c r="C13" i="2" s="1"/>
  <c r="C26" i="1"/>
  <c r="D60" i="1" l="1"/>
  <c r="F9" i="5" l="1"/>
  <c r="C18" i="5" l="1"/>
  <c r="Y9" i="5" l="1"/>
  <c r="Y8" i="5"/>
  <c r="Y7" i="5"/>
  <c r="F7" i="5"/>
  <c r="D12" i="3"/>
  <c r="F51" i="1"/>
  <c r="Q71" i="11"/>
  <c r="Q70" i="11"/>
  <c r="Q24" i="11"/>
  <c r="Q23" i="11"/>
  <c r="Q6" i="11"/>
  <c r="E23" i="4"/>
  <c r="F64" i="1"/>
  <c r="F60" i="1"/>
  <c r="E64" i="1"/>
  <c r="E60" i="1"/>
  <c r="V18" i="5" l="1"/>
  <c r="E69" i="1" l="1"/>
  <c r="D64" i="1"/>
  <c r="G62" i="1"/>
  <c r="F62" i="1"/>
  <c r="E62" i="1"/>
  <c r="F47" i="1"/>
  <c r="F46" i="1"/>
  <c r="I9" i="6" l="1"/>
  <c r="P72" i="4"/>
  <c r="Q72" i="4"/>
  <c r="R72" i="4"/>
  <c r="S72" i="4"/>
  <c r="T72" i="4"/>
  <c r="U72" i="4"/>
  <c r="C54" i="4"/>
  <c r="D57" i="4"/>
  <c r="E57" i="4" s="1"/>
  <c r="F57" i="4" s="1"/>
  <c r="G57" i="4" s="1"/>
  <c r="H57" i="4" s="1"/>
  <c r="I57" i="4" s="1"/>
  <c r="J57" i="4" s="1"/>
  <c r="K57" i="4" s="1"/>
  <c r="L57" i="4" s="1"/>
  <c r="M57" i="4" s="1"/>
  <c r="N57" i="4" s="1"/>
  <c r="O57" i="4" s="1"/>
  <c r="P57" i="4" s="1"/>
  <c r="Q57" i="4" s="1"/>
  <c r="R57" i="4" s="1"/>
  <c r="S57" i="4" s="1"/>
  <c r="T57" i="4" s="1"/>
  <c r="U57" i="4" s="1"/>
  <c r="V57" i="4" s="1"/>
  <c r="W57" i="4" s="1"/>
  <c r="X57" i="4" s="1"/>
  <c r="I18" i="6" l="1"/>
  <c r="I20" i="6"/>
  <c r="D54" i="4"/>
  <c r="AD19" i="5"/>
  <c r="U19" i="5"/>
  <c r="AD20" i="5" l="1"/>
  <c r="X19" i="5"/>
  <c r="V19" i="5"/>
  <c r="E54" i="4"/>
  <c r="U20" i="5"/>
  <c r="AD21" i="5" s="1"/>
  <c r="F54" i="4" l="1"/>
  <c r="U21" i="5"/>
  <c r="AD22" i="5" s="1"/>
  <c r="G54" i="4" l="1"/>
  <c r="U22" i="5"/>
  <c r="AD23" i="5" s="1"/>
  <c r="H54" i="4" l="1"/>
  <c r="U23" i="5"/>
  <c r="AD24" i="5" s="1"/>
  <c r="I54" i="4" l="1"/>
  <c r="U24" i="5"/>
  <c r="AD25" i="5" s="1"/>
  <c r="J54" i="4" l="1"/>
  <c r="U25" i="5"/>
  <c r="AD26" i="5" s="1"/>
  <c r="K54" i="4" l="1"/>
  <c r="U26" i="5"/>
  <c r="AD27" i="5" s="1"/>
  <c r="L54" i="4" l="1"/>
  <c r="U27" i="5"/>
  <c r="AD28" i="5" s="1"/>
  <c r="M54" i="4" l="1"/>
  <c r="U28" i="5"/>
  <c r="N54" i="4" l="1"/>
  <c r="U29" i="5"/>
  <c r="O54" i="4" l="1"/>
  <c r="U30" i="5"/>
  <c r="P54" i="4" l="1"/>
  <c r="U31" i="5"/>
  <c r="Q54" i="4" l="1"/>
  <c r="U32" i="5"/>
  <c r="R54" i="4" l="1"/>
  <c r="U33" i="5"/>
  <c r="S54" i="4" l="1"/>
  <c r="U34" i="5"/>
  <c r="T54" i="4" l="1"/>
  <c r="U35" i="5"/>
  <c r="U54" i="4" l="1"/>
  <c r="U36" i="5"/>
  <c r="V54" i="4" l="1"/>
  <c r="U37" i="5"/>
  <c r="W54" i="4" l="1"/>
  <c r="U38" i="5"/>
  <c r="X54" i="4" l="1"/>
  <c r="U39" i="5"/>
  <c r="U40" i="5" l="1"/>
  <c r="C35" i="1" l="1"/>
  <c r="D35" i="1" s="1"/>
  <c r="G27" i="1"/>
  <c r="G13" i="2" s="1"/>
  <c r="G28" i="1"/>
  <c r="G14" i="2" s="1"/>
  <c r="G29" i="1"/>
  <c r="G15" i="2" s="1"/>
  <c r="G30" i="1"/>
  <c r="G16" i="2" s="1"/>
  <c r="G31" i="1"/>
  <c r="G17" i="2" s="1"/>
  <c r="G32" i="1"/>
  <c r="G18" i="2" s="1"/>
  <c r="G33" i="1"/>
  <c r="G19" i="2" s="1"/>
  <c r="E27" i="1"/>
  <c r="E13" i="2" s="1"/>
  <c r="E28" i="1"/>
  <c r="E14" i="2" s="1"/>
  <c r="E29" i="1"/>
  <c r="E15" i="2" s="1"/>
  <c r="E30" i="1"/>
  <c r="E16" i="2" s="1"/>
  <c r="E31" i="1"/>
  <c r="E17" i="2" s="1"/>
  <c r="E32" i="1"/>
  <c r="E18" i="2" s="1"/>
  <c r="E33" i="1"/>
  <c r="E19" i="2" s="1"/>
  <c r="B38" i="1"/>
  <c r="L19" i="5" l="1"/>
  <c r="L20" i="5" s="1"/>
  <c r="L21" i="5" s="1"/>
  <c r="M19" i="5"/>
  <c r="M20" i="5" s="1"/>
  <c r="M21" i="5" s="1"/>
  <c r="I31" i="2"/>
  <c r="I30" i="2"/>
  <c r="E14" i="9" l="1"/>
  <c r="E13" i="9"/>
  <c r="E12" i="9"/>
  <c r="E15" i="9" s="1"/>
  <c r="B7" i="9"/>
  <c r="B6" i="9"/>
  <c r="B5" i="9"/>
  <c r="B3" i="9"/>
  <c r="C12" i="8"/>
  <c r="E14" i="8" s="1"/>
  <c r="F4" i="7"/>
  <c r="C4" i="7"/>
  <c r="H5" i="6"/>
  <c r="G4" i="6"/>
  <c r="G14" i="6" s="1"/>
  <c r="J3" i="6"/>
  <c r="J9" i="6" s="1"/>
  <c r="B1" i="6"/>
  <c r="K19" i="5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J19" i="5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B19" i="5"/>
  <c r="C1" i="5"/>
  <c r="F18" i="4"/>
  <c r="G9" i="4"/>
  <c r="C8" i="4"/>
  <c r="I3" i="4"/>
  <c r="B1" i="4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C72" i="3"/>
  <c r="D65" i="3"/>
  <c r="D63" i="3"/>
  <c r="D61" i="3"/>
  <c r="D59" i="3"/>
  <c r="E57" i="3"/>
  <c r="E56" i="3"/>
  <c r="E55" i="3"/>
  <c r="E54" i="3"/>
  <c r="F54" i="3" s="1"/>
  <c r="G53" i="3"/>
  <c r="H53" i="3" s="1"/>
  <c r="I53" i="3" s="1"/>
  <c r="J53" i="3" s="1"/>
  <c r="K53" i="3" s="1"/>
  <c r="E40" i="3"/>
  <c r="E39" i="3"/>
  <c r="E38" i="3"/>
  <c r="E37" i="3"/>
  <c r="G11" i="3"/>
  <c r="F11" i="3"/>
  <c r="G4" i="3"/>
  <c r="B1" i="3"/>
  <c r="G34" i="2"/>
  <c r="G37" i="2" s="1"/>
  <c r="I32" i="2"/>
  <c r="I27" i="2"/>
  <c r="I26" i="2"/>
  <c r="I25" i="2"/>
  <c r="I24" i="2"/>
  <c r="I22" i="2"/>
  <c r="I21" i="2"/>
  <c r="B21" i="2"/>
  <c r="J20" i="2"/>
  <c r="D15" i="3" s="1"/>
  <c r="B20" i="2"/>
  <c r="J19" i="2"/>
  <c r="I19" i="2"/>
  <c r="J18" i="2"/>
  <c r="I18" i="2"/>
  <c r="I16" i="2"/>
  <c r="I15" i="2"/>
  <c r="F12" i="2"/>
  <c r="D12" i="2"/>
  <c r="C12" i="2"/>
  <c r="B12" i="2"/>
  <c r="B1" i="2"/>
  <c r="J27" i="2"/>
  <c r="O37" i="1"/>
  <c r="G26" i="1"/>
  <c r="E26" i="1"/>
  <c r="E12" i="2" s="1"/>
  <c r="C10" i="1"/>
  <c r="C12" i="1" s="1"/>
  <c r="H4" i="6" s="1"/>
  <c r="J18" i="6" l="1"/>
  <c r="J20" i="6"/>
  <c r="E19" i="5"/>
  <c r="C19" i="5"/>
  <c r="E13" i="3"/>
  <c r="G35" i="1"/>
  <c r="F35" i="1" s="1"/>
  <c r="E35" i="1" s="1"/>
  <c r="C20" i="2"/>
  <c r="C38" i="1"/>
  <c r="L22" i="5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M22" i="5"/>
  <c r="M23" i="5" s="1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J54" i="3"/>
  <c r="H9" i="4"/>
  <c r="I9" i="4" s="1"/>
  <c r="J9" i="4" s="1"/>
  <c r="K9" i="4" s="1"/>
  <c r="L9" i="4" s="1"/>
  <c r="J21" i="2"/>
  <c r="G10" i="4"/>
  <c r="C17" i="3"/>
  <c r="L53" i="3"/>
  <c r="L57" i="3" s="1"/>
  <c r="K54" i="3"/>
  <c r="K55" i="3"/>
  <c r="H4" i="3"/>
  <c r="AE7" i="3"/>
  <c r="AD7" i="3"/>
  <c r="H14" i="6"/>
  <c r="I4" i="6"/>
  <c r="G12" i="2"/>
  <c r="AE13" i="3"/>
  <c r="AD13" i="3"/>
  <c r="D38" i="1"/>
  <c r="H55" i="3"/>
  <c r="J56" i="3"/>
  <c r="I55" i="3"/>
  <c r="G54" i="3"/>
  <c r="J55" i="3"/>
  <c r="H54" i="3"/>
  <c r="I54" i="3"/>
  <c r="E6" i="3"/>
  <c r="AD6" i="3" s="1"/>
  <c r="J57" i="3"/>
  <c r="I57" i="3"/>
  <c r="H57" i="3"/>
  <c r="F57" i="3"/>
  <c r="K56" i="3"/>
  <c r="H56" i="3"/>
  <c r="G57" i="3"/>
  <c r="F56" i="3"/>
  <c r="K57" i="3"/>
  <c r="F55" i="3"/>
  <c r="G56" i="3"/>
  <c r="J3" i="4"/>
  <c r="G55" i="3"/>
  <c r="I56" i="3"/>
  <c r="K3" i="6"/>
  <c r="B20" i="5"/>
  <c r="E20" i="5" l="1"/>
  <c r="C20" i="5"/>
  <c r="D49" i="1"/>
  <c r="D48" i="1" s="1"/>
  <c r="F48" i="1" s="1"/>
  <c r="D39" i="1"/>
  <c r="G36" i="1"/>
  <c r="I10" i="4"/>
  <c r="H10" i="4"/>
  <c r="K10" i="4"/>
  <c r="J10" i="4"/>
  <c r="AE6" i="3"/>
  <c r="I4" i="8"/>
  <c r="D20" i="2"/>
  <c r="M53" i="3"/>
  <c r="L54" i="3"/>
  <c r="L55" i="3"/>
  <c r="L56" i="3"/>
  <c r="I4" i="3"/>
  <c r="H11" i="3"/>
  <c r="M9" i="4"/>
  <c r="L10" i="4"/>
  <c r="I5" i="8"/>
  <c r="C13" i="8" s="1"/>
  <c r="B4" i="9"/>
  <c r="B8" i="9" s="1"/>
  <c r="O51" i="1" s="1"/>
  <c r="D10" i="3" s="1"/>
  <c r="C15" i="4"/>
  <c r="G38" i="1"/>
  <c r="G20" i="2"/>
  <c r="K9" i="6"/>
  <c r="K20" i="6" s="1"/>
  <c r="L3" i="6"/>
  <c r="B21" i="5"/>
  <c r="K3" i="4"/>
  <c r="I14" i="6"/>
  <c r="J4" i="6"/>
  <c r="G24" i="4" l="1"/>
  <c r="F24" i="4" s="1"/>
  <c r="E24" i="4" s="1"/>
  <c r="G19" i="4"/>
  <c r="E21" i="5"/>
  <c r="C21" i="5"/>
  <c r="C59" i="4"/>
  <c r="D59" i="4"/>
  <c r="E59" i="4"/>
  <c r="F59" i="4"/>
  <c r="G59" i="4"/>
  <c r="H59" i="4"/>
  <c r="I59" i="4"/>
  <c r="J59" i="4"/>
  <c r="K59" i="4"/>
  <c r="L59" i="4"/>
  <c r="M59" i="4"/>
  <c r="P59" i="4"/>
  <c r="R59" i="4"/>
  <c r="S59" i="4"/>
  <c r="U59" i="4"/>
  <c r="W59" i="4"/>
  <c r="N59" i="4"/>
  <c r="Q59" i="4"/>
  <c r="X59" i="4"/>
  <c r="O59" i="4"/>
  <c r="T59" i="4"/>
  <c r="V59" i="4"/>
  <c r="D50" i="1"/>
  <c r="F50" i="1" s="1"/>
  <c r="F49" i="1"/>
  <c r="G25" i="4"/>
  <c r="G26" i="4"/>
  <c r="F26" i="4" s="1"/>
  <c r="E26" i="4" s="1"/>
  <c r="G21" i="4"/>
  <c r="F21" i="4" s="1"/>
  <c r="E21" i="4" s="1"/>
  <c r="G22" i="4"/>
  <c r="G20" i="4"/>
  <c r="G23" i="4"/>
  <c r="K18" i="6"/>
  <c r="C55" i="4"/>
  <c r="C56" i="4" s="1"/>
  <c r="D55" i="4"/>
  <c r="D56" i="4" s="1"/>
  <c r="E55" i="4"/>
  <c r="E56" i="4" s="1"/>
  <c r="F55" i="4"/>
  <c r="F56" i="4" s="1"/>
  <c r="G55" i="4"/>
  <c r="G56" i="4" s="1"/>
  <c r="H55" i="4"/>
  <c r="H56" i="4" s="1"/>
  <c r="I55" i="4"/>
  <c r="I56" i="4" s="1"/>
  <c r="J55" i="4"/>
  <c r="J56" i="4" s="1"/>
  <c r="K55" i="4"/>
  <c r="K56" i="4" s="1"/>
  <c r="L55" i="4"/>
  <c r="M55" i="4"/>
  <c r="M56" i="4" s="1"/>
  <c r="N55" i="4"/>
  <c r="O55" i="4"/>
  <c r="P55" i="4"/>
  <c r="Q55" i="4"/>
  <c r="R55" i="4"/>
  <c r="R56" i="4" s="1"/>
  <c r="S55" i="4"/>
  <c r="S56" i="4" s="1"/>
  <c r="T55" i="4"/>
  <c r="T56" i="4" s="1"/>
  <c r="U55" i="4"/>
  <c r="U56" i="4" s="1"/>
  <c r="V55" i="4"/>
  <c r="V56" i="4" s="1"/>
  <c r="W55" i="4"/>
  <c r="W56" i="4" s="1"/>
  <c r="X55" i="4"/>
  <c r="X56" i="4" s="1"/>
  <c r="F38" i="1"/>
  <c r="N53" i="3"/>
  <c r="M54" i="3"/>
  <c r="M55" i="3"/>
  <c r="M56" i="3"/>
  <c r="M57" i="3"/>
  <c r="J29" i="2"/>
  <c r="N9" i="4"/>
  <c r="M10" i="4"/>
  <c r="I6" i="8"/>
  <c r="I8" i="8" s="1"/>
  <c r="I10" i="8" s="1"/>
  <c r="M3" i="6"/>
  <c r="F20" i="2"/>
  <c r="E38" i="1"/>
  <c r="L3" i="4"/>
  <c r="J14" i="6"/>
  <c r="K4" i="6"/>
  <c r="G5" i="4"/>
  <c r="G40" i="1"/>
  <c r="B22" i="5"/>
  <c r="I11" i="3"/>
  <c r="J4" i="3"/>
  <c r="L56" i="4" l="1"/>
  <c r="P56" i="4"/>
  <c r="N56" i="4"/>
  <c r="O56" i="4"/>
  <c r="Q56" i="4"/>
  <c r="G59" i="1"/>
  <c r="H5" i="4"/>
  <c r="D65" i="4"/>
  <c r="T65" i="4"/>
  <c r="E65" i="4"/>
  <c r="V65" i="4"/>
  <c r="G65" i="4"/>
  <c r="W65" i="4"/>
  <c r="H65" i="4"/>
  <c r="X65" i="4"/>
  <c r="I65" i="4"/>
  <c r="J65" i="4"/>
  <c r="L65" i="4"/>
  <c r="M65" i="4"/>
  <c r="O65" i="4"/>
  <c r="P65" i="4"/>
  <c r="U65" i="4"/>
  <c r="K65" i="4"/>
  <c r="N65" i="4"/>
  <c r="Q65" i="4"/>
  <c r="R65" i="4"/>
  <c r="S65" i="4"/>
  <c r="F65" i="4"/>
  <c r="N69" i="4"/>
  <c r="V69" i="4"/>
  <c r="T69" i="4"/>
  <c r="O69" i="4"/>
  <c r="Q69" i="4"/>
  <c r="M69" i="4"/>
  <c r="S69" i="4"/>
  <c r="P69" i="4"/>
  <c r="X69" i="4"/>
  <c r="W69" i="4"/>
  <c r="U69" i="4"/>
  <c r="R69" i="4"/>
  <c r="H20" i="4"/>
  <c r="C65" i="4"/>
  <c r="Y59" i="4"/>
  <c r="F5" i="4" s="1"/>
  <c r="E5" i="4"/>
  <c r="Q67" i="4"/>
  <c r="M67" i="4"/>
  <c r="L67" i="4"/>
  <c r="J67" i="4"/>
  <c r="G67" i="4"/>
  <c r="F67" i="4"/>
  <c r="D67" i="4"/>
  <c r="R67" i="4"/>
  <c r="S67" i="4"/>
  <c r="K67" i="4"/>
  <c r="I67" i="4"/>
  <c r="H67" i="4"/>
  <c r="C67" i="4"/>
  <c r="E67" i="4"/>
  <c r="U67" i="4"/>
  <c r="V67" i="4"/>
  <c r="N67" i="4"/>
  <c r="T67" i="4"/>
  <c r="O67" i="4"/>
  <c r="P67" i="4"/>
  <c r="H21" i="4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N66" i="4"/>
  <c r="H66" i="4"/>
  <c r="O66" i="4"/>
  <c r="I66" i="4"/>
  <c r="J66" i="4"/>
  <c r="Q66" i="4"/>
  <c r="K66" i="4"/>
  <c r="X66" i="4"/>
  <c r="L66" i="4"/>
  <c r="T66" i="4"/>
  <c r="D66" i="4"/>
  <c r="E66" i="4"/>
  <c r="P66" i="4"/>
  <c r="R66" i="4"/>
  <c r="S66" i="4"/>
  <c r="U66" i="4"/>
  <c r="V66" i="4"/>
  <c r="W66" i="4"/>
  <c r="C66" i="4"/>
  <c r="M66" i="4"/>
  <c r="G66" i="4"/>
  <c r="F66" i="4"/>
  <c r="D70" i="4"/>
  <c r="E70" i="4"/>
  <c r="F70" i="4"/>
  <c r="G70" i="4"/>
  <c r="M70" i="4"/>
  <c r="I70" i="4"/>
  <c r="C70" i="4"/>
  <c r="K70" i="4"/>
  <c r="P70" i="4"/>
  <c r="H70" i="4"/>
  <c r="J70" i="4"/>
  <c r="L70" i="4"/>
  <c r="O70" i="4"/>
  <c r="N70" i="4"/>
  <c r="Q70" i="4"/>
  <c r="L72" i="4"/>
  <c r="E72" i="4"/>
  <c r="G72" i="4"/>
  <c r="H72" i="4"/>
  <c r="I72" i="4"/>
  <c r="K72" i="4"/>
  <c r="C72" i="4"/>
  <c r="F72" i="4"/>
  <c r="J72" i="4"/>
  <c r="D72" i="4"/>
  <c r="N22" i="1"/>
  <c r="D16" i="3" s="1"/>
  <c r="AE10" i="3"/>
  <c r="AD10" i="3"/>
  <c r="K14" i="6"/>
  <c r="L4" i="6"/>
  <c r="G18" i="4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G6" i="4"/>
  <c r="G60" i="1" s="1"/>
  <c r="F19" i="4"/>
  <c r="E19" i="4" s="1"/>
  <c r="B23" i="5"/>
  <c r="N23" i="1"/>
  <c r="D9" i="3" s="1"/>
  <c r="E20" i="2"/>
  <c r="O53" i="3"/>
  <c r="N54" i="3"/>
  <c r="N57" i="3"/>
  <c r="N56" i="3"/>
  <c r="N55" i="3"/>
  <c r="J16" i="2"/>
  <c r="D8" i="3"/>
  <c r="E8" i="3" s="1"/>
  <c r="M31" i="1"/>
  <c r="D11" i="3"/>
  <c r="J15" i="2"/>
  <c r="I12" i="8"/>
  <c r="I13" i="8" s="1"/>
  <c r="I15" i="8" s="1"/>
  <c r="O9" i="4"/>
  <c r="N10" i="4"/>
  <c r="M3" i="4"/>
  <c r="N3" i="6"/>
  <c r="J11" i="3"/>
  <c r="K4" i="3"/>
  <c r="AD16" i="3" l="1"/>
  <c r="AE16" i="3"/>
  <c r="Y66" i="4"/>
  <c r="X60" i="4"/>
  <c r="X61" i="4" s="1"/>
  <c r="W60" i="4"/>
  <c r="W61" i="4" s="1"/>
  <c r="V60" i="4"/>
  <c r="V61" i="4" s="1"/>
  <c r="U60" i="4"/>
  <c r="U61" i="4" s="1"/>
  <c r="N60" i="4"/>
  <c r="T60" i="4"/>
  <c r="T61" i="4" s="1"/>
  <c r="S60" i="4"/>
  <c r="S61" i="4" s="1"/>
  <c r="Q60" i="4"/>
  <c r="Q61" i="4" s="1"/>
  <c r="O60" i="4"/>
  <c r="O61" i="4" s="1"/>
  <c r="R60" i="4"/>
  <c r="R61" i="4" s="1"/>
  <c r="P60" i="4"/>
  <c r="P61" i="4" s="1"/>
  <c r="G33" i="2"/>
  <c r="G35" i="2" s="1"/>
  <c r="G36" i="2" s="1"/>
  <c r="G38" i="2" s="1"/>
  <c r="M60" i="4"/>
  <c r="M61" i="4" s="1"/>
  <c r="C60" i="4"/>
  <c r="D60" i="4"/>
  <c r="D61" i="4" s="1"/>
  <c r="E60" i="4"/>
  <c r="E61" i="4" s="1"/>
  <c r="F60" i="4"/>
  <c r="F61" i="4" s="1"/>
  <c r="G60" i="4"/>
  <c r="G61" i="4" s="1"/>
  <c r="H60" i="4"/>
  <c r="H61" i="4" s="1"/>
  <c r="I60" i="4"/>
  <c r="I61" i="4" s="1"/>
  <c r="J60" i="4"/>
  <c r="J61" i="4" s="1"/>
  <c r="K60" i="4"/>
  <c r="K61" i="4" s="1"/>
  <c r="L60" i="4"/>
  <c r="L61" i="4" s="1"/>
  <c r="E52" i="1"/>
  <c r="Y67" i="4"/>
  <c r="K69" i="4"/>
  <c r="D69" i="4"/>
  <c r="L69" i="4"/>
  <c r="J69" i="4"/>
  <c r="C69" i="4"/>
  <c r="E69" i="4"/>
  <c r="I69" i="4"/>
  <c r="H69" i="4"/>
  <c r="G69" i="4"/>
  <c r="F69" i="4"/>
  <c r="E59" i="1"/>
  <c r="Y69" i="4"/>
  <c r="S64" i="4"/>
  <c r="C64" i="4"/>
  <c r="T64" i="4"/>
  <c r="U64" i="4"/>
  <c r="V64" i="4"/>
  <c r="W64" i="4"/>
  <c r="E64" i="4"/>
  <c r="F64" i="4"/>
  <c r="G64" i="4"/>
  <c r="N64" i="4"/>
  <c r="I64" i="4"/>
  <c r="J64" i="4"/>
  <c r="Q64" i="4"/>
  <c r="M64" i="4"/>
  <c r="X64" i="4"/>
  <c r="D64" i="4"/>
  <c r="H64" i="4"/>
  <c r="O64" i="4"/>
  <c r="P64" i="4"/>
  <c r="K64" i="4"/>
  <c r="L64" i="4"/>
  <c r="R64" i="4"/>
  <c r="F59" i="1"/>
  <c r="F25" i="4"/>
  <c r="O29" i="1"/>
  <c r="K29" i="1" s="1"/>
  <c r="X67" i="4"/>
  <c r="W67" i="4"/>
  <c r="T68" i="4"/>
  <c r="U68" i="4"/>
  <c r="N68" i="4"/>
  <c r="V68" i="4"/>
  <c r="X68" i="4"/>
  <c r="M68" i="4"/>
  <c r="P68" i="4"/>
  <c r="R68" i="4"/>
  <c r="W68" i="4"/>
  <c r="O68" i="4"/>
  <c r="Q68" i="4"/>
  <c r="S68" i="4"/>
  <c r="S70" i="4"/>
  <c r="T70" i="4"/>
  <c r="X70" i="4"/>
  <c r="R70" i="4"/>
  <c r="W70" i="4"/>
  <c r="V70" i="4"/>
  <c r="U70" i="4"/>
  <c r="I17" i="8"/>
  <c r="I19" i="8" s="1"/>
  <c r="D4" i="8" s="1"/>
  <c r="AE8" i="3"/>
  <c r="I20" i="4"/>
  <c r="J20" i="4" s="1"/>
  <c r="K20" i="4" s="1"/>
  <c r="L20" i="4" s="1"/>
  <c r="M20" i="4" s="1"/>
  <c r="N20" i="4" s="1"/>
  <c r="O20" i="4" s="1"/>
  <c r="P20" i="4" s="1"/>
  <c r="Q20" i="4" s="1"/>
  <c r="R20" i="4" s="1"/>
  <c r="S20" i="4" s="1"/>
  <c r="T20" i="4" s="1"/>
  <c r="U20" i="4" s="1"/>
  <c r="V20" i="4" s="1"/>
  <c r="W20" i="4" s="1"/>
  <c r="X20" i="4" s="1"/>
  <c r="Y20" i="4" s="1"/>
  <c r="Z20" i="4" s="1"/>
  <c r="AA20" i="4" s="1"/>
  <c r="AB20" i="4" s="1"/>
  <c r="AC20" i="4" s="1"/>
  <c r="AD20" i="4" s="1"/>
  <c r="AE20" i="4" s="1"/>
  <c r="I5" i="4"/>
  <c r="H6" i="4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N3" i="4"/>
  <c r="H23" i="4"/>
  <c r="I23" i="4" s="1"/>
  <c r="J23" i="4" s="1"/>
  <c r="K23" i="4" s="1"/>
  <c r="L23" i="4" s="1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W23" i="4" s="1"/>
  <c r="X23" i="4" s="1"/>
  <c r="Y23" i="4" s="1"/>
  <c r="Z23" i="4" s="1"/>
  <c r="AA23" i="4" s="1"/>
  <c r="AB23" i="4" s="1"/>
  <c r="AC23" i="4" s="1"/>
  <c r="AD23" i="4" s="1"/>
  <c r="AE23" i="4" s="1"/>
  <c r="AE9" i="3"/>
  <c r="AD9" i="3"/>
  <c r="H26" i="4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S26" i="4" s="1"/>
  <c r="T26" i="4" s="1"/>
  <c r="U26" i="4" s="1"/>
  <c r="V26" i="4" s="1"/>
  <c r="W26" i="4" s="1"/>
  <c r="X26" i="4" s="1"/>
  <c r="Y26" i="4" s="1"/>
  <c r="Z26" i="4" s="1"/>
  <c r="AA26" i="4" s="1"/>
  <c r="AB26" i="4" s="1"/>
  <c r="AC26" i="4" s="1"/>
  <c r="AD26" i="4" s="1"/>
  <c r="AE26" i="4" s="1"/>
  <c r="H22" i="4"/>
  <c r="I22" i="4" s="1"/>
  <c r="J22" i="4" s="1"/>
  <c r="K22" i="4" s="1"/>
  <c r="L22" i="4" s="1"/>
  <c r="M22" i="4" s="1"/>
  <c r="N22" i="4" s="1"/>
  <c r="O22" i="4" s="1"/>
  <c r="P22" i="4" s="1"/>
  <c r="Q22" i="4" s="1"/>
  <c r="R22" i="4" s="1"/>
  <c r="S22" i="4" s="1"/>
  <c r="T22" i="4" s="1"/>
  <c r="U22" i="4" s="1"/>
  <c r="V22" i="4" s="1"/>
  <c r="W22" i="4" s="1"/>
  <c r="X22" i="4" s="1"/>
  <c r="Y22" i="4" s="1"/>
  <c r="Z22" i="4" s="1"/>
  <c r="AA22" i="4" s="1"/>
  <c r="AB22" i="4" s="1"/>
  <c r="AC22" i="4" s="1"/>
  <c r="AD22" i="4" s="1"/>
  <c r="AE22" i="4" s="1"/>
  <c r="K11" i="3"/>
  <c r="L4" i="3"/>
  <c r="O54" i="3"/>
  <c r="O55" i="3"/>
  <c r="P53" i="3"/>
  <c r="O56" i="3"/>
  <c r="O57" i="3"/>
  <c r="L14" i="6"/>
  <c r="M4" i="6"/>
  <c r="N9" i="6"/>
  <c r="N20" i="6" s="1"/>
  <c r="N6" i="6"/>
  <c r="N19" i="6" s="1"/>
  <c r="O3" i="6"/>
  <c r="O10" i="4"/>
  <c r="P9" i="4"/>
  <c r="B24" i="5"/>
  <c r="E7" i="4" l="1"/>
  <c r="L29" i="1"/>
  <c r="Y70" i="4"/>
  <c r="Y65" i="4"/>
  <c r="F20" i="4" s="1"/>
  <c r="G63" i="1"/>
  <c r="H7" i="4"/>
  <c r="I7" i="4" s="1"/>
  <c r="G8" i="4"/>
  <c r="G64" i="1" s="1"/>
  <c r="G40" i="2"/>
  <c r="G42" i="2" s="1"/>
  <c r="Y60" i="4"/>
  <c r="F7" i="4" s="1"/>
  <c r="N61" i="4"/>
  <c r="Y61" i="4" s="1"/>
  <c r="Y68" i="4"/>
  <c r="F23" i="4" s="1"/>
  <c r="C61" i="4"/>
  <c r="Y64" i="4"/>
  <c r="N18" i="6"/>
  <c r="E20" i="4"/>
  <c r="F22" i="4"/>
  <c r="E22" i="4"/>
  <c r="D5" i="8"/>
  <c r="E5" i="8" s="1"/>
  <c r="F5" i="8" s="1"/>
  <c r="E4" i="8"/>
  <c r="D7" i="8"/>
  <c r="D6" i="8"/>
  <c r="E6" i="8" s="1"/>
  <c r="F6" i="8" s="1"/>
  <c r="I6" i="4"/>
  <c r="J5" i="4"/>
  <c r="O9" i="6"/>
  <c r="O20" i="6" s="1"/>
  <c r="O6" i="6"/>
  <c r="O19" i="6" s="1"/>
  <c r="P3" i="6"/>
  <c r="L11" i="3"/>
  <c r="M4" i="3"/>
  <c r="N10" i="6"/>
  <c r="M14" i="6"/>
  <c r="N4" i="6"/>
  <c r="P10" i="4"/>
  <c r="Q9" i="4"/>
  <c r="O3" i="4"/>
  <c r="P54" i="3"/>
  <c r="Q53" i="3"/>
  <c r="P56" i="3"/>
  <c r="P55" i="3"/>
  <c r="P57" i="3"/>
  <c r="AD8" i="3"/>
  <c r="B25" i="5"/>
  <c r="G11" i="4" l="1"/>
  <c r="E63" i="1"/>
  <c r="E11" i="4"/>
  <c r="F63" i="1"/>
  <c r="F11" i="4"/>
  <c r="H8" i="4"/>
  <c r="H11" i="4" s="1"/>
  <c r="H13" i="4" s="1"/>
  <c r="O18" i="6"/>
  <c r="M11" i="3"/>
  <c r="N4" i="3"/>
  <c r="F4" i="8"/>
  <c r="N14" i="6"/>
  <c r="O4" i="6"/>
  <c r="B26" i="5"/>
  <c r="P3" i="4"/>
  <c r="K5" i="4"/>
  <c r="J6" i="4"/>
  <c r="R9" i="4"/>
  <c r="Q10" i="4"/>
  <c r="D8" i="8"/>
  <c r="E8" i="8" s="1"/>
  <c r="F8" i="8" s="1"/>
  <c r="E7" i="8"/>
  <c r="F7" i="8" s="1"/>
  <c r="P9" i="6"/>
  <c r="P20" i="6" s="1"/>
  <c r="P6" i="6"/>
  <c r="P19" i="6" s="1"/>
  <c r="Q3" i="6"/>
  <c r="O10" i="6"/>
  <c r="Q54" i="3"/>
  <c r="R53" i="3"/>
  <c r="Q57" i="3"/>
  <c r="Q56" i="3"/>
  <c r="Q55" i="3"/>
  <c r="G17" i="4" l="1"/>
  <c r="G13" i="4"/>
  <c r="G65" i="1" s="1"/>
  <c r="I8" i="4"/>
  <c r="I11" i="4" s="1"/>
  <c r="I13" i="4" s="1"/>
  <c r="J7" i="4"/>
  <c r="E17" i="4"/>
  <c r="E13" i="4"/>
  <c r="E65" i="1" s="1"/>
  <c r="H17" i="4"/>
  <c r="F13" i="4"/>
  <c r="F65" i="1" s="1"/>
  <c r="F17" i="4"/>
  <c r="P18" i="6"/>
  <c r="I17" i="4"/>
  <c r="K6" i="4"/>
  <c r="L5" i="4"/>
  <c r="O14" i="6"/>
  <c r="P4" i="6"/>
  <c r="R10" i="4"/>
  <c r="S9" i="4"/>
  <c r="N11" i="3"/>
  <c r="O4" i="3"/>
  <c r="F12" i="8"/>
  <c r="Q3" i="4"/>
  <c r="Q9" i="6"/>
  <c r="Q20" i="6" s="1"/>
  <c r="Q6" i="6"/>
  <c r="Q19" i="6" s="1"/>
  <c r="R3" i="6"/>
  <c r="S53" i="3"/>
  <c r="R57" i="3"/>
  <c r="R56" i="3"/>
  <c r="R55" i="3"/>
  <c r="R54" i="3"/>
  <c r="E12" i="8"/>
  <c r="V72" i="4" s="1"/>
  <c r="P10" i="6"/>
  <c r="B27" i="5"/>
  <c r="K7" i="4" l="1"/>
  <c r="J8" i="4"/>
  <c r="J11" i="4" s="1"/>
  <c r="Q18" i="6"/>
  <c r="P14" i="6"/>
  <c r="Q4" i="6"/>
  <c r="R3" i="4"/>
  <c r="L6" i="4"/>
  <c r="M5" i="4"/>
  <c r="O11" i="3"/>
  <c r="P4" i="3"/>
  <c r="S54" i="3"/>
  <c r="T53" i="3"/>
  <c r="S56" i="3"/>
  <c r="S55" i="3"/>
  <c r="S57" i="3"/>
  <c r="R9" i="6"/>
  <c r="R20" i="6" s="1"/>
  <c r="R6" i="6"/>
  <c r="R19" i="6" s="1"/>
  <c r="S3" i="6"/>
  <c r="Q10" i="6"/>
  <c r="B28" i="5"/>
  <c r="S10" i="4"/>
  <c r="T9" i="4"/>
  <c r="J13" i="4" l="1"/>
  <c r="J17" i="4"/>
  <c r="K8" i="4"/>
  <c r="K11" i="4" s="1"/>
  <c r="K13" i="4" s="1"/>
  <c r="L7" i="4"/>
  <c r="R18" i="6"/>
  <c r="Q14" i="6"/>
  <c r="R4" i="6"/>
  <c r="T10" i="4"/>
  <c r="U9" i="4"/>
  <c r="M6" i="4"/>
  <c r="N5" i="4"/>
  <c r="T54" i="3"/>
  <c r="U53" i="3"/>
  <c r="T55" i="3"/>
  <c r="T56" i="3"/>
  <c r="T57" i="3"/>
  <c r="H25" i="4"/>
  <c r="I25" i="4" s="1"/>
  <c r="J25" i="4" s="1"/>
  <c r="K25" i="4" s="1"/>
  <c r="L25" i="4" s="1"/>
  <c r="M25" i="4" s="1"/>
  <c r="N25" i="4" s="1"/>
  <c r="O25" i="4" s="1"/>
  <c r="P25" i="4" s="1"/>
  <c r="Q25" i="4" s="1"/>
  <c r="R25" i="4" s="1"/>
  <c r="S25" i="4" s="1"/>
  <c r="T25" i="4" s="1"/>
  <c r="U25" i="4" s="1"/>
  <c r="V25" i="4" s="1"/>
  <c r="W25" i="4" s="1"/>
  <c r="X25" i="4" s="1"/>
  <c r="Y25" i="4" s="1"/>
  <c r="Z25" i="4" s="1"/>
  <c r="AA25" i="4" s="1"/>
  <c r="AB25" i="4" s="1"/>
  <c r="AC25" i="4" s="1"/>
  <c r="AD25" i="4" s="1"/>
  <c r="AE25" i="4" s="1"/>
  <c r="S3" i="4"/>
  <c r="B29" i="5"/>
  <c r="P11" i="3"/>
  <c r="Q4" i="3"/>
  <c r="S9" i="6"/>
  <c r="S20" i="6" s="1"/>
  <c r="S6" i="6"/>
  <c r="S19" i="6" s="1"/>
  <c r="T3" i="6"/>
  <c r="R10" i="6"/>
  <c r="K17" i="4" l="1"/>
  <c r="L8" i="4"/>
  <c r="L11" i="4" s="1"/>
  <c r="M7" i="4"/>
  <c r="I71" i="4"/>
  <c r="L71" i="4"/>
  <c r="M71" i="4"/>
  <c r="O71" i="4"/>
  <c r="P71" i="4"/>
  <c r="P73" i="4" s="1"/>
  <c r="Q71" i="4"/>
  <c r="Q73" i="4" s="1"/>
  <c r="D71" i="4"/>
  <c r="X71" i="4"/>
  <c r="X73" i="4" s="1"/>
  <c r="R71" i="4"/>
  <c r="R73" i="4" s="1"/>
  <c r="V71" i="4"/>
  <c r="V73" i="4" s="1"/>
  <c r="S71" i="4"/>
  <c r="S73" i="4" s="1"/>
  <c r="W71" i="4"/>
  <c r="W73" i="4" s="1"/>
  <c r="U71" i="4"/>
  <c r="U73" i="4" s="1"/>
  <c r="T71" i="4"/>
  <c r="T73" i="4" s="1"/>
  <c r="F71" i="4"/>
  <c r="G71" i="4"/>
  <c r="K71" i="4"/>
  <c r="H71" i="4"/>
  <c r="J71" i="4"/>
  <c r="E71" i="4"/>
  <c r="S21" i="6"/>
  <c r="S10" i="6"/>
  <c r="T6" i="6"/>
  <c r="T19" i="6" s="1"/>
  <c r="U3" i="6"/>
  <c r="T9" i="6"/>
  <c r="T20" i="6" s="1"/>
  <c r="H24" i="4"/>
  <c r="B30" i="5"/>
  <c r="V53" i="3"/>
  <c r="U56" i="3"/>
  <c r="U57" i="3"/>
  <c r="U55" i="3"/>
  <c r="U54" i="3"/>
  <c r="O5" i="4"/>
  <c r="N6" i="4"/>
  <c r="U10" i="4"/>
  <c r="V9" i="4"/>
  <c r="T3" i="4"/>
  <c r="Q11" i="3"/>
  <c r="R4" i="3"/>
  <c r="S4" i="6"/>
  <c r="R14" i="6"/>
  <c r="N7" i="4" l="1"/>
  <c r="M8" i="4"/>
  <c r="M11" i="4" s="1"/>
  <c r="M13" i="4" s="1"/>
  <c r="L13" i="4"/>
  <c r="L17" i="4"/>
  <c r="N71" i="4"/>
  <c r="Y71" i="4" s="1"/>
  <c r="C71" i="4"/>
  <c r="V10" i="4"/>
  <c r="W9" i="4"/>
  <c r="T4" i="6"/>
  <c r="S14" i="6"/>
  <c r="B31" i="5"/>
  <c r="R11" i="3"/>
  <c r="S4" i="3"/>
  <c r="I24" i="4"/>
  <c r="V3" i="6"/>
  <c r="U9" i="6"/>
  <c r="U20" i="6" s="1"/>
  <c r="U6" i="6"/>
  <c r="U19" i="6" s="1"/>
  <c r="T21" i="6"/>
  <c r="T10" i="6"/>
  <c r="P5" i="4"/>
  <c r="O6" i="4"/>
  <c r="V54" i="3"/>
  <c r="W53" i="3"/>
  <c r="V56" i="3"/>
  <c r="V57" i="3"/>
  <c r="V55" i="3"/>
  <c r="U3" i="4"/>
  <c r="M17" i="4" l="1"/>
  <c r="N8" i="4"/>
  <c r="N11" i="4" s="1"/>
  <c r="N17" i="4" s="1"/>
  <c r="O7" i="4"/>
  <c r="W54" i="3"/>
  <c r="X53" i="3"/>
  <c r="W55" i="3"/>
  <c r="W56" i="3"/>
  <c r="W57" i="3"/>
  <c r="B32" i="5"/>
  <c r="U4" i="6"/>
  <c r="T14" i="6"/>
  <c r="J24" i="4"/>
  <c r="X9" i="4"/>
  <c r="W10" i="4"/>
  <c r="V3" i="4"/>
  <c r="U21" i="6"/>
  <c r="U10" i="6"/>
  <c r="Q5" i="4"/>
  <c r="P6" i="4"/>
  <c r="W3" i="6"/>
  <c r="V9" i="6"/>
  <c r="V20" i="6" s="1"/>
  <c r="V6" i="6"/>
  <c r="V19" i="6" s="1"/>
  <c r="S11" i="3"/>
  <c r="T4" i="3"/>
  <c r="N13" i="4" l="1"/>
  <c r="O8" i="4"/>
  <c r="O11" i="4" s="1"/>
  <c r="O13" i="4" s="1"/>
  <c r="P7" i="4"/>
  <c r="C73" i="4"/>
  <c r="C54" i="3"/>
  <c r="W3" i="4"/>
  <c r="X10" i="4"/>
  <c r="Y9" i="4"/>
  <c r="Y53" i="3"/>
  <c r="X55" i="3"/>
  <c r="X57" i="3"/>
  <c r="X56" i="3"/>
  <c r="V4" i="6"/>
  <c r="U14" i="6"/>
  <c r="B33" i="5"/>
  <c r="K24" i="4"/>
  <c r="W9" i="6"/>
  <c r="W20" i="6" s="1"/>
  <c r="W6" i="6"/>
  <c r="W19" i="6" s="1"/>
  <c r="R5" i="4"/>
  <c r="Q6" i="4"/>
  <c r="U4" i="3"/>
  <c r="T11" i="3"/>
  <c r="V21" i="6"/>
  <c r="V10" i="6"/>
  <c r="O17" i="4" l="1"/>
  <c r="Q7" i="4"/>
  <c r="P8" i="4"/>
  <c r="P11" i="4" s="1"/>
  <c r="X3" i="4"/>
  <c r="B34" i="5"/>
  <c r="W4" i="6"/>
  <c r="W14" i="6" s="1"/>
  <c r="V14" i="6"/>
  <c r="J59" i="3"/>
  <c r="F59" i="3"/>
  <c r="K59" i="3"/>
  <c r="H59" i="3"/>
  <c r="I59" i="3"/>
  <c r="G59" i="3"/>
  <c r="L59" i="3"/>
  <c r="M59" i="3"/>
  <c r="N59" i="3"/>
  <c r="O59" i="3"/>
  <c r="P59" i="3"/>
  <c r="Q59" i="3"/>
  <c r="R59" i="3"/>
  <c r="S59" i="3"/>
  <c r="T59" i="3"/>
  <c r="U59" i="3"/>
  <c r="V59" i="3"/>
  <c r="W21" i="6"/>
  <c r="W10" i="6"/>
  <c r="W59" i="3"/>
  <c r="Y10" i="4"/>
  <c r="Z9" i="4"/>
  <c r="E73" i="4"/>
  <c r="V4" i="3"/>
  <c r="U11" i="3"/>
  <c r="S5" i="4"/>
  <c r="R6" i="4"/>
  <c r="L24" i="4"/>
  <c r="Z53" i="3"/>
  <c r="Y55" i="3"/>
  <c r="Y56" i="3"/>
  <c r="Y57" i="3"/>
  <c r="P13" i="4" l="1"/>
  <c r="P17" i="4"/>
  <c r="Q8" i="4"/>
  <c r="Q11" i="4" s="1"/>
  <c r="Q17" i="4" s="1"/>
  <c r="R7" i="4"/>
  <c r="Q13" i="4"/>
  <c r="W4" i="3"/>
  <c r="F73" i="4"/>
  <c r="V11" i="3"/>
  <c r="C55" i="3"/>
  <c r="S6" i="4"/>
  <c r="T5" i="4"/>
  <c r="AA53" i="3"/>
  <c r="Z56" i="3"/>
  <c r="Z57" i="3"/>
  <c r="AA9" i="4"/>
  <c r="Z10" i="4"/>
  <c r="B35" i="5"/>
  <c r="M24" i="4"/>
  <c r="Y3" i="4"/>
  <c r="E59" i="3"/>
  <c r="N60" i="3" s="1"/>
  <c r="N37" i="3" s="1"/>
  <c r="W60" i="3" l="1"/>
  <c r="W37" i="3" s="1"/>
  <c r="M60" i="3"/>
  <c r="M37" i="3" s="1"/>
  <c r="S60" i="3"/>
  <c r="S37" i="3" s="1"/>
  <c r="G60" i="3"/>
  <c r="G37" i="3" s="1"/>
  <c r="L60" i="3"/>
  <c r="L37" i="3" s="1"/>
  <c r="P60" i="3"/>
  <c r="P37" i="3" s="1"/>
  <c r="R8" i="4"/>
  <c r="R11" i="4" s="1"/>
  <c r="R17" i="4" s="1"/>
  <c r="S7" i="4"/>
  <c r="O60" i="3"/>
  <c r="O37" i="3" s="1"/>
  <c r="B36" i="5"/>
  <c r="F60" i="3"/>
  <c r="Q60" i="3"/>
  <c r="Q37" i="3" s="1"/>
  <c r="R60" i="3"/>
  <c r="R37" i="3" s="1"/>
  <c r="H60" i="3"/>
  <c r="H37" i="3" s="1"/>
  <c r="AB9" i="4"/>
  <c r="AA10" i="4"/>
  <c r="V60" i="3"/>
  <c r="V37" i="3" s="1"/>
  <c r="G61" i="3"/>
  <c r="K61" i="3"/>
  <c r="H61" i="3"/>
  <c r="F61" i="3"/>
  <c r="J61" i="3"/>
  <c r="I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I60" i="3"/>
  <c r="I37" i="3" s="1"/>
  <c r="Z3" i="4"/>
  <c r="AB53" i="3"/>
  <c r="AA57" i="3"/>
  <c r="AA56" i="3"/>
  <c r="T60" i="3"/>
  <c r="T37" i="3" s="1"/>
  <c r="K60" i="3"/>
  <c r="K37" i="3" s="1"/>
  <c r="U60" i="3"/>
  <c r="U37" i="3" s="1"/>
  <c r="U5" i="4"/>
  <c r="T6" i="4"/>
  <c r="J60" i="3"/>
  <c r="J37" i="3" s="1"/>
  <c r="Y61" i="3"/>
  <c r="X4" i="3"/>
  <c r="G73" i="4"/>
  <c r="W11" i="3"/>
  <c r="N24" i="4"/>
  <c r="R13" i="4" l="1"/>
  <c r="T7" i="4"/>
  <c r="S8" i="4"/>
  <c r="S11" i="4" s="1"/>
  <c r="B37" i="5"/>
  <c r="E61" i="3"/>
  <c r="O62" i="3" s="1"/>
  <c r="O38" i="3" s="1"/>
  <c r="F37" i="3"/>
  <c r="E60" i="3"/>
  <c r="AC53" i="3"/>
  <c r="AC57" i="3" s="1"/>
  <c r="AB57" i="3"/>
  <c r="AC9" i="4"/>
  <c r="AB10" i="4"/>
  <c r="C56" i="3"/>
  <c r="AA3" i="4"/>
  <c r="O24" i="4"/>
  <c r="V5" i="4"/>
  <c r="U6" i="4"/>
  <c r="Y4" i="3"/>
  <c r="H73" i="4"/>
  <c r="X11" i="3"/>
  <c r="O38" i="4" l="1"/>
  <c r="I38" i="4"/>
  <c r="H38" i="4"/>
  <c r="U38" i="4"/>
  <c r="N38" i="4"/>
  <c r="G38" i="4"/>
  <c r="T38" i="4"/>
  <c r="R38" i="4"/>
  <c r="P38" i="4"/>
  <c r="M38" i="4"/>
  <c r="J38" i="4"/>
  <c r="F38" i="4"/>
  <c r="L38" i="4"/>
  <c r="K38" i="4"/>
  <c r="V38" i="4"/>
  <c r="S38" i="4"/>
  <c r="Q38" i="4"/>
  <c r="F37" i="4"/>
  <c r="G37" i="4"/>
  <c r="S17" i="4"/>
  <c r="S13" i="4"/>
  <c r="U7" i="4"/>
  <c r="T8" i="4"/>
  <c r="T11" i="4" s="1"/>
  <c r="T17" i="4" s="1"/>
  <c r="V62" i="3"/>
  <c r="V38" i="3" s="1"/>
  <c r="L62" i="3"/>
  <c r="L38" i="3" s="1"/>
  <c r="D37" i="3"/>
  <c r="F62" i="3"/>
  <c r="H62" i="3"/>
  <c r="H38" i="3" s="1"/>
  <c r="J62" i="3"/>
  <c r="J38" i="3" s="1"/>
  <c r="Y62" i="3"/>
  <c r="Y38" i="3" s="1"/>
  <c r="W5" i="4"/>
  <c r="V6" i="4"/>
  <c r="B38" i="5"/>
  <c r="W38" i="4" s="1"/>
  <c r="G63" i="3"/>
  <c r="J63" i="3"/>
  <c r="F63" i="3"/>
  <c r="H63" i="3"/>
  <c r="I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P24" i="4"/>
  <c r="M62" i="3"/>
  <c r="M38" i="3" s="1"/>
  <c r="W62" i="3"/>
  <c r="W38" i="3" s="1"/>
  <c r="K62" i="3"/>
  <c r="K38" i="3" s="1"/>
  <c r="R62" i="3"/>
  <c r="R38" i="3" s="1"/>
  <c r="S62" i="3"/>
  <c r="S38" i="3" s="1"/>
  <c r="N62" i="3"/>
  <c r="N38" i="3" s="1"/>
  <c r="Q62" i="3"/>
  <c r="Q38" i="3" s="1"/>
  <c r="P62" i="3"/>
  <c r="P38" i="3" s="1"/>
  <c r="I62" i="3"/>
  <c r="I38" i="3" s="1"/>
  <c r="X62" i="3"/>
  <c r="X38" i="3" s="1"/>
  <c r="AD9" i="4"/>
  <c r="AC10" i="4"/>
  <c r="T62" i="3"/>
  <c r="T38" i="3" s="1"/>
  <c r="C57" i="3"/>
  <c r="AA63" i="3"/>
  <c r="G62" i="3"/>
  <c r="G38" i="3" s="1"/>
  <c r="U62" i="3"/>
  <c r="U38" i="3" s="1"/>
  <c r="I73" i="4"/>
  <c r="Z4" i="3"/>
  <c r="Y11" i="3"/>
  <c r="AB3" i="4"/>
  <c r="T13" i="4" l="1"/>
  <c r="V7" i="4"/>
  <c r="U8" i="4"/>
  <c r="U11" i="4" s="1"/>
  <c r="F65" i="3"/>
  <c r="J65" i="3"/>
  <c r="L65" i="3"/>
  <c r="K65" i="3"/>
  <c r="I65" i="3"/>
  <c r="H65" i="3"/>
  <c r="G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C3" i="4"/>
  <c r="Q24" i="4"/>
  <c r="E62" i="3"/>
  <c r="F38" i="3"/>
  <c r="P64" i="3"/>
  <c r="P39" i="3" s="1"/>
  <c r="AE9" i="4"/>
  <c r="AE10" i="4" s="1"/>
  <c r="AD10" i="4"/>
  <c r="AC65" i="3"/>
  <c r="W6" i="4"/>
  <c r="X5" i="4"/>
  <c r="E63" i="3"/>
  <c r="Y64" i="3" s="1"/>
  <c r="Y39" i="3" s="1"/>
  <c r="G64" i="3"/>
  <c r="G39" i="3" s="1"/>
  <c r="B39" i="5"/>
  <c r="Z11" i="3"/>
  <c r="J73" i="4"/>
  <c r="AA4" i="3"/>
  <c r="AB65" i="3"/>
  <c r="U13" i="4" l="1"/>
  <c r="U17" i="4"/>
  <c r="V8" i="4"/>
  <c r="V11" i="4" s="1"/>
  <c r="W7" i="4"/>
  <c r="F64" i="3"/>
  <c r="R64" i="3"/>
  <c r="R39" i="3" s="1"/>
  <c r="T64" i="3"/>
  <c r="T39" i="3" s="1"/>
  <c r="AD3" i="4"/>
  <c r="Z64" i="3"/>
  <c r="Z39" i="3" s="1"/>
  <c r="S64" i="3"/>
  <c r="S39" i="3" s="1"/>
  <c r="Q64" i="3"/>
  <c r="Q39" i="3" s="1"/>
  <c r="AA64" i="3"/>
  <c r="AA39" i="3" s="1"/>
  <c r="Y5" i="4"/>
  <c r="X6" i="4"/>
  <c r="V64" i="3"/>
  <c r="V39" i="3" s="1"/>
  <c r="K64" i="3"/>
  <c r="K39" i="3" s="1"/>
  <c r="N64" i="3"/>
  <c r="N39" i="3" s="1"/>
  <c r="I64" i="3"/>
  <c r="I39" i="3" s="1"/>
  <c r="D38" i="3"/>
  <c r="R24" i="4"/>
  <c r="F39" i="3"/>
  <c r="X64" i="3"/>
  <c r="X39" i="3" s="1"/>
  <c r="H64" i="3"/>
  <c r="H39" i="3" s="1"/>
  <c r="M64" i="3"/>
  <c r="M39" i="3" s="1"/>
  <c r="E65" i="3"/>
  <c r="Q66" i="3" s="1"/>
  <c r="Q40" i="3" s="1"/>
  <c r="J64" i="3"/>
  <c r="J39" i="3" s="1"/>
  <c r="O64" i="3"/>
  <c r="O39" i="3" s="1"/>
  <c r="AA11" i="3"/>
  <c r="K73" i="4"/>
  <c r="AB4" i="3"/>
  <c r="W64" i="3"/>
  <c r="W39" i="3" s="1"/>
  <c r="L64" i="3"/>
  <c r="L39" i="3" s="1"/>
  <c r="U64" i="3"/>
  <c r="U39" i="3" s="1"/>
  <c r="B40" i="5"/>
  <c r="X7" i="4" l="1"/>
  <c r="W8" i="4"/>
  <c r="W11" i="4" s="1"/>
  <c r="V17" i="4"/>
  <c r="V13" i="4"/>
  <c r="W66" i="3"/>
  <c r="W40" i="3" s="1"/>
  <c r="W9" i="3" s="1"/>
  <c r="V66" i="3"/>
  <c r="V40" i="3" s="1"/>
  <c r="V13" i="3" s="1"/>
  <c r="S24" i="4"/>
  <c r="Z66" i="3"/>
  <c r="Z40" i="3" s="1"/>
  <c r="Z9" i="3" s="1"/>
  <c r="M66" i="3"/>
  <c r="M40" i="3" s="1"/>
  <c r="M6" i="3" s="1"/>
  <c r="AB66" i="3"/>
  <c r="AB40" i="3" s="1"/>
  <c r="Y66" i="3"/>
  <c r="Y40" i="3" s="1"/>
  <c r="N66" i="3"/>
  <c r="N40" i="3" s="1"/>
  <c r="N7" i="3" s="1"/>
  <c r="N13" i="3"/>
  <c r="N9" i="3"/>
  <c r="K66" i="3"/>
  <c r="K40" i="3" s="1"/>
  <c r="K13" i="3" s="1"/>
  <c r="O66" i="3"/>
  <c r="O40" i="3" s="1"/>
  <c r="O10" i="3" s="1"/>
  <c r="Q13" i="3"/>
  <c r="Q16" i="3"/>
  <c r="Q8" i="3"/>
  <c r="Q9" i="3"/>
  <c r="Q6" i="3"/>
  <c r="Q7" i="3"/>
  <c r="Q10" i="3"/>
  <c r="P66" i="3"/>
  <c r="P40" i="3" s="1"/>
  <c r="L66" i="3"/>
  <c r="L40" i="3" s="1"/>
  <c r="L16" i="3" s="1"/>
  <c r="Y6" i="4"/>
  <c r="Z5" i="4"/>
  <c r="AE3" i="4"/>
  <c r="V9" i="3"/>
  <c r="V6" i="3"/>
  <c r="V16" i="3"/>
  <c r="V7" i="3"/>
  <c r="X66" i="3"/>
  <c r="X40" i="3" s="1"/>
  <c r="X7" i="3" s="1"/>
  <c r="U66" i="3"/>
  <c r="U40" i="3" s="1"/>
  <c r="U8" i="3" s="1"/>
  <c r="W13" i="3"/>
  <c r="E64" i="3"/>
  <c r="H66" i="3"/>
  <c r="H40" i="3" s="1"/>
  <c r="H6" i="3" s="1"/>
  <c r="R66" i="3"/>
  <c r="R40" i="3" s="1"/>
  <c r="B41" i="5"/>
  <c r="T66" i="3"/>
  <c r="T40" i="3" s="1"/>
  <c r="S66" i="3"/>
  <c r="S40" i="3" s="1"/>
  <c r="S10" i="3" s="1"/>
  <c r="D39" i="3"/>
  <c r="AA66" i="3"/>
  <c r="AA40" i="3" s="1"/>
  <c r="G66" i="3"/>
  <c r="G40" i="3" s="1"/>
  <c r="AC66" i="3"/>
  <c r="AC40" i="3" s="1"/>
  <c r="AB11" i="3"/>
  <c r="L73" i="4"/>
  <c r="AC4" i="3"/>
  <c r="F66" i="3"/>
  <c r="J66" i="3"/>
  <c r="J40" i="3" s="1"/>
  <c r="J7" i="3" s="1"/>
  <c r="I66" i="3"/>
  <c r="I40" i="3" s="1"/>
  <c r="I7" i="3" s="1"/>
  <c r="L7" i="3" l="1"/>
  <c r="V10" i="3"/>
  <c r="V8" i="3"/>
  <c r="O6" i="3"/>
  <c r="L9" i="3"/>
  <c r="L13" i="3"/>
  <c r="O13" i="3"/>
  <c r="O8" i="3"/>
  <c r="O9" i="3"/>
  <c r="O7" i="3"/>
  <c r="O16" i="3"/>
  <c r="Z7" i="3"/>
  <c r="X6" i="3"/>
  <c r="W6" i="3"/>
  <c r="W10" i="3"/>
  <c r="K9" i="3"/>
  <c r="J8" i="3"/>
  <c r="J10" i="3"/>
  <c r="J13" i="3"/>
  <c r="K6" i="3"/>
  <c r="U7" i="3"/>
  <c r="K8" i="3"/>
  <c r="S16" i="3"/>
  <c r="J6" i="3"/>
  <c r="J9" i="3"/>
  <c r="X10" i="3"/>
  <c r="K10" i="3"/>
  <c r="S7" i="3"/>
  <c r="J16" i="3"/>
  <c r="W8" i="3"/>
  <c r="X8" i="3"/>
  <c r="W16" i="3"/>
  <c r="X9" i="3"/>
  <c r="K7" i="3"/>
  <c r="K16" i="3"/>
  <c r="W7" i="3"/>
  <c r="I13" i="3"/>
  <c r="X16" i="3"/>
  <c r="I16" i="3"/>
  <c r="X13" i="3"/>
  <c r="H13" i="3"/>
  <c r="W13" i="4"/>
  <c r="W17" i="4"/>
  <c r="X8" i="4"/>
  <c r="X11" i="4" s="1"/>
  <c r="Y7" i="4"/>
  <c r="S6" i="3"/>
  <c r="AA10" i="3"/>
  <c r="Z10" i="3"/>
  <c r="U16" i="3"/>
  <c r="Z16" i="3"/>
  <c r="U9" i="3"/>
  <c r="L10" i="3"/>
  <c r="L6" i="3"/>
  <c r="I8" i="3"/>
  <c r="U10" i="3"/>
  <c r="L8" i="3"/>
  <c r="AA8" i="3"/>
  <c r="AA9" i="3"/>
  <c r="AA6" i="3"/>
  <c r="I9" i="3"/>
  <c r="I10" i="3"/>
  <c r="Z6" i="3"/>
  <c r="U13" i="3"/>
  <c r="Z13" i="3"/>
  <c r="U6" i="3"/>
  <c r="P13" i="3"/>
  <c r="P16" i="3"/>
  <c r="P7" i="3"/>
  <c r="P9" i="3"/>
  <c r="P10" i="3"/>
  <c r="P8" i="3"/>
  <c r="P6" i="3"/>
  <c r="N16" i="3"/>
  <c r="Y7" i="3"/>
  <c r="Y6" i="3"/>
  <c r="Y10" i="3"/>
  <c r="Y9" i="3"/>
  <c r="Y13" i="3"/>
  <c r="Y16" i="3"/>
  <c r="Y8" i="3"/>
  <c r="AB7" i="3"/>
  <c r="AB13" i="3"/>
  <c r="AB16" i="3"/>
  <c r="AB6" i="3"/>
  <c r="AB10" i="3"/>
  <c r="AB9" i="3"/>
  <c r="AB8" i="3"/>
  <c r="R16" i="3"/>
  <c r="R6" i="3"/>
  <c r="R10" i="3"/>
  <c r="R7" i="3"/>
  <c r="R9" i="3"/>
  <c r="R8" i="3"/>
  <c r="R13" i="3"/>
  <c r="N6" i="3"/>
  <c r="N8" i="3"/>
  <c r="M13" i="3"/>
  <c r="M10" i="3"/>
  <c r="H8" i="3"/>
  <c r="AA16" i="3"/>
  <c r="M9" i="3"/>
  <c r="T24" i="4"/>
  <c r="AF3" i="4"/>
  <c r="T8" i="3"/>
  <c r="T9" i="3"/>
  <c r="T7" i="3"/>
  <c r="T16" i="3"/>
  <c r="T13" i="3"/>
  <c r="T10" i="3"/>
  <c r="T6" i="3"/>
  <c r="M8" i="3"/>
  <c r="AC13" i="3"/>
  <c r="AC16" i="3"/>
  <c r="AC6" i="3"/>
  <c r="AC7" i="3"/>
  <c r="AC10" i="3"/>
  <c r="AC9" i="3"/>
  <c r="AC8" i="3"/>
  <c r="H9" i="3"/>
  <c r="H16" i="3"/>
  <c r="AA5" i="4"/>
  <c r="Z6" i="4"/>
  <c r="M7" i="3"/>
  <c r="S13" i="3"/>
  <c r="M16" i="3"/>
  <c r="AA13" i="3"/>
  <c r="AA7" i="3"/>
  <c r="H7" i="3"/>
  <c r="G7" i="3"/>
  <c r="G9" i="3"/>
  <c r="G8" i="3"/>
  <c r="G13" i="3"/>
  <c r="G16" i="3"/>
  <c r="G6" i="3"/>
  <c r="G10" i="3"/>
  <c r="S9" i="3"/>
  <c r="Z8" i="3"/>
  <c r="S8" i="3"/>
  <c r="N10" i="3"/>
  <c r="H10" i="3"/>
  <c r="F40" i="3"/>
  <c r="E66" i="3"/>
  <c r="AC11" i="3"/>
  <c r="A11" i="3" s="1"/>
  <c r="M72" i="4"/>
  <c r="AD4" i="3"/>
  <c r="I6" i="3"/>
  <c r="B42" i="5"/>
  <c r="Z7" i="4" l="1"/>
  <c r="Y8" i="4"/>
  <c r="Y11" i="4" s="1"/>
  <c r="X17" i="4"/>
  <c r="X13" i="4"/>
  <c r="M73" i="4"/>
  <c r="B43" i="5"/>
  <c r="AD11" i="3"/>
  <c r="N72" i="4"/>
  <c r="AE4" i="3"/>
  <c r="AA6" i="4"/>
  <c r="AB5" i="4"/>
  <c r="U24" i="4"/>
  <c r="D40" i="3"/>
  <c r="C37" i="3" s="1"/>
  <c r="F10" i="3"/>
  <c r="A10" i="3" s="1"/>
  <c r="F7" i="3"/>
  <c r="A7" i="3" s="1"/>
  <c r="F6" i="3"/>
  <c r="F9" i="3"/>
  <c r="F8" i="3"/>
  <c r="A8" i="3" s="1"/>
  <c r="F13" i="3"/>
  <c r="A13" i="3" s="1"/>
  <c r="F16" i="3"/>
  <c r="A16" i="3" s="1"/>
  <c r="Y17" i="4" l="1"/>
  <c r="Y13" i="4"/>
  <c r="Z8" i="4"/>
  <c r="Z11" i="4" s="1"/>
  <c r="AA7" i="4"/>
  <c r="N73" i="4"/>
  <c r="AE11" i="3"/>
  <c r="O72" i="4"/>
  <c r="O73" i="4" s="1"/>
  <c r="V24" i="4"/>
  <c r="AB6" i="4"/>
  <c r="AC5" i="4"/>
  <c r="A9" i="3"/>
  <c r="B44" i="5"/>
  <c r="A6" i="3"/>
  <c r="AB7" i="4" l="1"/>
  <c r="AA8" i="4"/>
  <c r="AA11" i="4" s="1"/>
  <c r="Z17" i="4"/>
  <c r="Z13" i="4"/>
  <c r="Y72" i="4"/>
  <c r="Y73" i="4"/>
  <c r="D19" i="3"/>
  <c r="O54" i="1" s="1"/>
  <c r="J32" i="2" s="1"/>
  <c r="B45" i="5"/>
  <c r="A19" i="3"/>
  <c r="W24" i="4"/>
  <c r="AC6" i="4"/>
  <c r="AD5" i="4"/>
  <c r="AA13" i="4" l="1"/>
  <c r="AA17" i="4"/>
  <c r="AB8" i="4"/>
  <c r="AB11" i="4" s="1"/>
  <c r="AB13" i="4" s="1"/>
  <c r="AC7" i="4"/>
  <c r="D73" i="4"/>
  <c r="E28" i="4"/>
  <c r="G41" i="2"/>
  <c r="X24" i="4"/>
  <c r="B46" i="5"/>
  <c r="AD6" i="4"/>
  <c r="AE5" i="4"/>
  <c r="AB17" i="4" l="1"/>
  <c r="AC8" i="4"/>
  <c r="AC11" i="4" s="1"/>
  <c r="AC13" i="4" s="1"/>
  <c r="AD7" i="4"/>
  <c r="E31" i="4"/>
  <c r="E33" i="4" s="1"/>
  <c r="E68" i="1" s="1"/>
  <c r="E66" i="1"/>
  <c r="E67" i="1" s="1"/>
  <c r="Y24" i="4"/>
  <c r="B47" i="5"/>
  <c r="AE6" i="4"/>
  <c r="AE38" i="4" l="1"/>
  <c r="AB38" i="4"/>
  <c r="X38" i="4"/>
  <c r="AD38" i="4"/>
  <c r="AA38" i="4"/>
  <c r="Y38" i="4"/>
  <c r="AC38" i="4"/>
  <c r="Z38" i="4"/>
  <c r="AC17" i="4"/>
  <c r="AE7" i="4"/>
  <c r="AE8" i="4" s="1"/>
  <c r="AD8" i="4"/>
  <c r="AD11" i="4" s="1"/>
  <c r="AD13" i="4" s="1"/>
  <c r="Z24" i="4"/>
  <c r="B48" i="5"/>
  <c r="C48" i="5" s="1"/>
  <c r="AD17" i="4" l="1"/>
  <c r="AE11" i="4"/>
  <c r="AA24" i="4"/>
  <c r="B49" i="5"/>
  <c r="C49" i="5" s="1"/>
  <c r="AE13" i="4" l="1"/>
  <c r="AE17" i="4"/>
  <c r="B50" i="5"/>
  <c r="C50" i="5" s="1"/>
  <c r="AB24" i="4"/>
  <c r="B51" i="5" l="1"/>
  <c r="C51" i="5" s="1"/>
  <c r="AC24" i="4"/>
  <c r="AD24" i="4" l="1"/>
  <c r="B52" i="5"/>
  <c r="C52" i="5" s="1"/>
  <c r="B53" i="5" l="1"/>
  <c r="C53" i="5" s="1"/>
  <c r="AE24" i="4"/>
  <c r="B54" i="5" l="1"/>
  <c r="C54" i="5" s="1"/>
  <c r="B55" i="5" l="1"/>
  <c r="C55" i="5" s="1"/>
  <c r="B56" i="5" l="1"/>
  <c r="C56" i="5" s="1"/>
  <c r="B57" i="5" l="1"/>
  <c r="C57" i="5" s="1"/>
  <c r="J15" i="3" l="1"/>
  <c r="G15" i="3"/>
  <c r="H15" i="3"/>
  <c r="I15" i="3"/>
  <c r="Q15" i="3"/>
  <c r="T15" i="3"/>
  <c r="U15" i="3"/>
  <c r="V15" i="3"/>
  <c r="W15" i="3"/>
  <c r="X15" i="3"/>
  <c r="Y15" i="3"/>
  <c r="F15" i="3" l="1"/>
  <c r="S15" i="3"/>
  <c r="R15" i="3"/>
  <c r="P15" i="3"/>
  <c r="AE15" i="3"/>
  <c r="O15" i="3"/>
  <c r="AD15" i="3"/>
  <c r="N15" i="3"/>
  <c r="AC15" i="3"/>
  <c r="M15" i="3"/>
  <c r="AB15" i="3"/>
  <c r="L15" i="3"/>
  <c r="AA15" i="3"/>
  <c r="K15" i="3"/>
  <c r="Z15" i="3"/>
  <c r="A15" i="3" l="1"/>
  <c r="J12" i="2" l="1"/>
  <c r="I17" i="6" l="1"/>
  <c r="I8" i="6" s="1"/>
  <c r="N21" i="6"/>
  <c r="O21" i="6"/>
  <c r="P21" i="6"/>
  <c r="Q21" i="6"/>
  <c r="R21" i="6"/>
  <c r="D43" i="4" l="1"/>
  <c r="E43" i="4"/>
  <c r="E71" i="1" s="1"/>
  <c r="E12" i="3" l="1"/>
  <c r="G12" i="3" s="1"/>
  <c r="V12" i="3" l="1"/>
  <c r="T12" i="3"/>
  <c r="U12" i="3"/>
  <c r="F12" i="3"/>
  <c r="S12" i="3"/>
  <c r="R12" i="3"/>
  <c r="Q12" i="3"/>
  <c r="P12" i="3"/>
  <c r="AE12" i="3"/>
  <c r="O12" i="3"/>
  <c r="AD12" i="3"/>
  <c r="N12" i="3"/>
  <c r="AC12" i="3"/>
  <c r="M12" i="3"/>
  <c r="AB12" i="3"/>
  <c r="L12" i="3"/>
  <c r="AA12" i="3"/>
  <c r="K12" i="3"/>
  <c r="Z12" i="3"/>
  <c r="J12" i="3"/>
  <c r="Y12" i="3"/>
  <c r="I12" i="3"/>
  <c r="X12" i="3"/>
  <c r="H12" i="3"/>
  <c r="W12" i="3"/>
  <c r="A12" i="3" l="1"/>
  <c r="E6" i="2" l="1"/>
  <c r="J24" i="2" l="1"/>
  <c r="H9" i="6"/>
  <c r="H18" i="6"/>
  <c r="V20" i="5" l="1"/>
  <c r="X20" i="5"/>
  <c r="V21" i="5"/>
  <c r="X21" i="5"/>
  <c r="V22" i="5"/>
  <c r="X22" i="5"/>
  <c r="F27" i="4"/>
  <c r="F28" i="4" s="1"/>
  <c r="F66" i="1" l="1"/>
  <c r="F67" i="1" s="1"/>
  <c r="F31" i="4"/>
  <c r="F33" i="4" s="1"/>
  <c r="F68" i="1" l="1"/>
  <c r="C22" i="5" l="1"/>
  <c r="E22" i="5"/>
  <c r="H37" i="4"/>
  <c r="A25" i="3" l="1"/>
  <c r="E11" i="15" l="1"/>
  <c r="E12" i="15" l="1"/>
  <c r="M6" i="6" l="1"/>
  <c r="M9" i="6"/>
  <c r="M10" i="6"/>
  <c r="M19" i="6"/>
  <c r="M20" i="6"/>
  <c r="M21" i="6"/>
  <c r="I10" i="7"/>
  <c r="D5" i="6" l="1"/>
  <c r="G5" i="6"/>
  <c r="D6" i="6"/>
  <c r="H6" i="6"/>
  <c r="I6" i="6"/>
  <c r="J6" i="6"/>
  <c r="K6" i="6"/>
  <c r="L6" i="6"/>
  <c r="L9" i="6"/>
  <c r="G10" i="6"/>
  <c r="H10" i="6"/>
  <c r="I10" i="6"/>
  <c r="J10" i="6"/>
  <c r="K10" i="6"/>
  <c r="L10" i="6"/>
  <c r="G16" i="6"/>
  <c r="D18" i="6"/>
  <c r="H19" i="6"/>
  <c r="I19" i="6"/>
  <c r="J19" i="6"/>
  <c r="K19" i="6"/>
  <c r="L19" i="6"/>
  <c r="L20" i="6"/>
  <c r="G21" i="6"/>
  <c r="H21" i="6"/>
  <c r="I21" i="6"/>
  <c r="J21" i="6"/>
  <c r="K21" i="6"/>
  <c r="L21" i="6"/>
  <c r="H22" i="6"/>
  <c r="I22" i="6"/>
  <c r="J22" i="6"/>
  <c r="K22" i="6"/>
  <c r="L22" i="6"/>
  <c r="M22" i="6"/>
  <c r="D23" i="6"/>
  <c r="G23" i="6"/>
  <c r="D24" i="6"/>
  <c r="G24" i="6"/>
  <c r="D25" i="6"/>
  <c r="D26" i="6"/>
  <c r="G26" i="6"/>
  <c r="D29" i="6"/>
  <c r="D31" i="6"/>
  <c r="D32" i="6"/>
  <c r="D33" i="6"/>
  <c r="H49" i="6"/>
  <c r="F3" i="3"/>
  <c r="A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17" i="3"/>
  <c r="D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18" i="3"/>
  <c r="D18" i="3"/>
  <c r="F18" i="3" a="1"/>
  <c r="F18" i="3"/>
  <c r="G18" i="3" a="1"/>
  <c r="G18" i="3"/>
  <c r="H18" i="3" a="1"/>
  <c r="H18" i="3"/>
  <c r="I18" i="3" a="1"/>
  <c r="I18" i="3"/>
  <c r="J18" i="3" a="1"/>
  <c r="J18" i="3"/>
  <c r="K18" i="3" a="1"/>
  <c r="K18" i="3"/>
  <c r="L18" i="3" a="1"/>
  <c r="L18" i="3"/>
  <c r="M18" i="3" a="1"/>
  <c r="M18" i="3"/>
  <c r="N18" i="3" a="1"/>
  <c r="N18" i="3"/>
  <c r="O18" i="3" a="1"/>
  <c r="O18" i="3"/>
  <c r="P18" i="3" a="1"/>
  <c r="P18" i="3"/>
  <c r="Q18" i="3" a="1"/>
  <c r="Q18" i="3"/>
  <c r="R18" i="3" a="1"/>
  <c r="R18" i="3"/>
  <c r="S18" i="3" a="1"/>
  <c r="S18" i="3"/>
  <c r="T18" i="3" a="1"/>
  <c r="T18" i="3"/>
  <c r="U18" i="3" a="1"/>
  <c r="U18" i="3"/>
  <c r="V18" i="3" a="1"/>
  <c r="V18" i="3"/>
  <c r="W18" i="3" a="1"/>
  <c r="W18" i="3"/>
  <c r="X18" i="3" a="1"/>
  <c r="X18" i="3"/>
  <c r="Y18" i="3" a="1"/>
  <c r="Y18" i="3"/>
  <c r="Z18" i="3" a="1"/>
  <c r="Z18" i="3"/>
  <c r="AA18" i="3" a="1"/>
  <c r="AA18" i="3"/>
  <c r="AB18" i="3" a="1"/>
  <c r="AB18" i="3"/>
  <c r="AC18" i="3" a="1"/>
  <c r="AC18" i="3"/>
  <c r="AD18" i="3" a="1"/>
  <c r="AD18" i="3"/>
  <c r="AE18" i="3" a="1"/>
  <c r="AE18" i="3"/>
  <c r="A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E25" i="3"/>
  <c r="F25" i="3"/>
  <c r="G25" i="3"/>
  <c r="H25" i="3"/>
  <c r="I25" i="3"/>
  <c r="J25" i="3"/>
  <c r="K25" i="3"/>
  <c r="L25" i="3"/>
  <c r="M25" i="3"/>
  <c r="N25" i="3"/>
  <c r="A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D34" i="3"/>
  <c r="A35" i="3"/>
  <c r="D35" i="3"/>
  <c r="M9" i="1"/>
  <c r="O9" i="1"/>
  <c r="M10" i="1"/>
  <c r="O10" i="1"/>
  <c r="R10" i="1"/>
  <c r="M11" i="1"/>
  <c r="O11" i="1"/>
  <c r="R11" i="1"/>
  <c r="M13" i="1"/>
  <c r="O13" i="1"/>
  <c r="R13" i="1"/>
  <c r="R15" i="1"/>
  <c r="C19" i="1"/>
  <c r="O38" i="1"/>
  <c r="O43" i="1"/>
  <c r="O44" i="1"/>
  <c r="O46" i="1"/>
  <c r="O52" i="1"/>
  <c r="O53" i="1"/>
  <c r="O55" i="1"/>
  <c r="O58" i="1"/>
  <c r="D66" i="1"/>
  <c r="G66" i="1"/>
  <c r="G67" i="1"/>
  <c r="G68" i="1"/>
  <c r="F69" i="1"/>
  <c r="G69" i="1"/>
  <c r="F71" i="1"/>
  <c r="G71" i="1"/>
  <c r="F6" i="5"/>
  <c r="Y6" i="5"/>
  <c r="P7" i="5"/>
  <c r="Q7" i="5"/>
  <c r="AE7" i="5"/>
  <c r="P8" i="5"/>
  <c r="Q8" i="5"/>
  <c r="AE8" i="5"/>
  <c r="P9" i="5"/>
  <c r="Q9" i="5"/>
  <c r="AE9" i="5"/>
  <c r="F11" i="5"/>
  <c r="Y11" i="5"/>
  <c r="AE11" i="5"/>
  <c r="F12" i="5"/>
  <c r="Y12" i="5"/>
  <c r="F13" i="5"/>
  <c r="AE13" i="5"/>
  <c r="AE14" i="5"/>
  <c r="D18" i="5"/>
  <c r="F18" i="5"/>
  <c r="H18" i="5"/>
  <c r="W18" i="5"/>
  <c r="Y18" i="5"/>
  <c r="AA18" i="5"/>
  <c r="D19" i="5"/>
  <c r="F19" i="5"/>
  <c r="H19" i="5"/>
  <c r="W19" i="5"/>
  <c r="Y19" i="5"/>
  <c r="AA19" i="5"/>
  <c r="AF19" i="5"/>
  <c r="D20" i="5"/>
  <c r="F20" i="5"/>
  <c r="H20" i="5"/>
  <c r="W20" i="5"/>
  <c r="Y20" i="5"/>
  <c r="AA20" i="5"/>
  <c r="AF20" i="5"/>
  <c r="D21" i="5"/>
  <c r="F21" i="5"/>
  <c r="H21" i="5"/>
  <c r="W21" i="5"/>
  <c r="Y21" i="5"/>
  <c r="AA21" i="5"/>
  <c r="AB21" i="5"/>
  <c r="AF21" i="5"/>
  <c r="D22" i="5"/>
  <c r="F22" i="5"/>
  <c r="H22" i="5"/>
  <c r="W22" i="5"/>
  <c r="Y22" i="5"/>
  <c r="AA22" i="5"/>
  <c r="AB22" i="5"/>
  <c r="AF22" i="5"/>
  <c r="C23" i="5"/>
  <c r="D23" i="5"/>
  <c r="E23" i="5"/>
  <c r="F23" i="5"/>
  <c r="H23" i="5"/>
  <c r="V23" i="5"/>
  <c r="W23" i="5"/>
  <c r="X23" i="5"/>
  <c r="Y23" i="5"/>
  <c r="AA23" i="5"/>
  <c r="AB23" i="5"/>
  <c r="AF23" i="5"/>
  <c r="C24" i="5"/>
  <c r="D24" i="5"/>
  <c r="E24" i="5"/>
  <c r="F24" i="5"/>
  <c r="H24" i="5"/>
  <c r="V24" i="5"/>
  <c r="W24" i="5"/>
  <c r="X24" i="5"/>
  <c r="Y24" i="5"/>
  <c r="AA24" i="5"/>
  <c r="AB24" i="5"/>
  <c r="AF24" i="5"/>
  <c r="C25" i="5"/>
  <c r="D25" i="5"/>
  <c r="E25" i="5"/>
  <c r="F25" i="5"/>
  <c r="H25" i="5"/>
  <c r="V25" i="5"/>
  <c r="W25" i="5"/>
  <c r="X25" i="5"/>
  <c r="Y25" i="5"/>
  <c r="AA25" i="5"/>
  <c r="AB25" i="5"/>
  <c r="AF25" i="5"/>
  <c r="C26" i="5"/>
  <c r="D26" i="5"/>
  <c r="E26" i="5"/>
  <c r="F26" i="5"/>
  <c r="H26" i="5"/>
  <c r="V26" i="5"/>
  <c r="W26" i="5"/>
  <c r="X26" i="5"/>
  <c r="Y26" i="5"/>
  <c r="AA26" i="5"/>
  <c r="AB26" i="5"/>
  <c r="AF26" i="5"/>
  <c r="C27" i="5"/>
  <c r="D27" i="5"/>
  <c r="E27" i="5"/>
  <c r="F27" i="5"/>
  <c r="H27" i="5"/>
  <c r="V27" i="5"/>
  <c r="W27" i="5"/>
  <c r="X27" i="5"/>
  <c r="Y27" i="5"/>
  <c r="AA27" i="5"/>
  <c r="AB27" i="5"/>
  <c r="AF27" i="5"/>
  <c r="C28" i="5"/>
  <c r="D28" i="5"/>
  <c r="E28" i="5"/>
  <c r="F28" i="5"/>
  <c r="H28" i="5"/>
  <c r="V28" i="5"/>
  <c r="W28" i="5"/>
  <c r="X28" i="5"/>
  <c r="Y28" i="5"/>
  <c r="AA28" i="5"/>
  <c r="AB28" i="5"/>
  <c r="AF28" i="5"/>
  <c r="C29" i="5"/>
  <c r="D29" i="5"/>
  <c r="E29" i="5"/>
  <c r="F29" i="5"/>
  <c r="H29" i="5"/>
  <c r="V29" i="5"/>
  <c r="W29" i="5"/>
  <c r="X29" i="5"/>
  <c r="Y29" i="5"/>
  <c r="AA29" i="5"/>
  <c r="AB29" i="5"/>
  <c r="C30" i="5"/>
  <c r="D30" i="5"/>
  <c r="E30" i="5"/>
  <c r="F30" i="5"/>
  <c r="H30" i="5"/>
  <c r="V30" i="5"/>
  <c r="W30" i="5"/>
  <c r="X30" i="5"/>
  <c r="Y30" i="5"/>
  <c r="AA30" i="5"/>
  <c r="AB30" i="5"/>
  <c r="C31" i="5"/>
  <c r="D31" i="5"/>
  <c r="E31" i="5"/>
  <c r="F31" i="5"/>
  <c r="H31" i="5"/>
  <c r="V31" i="5"/>
  <c r="W31" i="5"/>
  <c r="X31" i="5"/>
  <c r="Y31" i="5"/>
  <c r="AA31" i="5"/>
  <c r="AB31" i="5"/>
  <c r="C32" i="5"/>
  <c r="D32" i="5"/>
  <c r="E32" i="5"/>
  <c r="F32" i="5"/>
  <c r="H32" i="5"/>
  <c r="V32" i="5"/>
  <c r="W32" i="5"/>
  <c r="X32" i="5"/>
  <c r="Y32" i="5"/>
  <c r="AA32" i="5"/>
  <c r="AB32" i="5"/>
  <c r="C33" i="5"/>
  <c r="D33" i="5"/>
  <c r="E33" i="5"/>
  <c r="F33" i="5"/>
  <c r="H33" i="5"/>
  <c r="V33" i="5"/>
  <c r="W33" i="5"/>
  <c r="X33" i="5"/>
  <c r="Y33" i="5"/>
  <c r="AA33" i="5"/>
  <c r="AB33" i="5"/>
  <c r="C34" i="5"/>
  <c r="D34" i="5"/>
  <c r="E34" i="5"/>
  <c r="F34" i="5"/>
  <c r="H34" i="5"/>
  <c r="V34" i="5"/>
  <c r="W34" i="5"/>
  <c r="X34" i="5"/>
  <c r="Y34" i="5"/>
  <c r="AA34" i="5"/>
  <c r="AB34" i="5"/>
  <c r="C35" i="5"/>
  <c r="D35" i="5"/>
  <c r="E35" i="5"/>
  <c r="F35" i="5"/>
  <c r="H35" i="5"/>
  <c r="V35" i="5"/>
  <c r="W35" i="5"/>
  <c r="X35" i="5"/>
  <c r="Y35" i="5"/>
  <c r="AA35" i="5"/>
  <c r="AB35" i="5"/>
  <c r="C36" i="5"/>
  <c r="D36" i="5"/>
  <c r="E36" i="5"/>
  <c r="F36" i="5"/>
  <c r="H36" i="5"/>
  <c r="V36" i="5"/>
  <c r="W36" i="5"/>
  <c r="X36" i="5"/>
  <c r="Y36" i="5"/>
  <c r="AA36" i="5"/>
  <c r="AB36" i="5"/>
  <c r="C37" i="5"/>
  <c r="D37" i="5"/>
  <c r="E37" i="5"/>
  <c r="F37" i="5"/>
  <c r="H37" i="5"/>
  <c r="V37" i="5"/>
  <c r="W37" i="5"/>
  <c r="X37" i="5"/>
  <c r="Y37" i="5"/>
  <c r="AA37" i="5"/>
  <c r="AB37" i="5"/>
  <c r="C38" i="5"/>
  <c r="D38" i="5"/>
  <c r="E38" i="5"/>
  <c r="F38" i="5"/>
  <c r="H38" i="5"/>
  <c r="V38" i="5"/>
  <c r="W38" i="5"/>
  <c r="X38" i="5"/>
  <c r="Y38" i="5"/>
  <c r="AA38" i="5"/>
  <c r="AB38" i="5"/>
  <c r="C39" i="5"/>
  <c r="D39" i="5"/>
  <c r="E39" i="5"/>
  <c r="F39" i="5"/>
  <c r="H39" i="5"/>
  <c r="V39" i="5"/>
  <c r="W39" i="5"/>
  <c r="X39" i="5"/>
  <c r="Y39" i="5"/>
  <c r="AA39" i="5"/>
  <c r="AB39" i="5"/>
  <c r="C40" i="5"/>
  <c r="D40" i="5"/>
  <c r="E40" i="5"/>
  <c r="F40" i="5"/>
  <c r="H40" i="5"/>
  <c r="V40" i="5"/>
  <c r="W40" i="5"/>
  <c r="X40" i="5"/>
  <c r="Y40" i="5"/>
  <c r="AA40" i="5"/>
  <c r="AB40" i="5"/>
  <c r="C41" i="5"/>
  <c r="D41" i="5"/>
  <c r="E41" i="5"/>
  <c r="F41" i="5"/>
  <c r="H41" i="5"/>
  <c r="V41" i="5"/>
  <c r="W41" i="5"/>
  <c r="X41" i="5"/>
  <c r="Y41" i="5"/>
  <c r="AA41" i="5"/>
  <c r="AB41" i="5"/>
  <c r="C42" i="5"/>
  <c r="D42" i="5"/>
  <c r="E42" i="5"/>
  <c r="F42" i="5"/>
  <c r="H42" i="5"/>
  <c r="C43" i="5"/>
  <c r="D43" i="5"/>
  <c r="E43" i="5"/>
  <c r="F43" i="5"/>
  <c r="H43" i="5"/>
  <c r="C44" i="5"/>
  <c r="D44" i="5"/>
  <c r="E44" i="5"/>
  <c r="F44" i="5"/>
  <c r="H44" i="5"/>
  <c r="C45" i="5"/>
  <c r="D45" i="5"/>
  <c r="E45" i="5"/>
  <c r="F45" i="5"/>
  <c r="H45" i="5"/>
  <c r="C46" i="5"/>
  <c r="D46" i="5"/>
  <c r="E46" i="5"/>
  <c r="F46" i="5"/>
  <c r="H46" i="5"/>
  <c r="C47" i="5"/>
  <c r="D47" i="5"/>
  <c r="E47" i="5"/>
  <c r="F47" i="5"/>
  <c r="H47" i="5"/>
  <c r="D48" i="5"/>
  <c r="E48" i="5"/>
  <c r="F48" i="5"/>
  <c r="H48" i="5"/>
  <c r="D49" i="5"/>
  <c r="E49" i="5"/>
  <c r="F49" i="5"/>
  <c r="H49" i="5"/>
  <c r="D50" i="5"/>
  <c r="E50" i="5"/>
  <c r="F50" i="5"/>
  <c r="H50" i="5"/>
  <c r="D51" i="5"/>
  <c r="E51" i="5"/>
  <c r="F51" i="5"/>
  <c r="H51" i="5"/>
  <c r="D52" i="5"/>
  <c r="E52" i="5"/>
  <c r="F52" i="5"/>
  <c r="H52" i="5"/>
  <c r="D53" i="5"/>
  <c r="E53" i="5"/>
  <c r="F53" i="5"/>
  <c r="H53" i="5"/>
  <c r="D54" i="5"/>
  <c r="E54" i="5"/>
  <c r="F54" i="5"/>
  <c r="H54" i="5"/>
  <c r="D55" i="5"/>
  <c r="E55" i="5"/>
  <c r="F55" i="5"/>
  <c r="H55" i="5"/>
  <c r="D56" i="5"/>
  <c r="E56" i="5"/>
  <c r="F56" i="5"/>
  <c r="H56" i="5"/>
  <c r="D57" i="5"/>
  <c r="E57" i="5"/>
  <c r="F57" i="5"/>
  <c r="H57" i="5"/>
  <c r="E5" i="2"/>
  <c r="E7" i="2"/>
  <c r="J17" i="2"/>
  <c r="J22" i="2"/>
  <c r="J25" i="2"/>
  <c r="J26" i="2"/>
  <c r="J30" i="2"/>
  <c r="J31" i="2"/>
  <c r="J33" i="2"/>
  <c r="J35" i="2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C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C10" i="7"/>
  <c r="D10" i="7"/>
  <c r="E10" i="7"/>
  <c r="F10" i="7"/>
  <c r="G10" i="7"/>
  <c r="H10" i="7"/>
  <c r="D15" i="7"/>
  <c r="E15" i="7"/>
  <c r="F15" i="7"/>
  <c r="G15" i="7"/>
  <c r="H15" i="7"/>
  <c r="I15" i="7"/>
  <c r="D16" i="7"/>
  <c r="E16" i="7"/>
  <c r="F16" i="7"/>
  <c r="G16" i="7"/>
  <c r="H16" i="7"/>
  <c r="I16" i="7"/>
  <c r="D18" i="7"/>
  <c r="E18" i="7"/>
  <c r="F18" i="7"/>
  <c r="G18" i="7"/>
  <c r="H18" i="7"/>
  <c r="I18" i="7"/>
  <c r="D23" i="7"/>
  <c r="E23" i="7"/>
  <c r="F23" i="7"/>
  <c r="G23" i="7"/>
  <c r="H23" i="7"/>
  <c r="I23" i="7"/>
  <c r="D24" i="7"/>
  <c r="E24" i="7"/>
  <c r="F24" i="7"/>
  <c r="G24" i="7"/>
  <c r="H24" i="7"/>
  <c r="I24" i="7"/>
  <c r="D25" i="7"/>
  <c r="E25" i="7"/>
  <c r="F25" i="7"/>
  <c r="G25" i="7"/>
  <c r="H25" i="7"/>
  <c r="I25" i="7"/>
  <c r="D27" i="7"/>
  <c r="E27" i="7"/>
  <c r="F27" i="7"/>
  <c r="G27" i="7"/>
  <c r="H27" i="7"/>
  <c r="I27" i="7"/>
  <c r="D32" i="7"/>
  <c r="E32" i="7"/>
  <c r="F32" i="7"/>
  <c r="G32" i="7"/>
  <c r="H32" i="7"/>
  <c r="I32" i="7"/>
  <c r="D33" i="7"/>
  <c r="E33" i="7"/>
  <c r="F33" i="7"/>
  <c r="G33" i="7"/>
  <c r="H33" i="7"/>
  <c r="I33" i="7"/>
  <c r="D34" i="7"/>
  <c r="E34" i="7"/>
  <c r="F34" i="7"/>
  <c r="G34" i="7"/>
  <c r="H34" i="7"/>
  <c r="I34" i="7"/>
  <c r="C37" i="7"/>
  <c r="D37" i="7"/>
  <c r="E37" i="7"/>
  <c r="F37" i="7"/>
  <c r="G37" i="7"/>
  <c r="H37" i="7"/>
  <c r="I37" i="7"/>
  <c r="C38" i="7"/>
  <c r="D38" i="7"/>
  <c r="E38" i="7"/>
  <c r="F38" i="7"/>
  <c r="G38" i="7"/>
  <c r="H38" i="7"/>
  <c r="I38" i="7"/>
  <c r="D39" i="7"/>
  <c r="E39" i="7"/>
  <c r="F39" i="7"/>
  <c r="G39" i="7"/>
  <c r="H39" i="7"/>
  <c r="I39" i="7"/>
  <c r="C40" i="7"/>
  <c r="D40" i="7"/>
  <c r="E40" i="7"/>
  <c r="F40" i="7"/>
  <c r="G40" i="7"/>
  <c r="H40" i="7"/>
  <c r="I40" i="7"/>
  <c r="C41" i="7"/>
  <c r="D41" i="7"/>
  <c r="E41" i="7"/>
  <c r="F41" i="7"/>
  <c r="G41" i="7"/>
  <c r="H41" i="7"/>
  <c r="I41" i="7"/>
  <c r="C42" i="7"/>
  <c r="D42" i="7"/>
  <c r="E42" i="7"/>
  <c r="F42" i="7"/>
  <c r="G42" i="7"/>
  <c r="H42" i="7"/>
  <c r="I42" i="7"/>
  <c r="C44" i="7"/>
  <c r="C45" i="7"/>
  <c r="C47" i="7"/>
  <c r="C48" i="7"/>
  <c r="C54" i="7"/>
  <c r="D54" i="7"/>
  <c r="E54" i="7"/>
  <c r="F54" i="7"/>
  <c r="G54" i="7"/>
  <c r="H54" i="7"/>
  <c r="I54" i="7"/>
  <c r="E55" i="7"/>
  <c r="F55" i="7"/>
  <c r="G55" i="7"/>
  <c r="H55" i="7"/>
  <c r="I55" i="7"/>
  <c r="C58" i="7"/>
  <c r="C5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<sst xmlns="http://schemas.openxmlformats.org/spreadsheetml/2006/main" count="752" uniqueCount="476">
  <si>
    <t>EXECUTIVE SUMMARY</t>
  </si>
  <si>
    <t>Project Name</t>
  </si>
  <si>
    <t>PERMANENT SOURCES &amp; USES OF FUNDS</t>
  </si>
  <si>
    <t>Project Location</t>
  </si>
  <si>
    <t>Land Area</t>
  </si>
  <si>
    <t>Amortization</t>
  </si>
  <si>
    <t>SOURCES OF FUNDS</t>
  </si>
  <si>
    <t>Loan Closing Date</t>
  </si>
  <si>
    <t>Equity Required</t>
  </si>
  <si>
    <t>Construction Begin</t>
  </si>
  <si>
    <t>Revenue Inflator</t>
  </si>
  <si>
    <t>Cash Required to Close</t>
  </si>
  <si>
    <t>Months of Construction</t>
  </si>
  <si>
    <t>Expense Inflator</t>
  </si>
  <si>
    <t>Construction Complete</t>
  </si>
  <si>
    <t>WB</t>
  </si>
  <si>
    <t>Actual Leverage</t>
  </si>
  <si>
    <t>GC Profit</t>
  </si>
  <si>
    <t>Type of Rent</t>
  </si>
  <si>
    <t>Total</t>
  </si>
  <si>
    <t>Gross Area for Hard Costs</t>
  </si>
  <si>
    <t>Net Cash Required at Stabilization</t>
  </si>
  <si>
    <t>Total Sources of Funds</t>
  </si>
  <si>
    <t>Unit Mix</t>
  </si>
  <si>
    <t>#</t>
  </si>
  <si>
    <t>Rent</t>
  </si>
  <si>
    <t>Net Rent</t>
  </si>
  <si>
    <t>Gross Potential</t>
  </si>
  <si>
    <t>USES OF FUNDS</t>
  </si>
  <si>
    <t>*additional for gross area</t>
  </si>
  <si>
    <t>Type</t>
  </si>
  <si>
    <t>of Units</t>
  </si>
  <si>
    <t>Sq Ft</t>
  </si>
  <si>
    <t>per SF</t>
  </si>
  <si>
    <t>per Unit</t>
  </si>
  <si>
    <t>Income</t>
  </si>
  <si>
    <t>Land Cost</t>
  </si>
  <si>
    <t>A-1: 1BR</t>
  </si>
  <si>
    <t>Hard Costs</t>
  </si>
  <si>
    <t>A-2: 1BR</t>
  </si>
  <si>
    <t>A-3: 1BR</t>
  </si>
  <si>
    <t>Builder's Overhead</t>
  </si>
  <si>
    <t>A-4: 1BR</t>
  </si>
  <si>
    <t xml:space="preserve"> </t>
  </si>
  <si>
    <t>A-5: 1BR</t>
  </si>
  <si>
    <t>B-1: 2BR</t>
  </si>
  <si>
    <t>B-2: 2BR</t>
  </si>
  <si>
    <t>B-3: 2BR</t>
  </si>
  <si>
    <t>Transformers</t>
  </si>
  <si>
    <t>Residential Totals</t>
  </si>
  <si>
    <t>Building Construction</t>
  </si>
  <si>
    <t>WB Totals</t>
  </si>
  <si>
    <t>Other Soft Costs</t>
  </si>
  <si>
    <t>A &amp; E &amp; Interiors</t>
  </si>
  <si>
    <t>Legal - Lender (Classified as placement fee for HUD)</t>
  </si>
  <si>
    <t>Legal - Borrower</t>
  </si>
  <si>
    <t>Cost Certification</t>
  </si>
  <si>
    <t>Impact Fees</t>
  </si>
  <si>
    <t>Construction Interest</t>
  </si>
  <si>
    <t>Title &amp; Recording</t>
  </si>
  <si>
    <t>Architect &amp; Cost Review</t>
  </si>
  <si>
    <t>Market Study</t>
  </si>
  <si>
    <t>Appraisal &amp; Update</t>
  </si>
  <si>
    <t>Net</t>
  </si>
  <si>
    <t>Permit Fees</t>
  </si>
  <si>
    <t>Operating Summary (Developer Assumptions)</t>
  </si>
  <si>
    <t>Monthly</t>
  </si>
  <si>
    <t>M DS</t>
  </si>
  <si>
    <t>Gross Rental Potential Income</t>
  </si>
  <si>
    <t>Vacancy - Rental Income</t>
  </si>
  <si>
    <t>Taxes during construction</t>
  </si>
  <si>
    <t>Commercial Retail</t>
  </si>
  <si>
    <t>Total Development Budget</t>
  </si>
  <si>
    <t>Vacancy Commercial Retail</t>
  </si>
  <si>
    <t>Other Income</t>
  </si>
  <si>
    <t>Project Surplus (Shortfall)</t>
  </si>
  <si>
    <t>Vacancy Other Income</t>
  </si>
  <si>
    <t>Effective Gross Income</t>
  </si>
  <si>
    <t>Net Operating Income</t>
  </si>
  <si>
    <t>Net Cash Flow - Stabilized</t>
  </si>
  <si>
    <t>Other Income Summary</t>
  </si>
  <si>
    <t>Ancillary Income</t>
  </si>
  <si>
    <t># of units</t>
  </si>
  <si>
    <t>Revenue</t>
  </si>
  <si>
    <t>Garage Parking</t>
  </si>
  <si>
    <t>Carports</t>
  </si>
  <si>
    <t>Other</t>
  </si>
  <si>
    <t>Statutory Limit Constraint</t>
  </si>
  <si>
    <t># of</t>
  </si>
  <si>
    <t>sq ft</t>
  </si>
  <si>
    <t>HUD Rent</t>
  </si>
  <si>
    <t>Gross</t>
  </si>
  <si>
    <t>Type of Unit</t>
  </si>
  <si>
    <t>Units</t>
  </si>
  <si>
    <t>per unit</t>
  </si>
  <si>
    <t>Potential Inc.</t>
  </si>
  <si>
    <t>Land &amp; Existing Structures</t>
  </si>
  <si>
    <t>Additional Costs</t>
  </si>
  <si>
    <t>Marketing</t>
  </si>
  <si>
    <t>Total Replacement Cost</t>
  </si>
  <si>
    <t>% Eligible</t>
  </si>
  <si>
    <t>Gross Potential Income</t>
  </si>
  <si>
    <t>Operating Expenses</t>
  </si>
  <si>
    <t>RE Tax</t>
  </si>
  <si>
    <t>Interest Rate</t>
  </si>
  <si>
    <t>Construction Cash Flow</t>
  </si>
  <si>
    <t>months</t>
  </si>
  <si>
    <t>Tax month</t>
  </si>
  <si>
    <t>Closing</t>
  </si>
  <si>
    <t>test</t>
  </si>
  <si>
    <t>Development Costs</t>
  </si>
  <si>
    <t>Acquisition or Loan Payoff</t>
  </si>
  <si>
    <t>A &amp; E</t>
  </si>
  <si>
    <t>Fees &amp; Permits</t>
  </si>
  <si>
    <t>Furniture</t>
  </si>
  <si>
    <t>Legal &amp; Miscellaneous</t>
  </si>
  <si>
    <t>Financing Fees</t>
  </si>
  <si>
    <t>Interest During Construction</t>
  </si>
  <si>
    <t>Property Taxes</t>
  </si>
  <si>
    <t>Total Development Costs</t>
  </si>
  <si>
    <t>Sources of Funds</t>
  </si>
  <si>
    <t>Equity</t>
  </si>
  <si>
    <t>Construction Draw</t>
  </si>
  <si>
    <t>Cumulative Construction Draw</t>
  </si>
  <si>
    <t>Cumulative Total Development Costs</t>
  </si>
  <si>
    <t>Cost over Debt (including land)</t>
  </si>
  <si>
    <t>Cost over Debt (excluding land)</t>
  </si>
  <si>
    <t>Total Project Cost</t>
  </si>
  <si>
    <t>Months</t>
  </si>
  <si>
    <t>Construction Schedule</t>
  </si>
  <si>
    <t>Bell Curve Calculations</t>
  </si>
  <si>
    <t>STD DEV</t>
  </si>
  <si>
    <t>Knoxville HUD</t>
  </si>
  <si>
    <t>Stabilized</t>
  </si>
  <si>
    <t>Rev Inc</t>
  </si>
  <si>
    <t>Exp Inc</t>
  </si>
  <si>
    <t>Operating Pro Forma</t>
  </si>
  <si>
    <t>Operating Income</t>
  </si>
  <si>
    <t>Gross Potential Income - Rental</t>
  </si>
  <si>
    <t>Vacancy</t>
  </si>
  <si>
    <t>Vacancy Other</t>
  </si>
  <si>
    <t>Retail</t>
  </si>
  <si>
    <t>Retail Vacancy</t>
  </si>
  <si>
    <t>Net Project Income</t>
  </si>
  <si>
    <t xml:space="preserve">   Management Fee</t>
  </si>
  <si>
    <t xml:space="preserve">   Total Operating Costs</t>
  </si>
  <si>
    <t xml:space="preserve">   Advertising &amp; Marketing</t>
  </si>
  <si>
    <t xml:space="preserve">   Repairs &amp; Maintenance</t>
  </si>
  <si>
    <t xml:space="preserve">   Leasing Office Salaries</t>
  </si>
  <si>
    <t xml:space="preserve">   Utilities</t>
  </si>
  <si>
    <t xml:space="preserve">   Turnover Costs</t>
  </si>
  <si>
    <t xml:space="preserve">   Insurance</t>
  </si>
  <si>
    <t xml:space="preserve">   Property Taxes</t>
  </si>
  <si>
    <t>Operating Expenses - Housing</t>
  </si>
  <si>
    <t>Total Operating Expenses</t>
  </si>
  <si>
    <t>Total Net Operating Income</t>
  </si>
  <si>
    <t>Primary Debt Service</t>
  </si>
  <si>
    <t xml:space="preserve">   Interest</t>
  </si>
  <si>
    <t xml:space="preserve">   Principal</t>
  </si>
  <si>
    <t>Total Debt Service</t>
  </si>
  <si>
    <t>Cash Flow</t>
  </si>
  <si>
    <t>Primary Debt Serivce Coverage</t>
  </si>
  <si>
    <t>Combined Debt Service Coverage</t>
  </si>
  <si>
    <t>Cash Flow Available</t>
  </si>
  <si>
    <t>Interest</t>
  </si>
  <si>
    <t>Lease up Schedule</t>
  </si>
  <si>
    <t>Factor</t>
  </si>
  <si>
    <t>Schedule</t>
  </si>
  <si>
    <t>Units Leased</t>
  </si>
  <si>
    <t>Month</t>
  </si>
  <si>
    <t>Year Total</t>
  </si>
  <si>
    <t>Total Operating Costs</t>
  </si>
  <si>
    <t>ASSUMPTIONS</t>
  </si>
  <si>
    <t>Loan Amount</t>
  </si>
  <si>
    <t>Insurance</t>
  </si>
  <si>
    <t>Payments per year</t>
  </si>
  <si>
    <t>Monthly Payment</t>
  </si>
  <si>
    <t>Annual Payment</t>
  </si>
  <si>
    <t>Annual Payment with Insurance</t>
  </si>
  <si>
    <t xml:space="preserve">Cumulative Interest </t>
  </si>
  <si>
    <t>Prepayment Amount</t>
  </si>
  <si>
    <t>Annual</t>
  </si>
  <si>
    <t>Principal</t>
  </si>
  <si>
    <t>2 Payments per Year</t>
  </si>
  <si>
    <t>12 Payments per Year</t>
  </si>
  <si>
    <t>Payment</t>
  </si>
  <si>
    <t>Balance</t>
  </si>
  <si>
    <t>Debt Service</t>
  </si>
  <si>
    <t>Annual Pmt numbers</t>
  </si>
  <si>
    <t>Annual Payment Numbers</t>
  </si>
  <si>
    <t>Penalty</t>
  </si>
  <si>
    <t>Equity Return Analysis Worksheet</t>
  </si>
  <si>
    <t>Project Cash Flow</t>
  </si>
  <si>
    <t>Equity Required at Closing</t>
  </si>
  <si>
    <t>Equity Required Const Comp</t>
  </si>
  <si>
    <t>Reserves (refundable)</t>
  </si>
  <si>
    <t>Release of Reserves</t>
  </si>
  <si>
    <t>Net Cash Flow</t>
  </si>
  <si>
    <t>Sale Analysis</t>
  </si>
  <si>
    <t>Project Returns</t>
  </si>
  <si>
    <t>Year Sale</t>
  </si>
  <si>
    <t>Reserves (Refundable)</t>
  </si>
  <si>
    <t>NOI</t>
  </si>
  <si>
    <t>*Release of Reserves</t>
  </si>
  <si>
    <t>Exit Cap Rate</t>
  </si>
  <si>
    <t>Total Cash Flow</t>
  </si>
  <si>
    <t>Sale Value</t>
  </si>
  <si>
    <t>Project IRR</t>
  </si>
  <si>
    <t>Minus: Cost of Sale</t>
  </si>
  <si>
    <t>Net Financing Proceeds</t>
  </si>
  <si>
    <t>Minus: Loan Payoff</t>
  </si>
  <si>
    <t>Minus: PrePayment</t>
  </si>
  <si>
    <t>Net Proceeds for Distribution</t>
  </si>
  <si>
    <t>Less Cash Invested</t>
  </si>
  <si>
    <t xml:space="preserve">Profit </t>
  </si>
  <si>
    <t>Working Capital</t>
  </si>
  <si>
    <t>Amount Released</t>
  </si>
  <si>
    <t>Operating Deficit</t>
  </si>
  <si>
    <t>Equity Splits</t>
  </si>
  <si>
    <t>Return Splits - Post Pref</t>
  </si>
  <si>
    <t>Investor Pref</t>
  </si>
  <si>
    <t>Investor</t>
  </si>
  <si>
    <t>Developer</t>
  </si>
  <si>
    <t>Project Cashflows</t>
  </si>
  <si>
    <t>Years</t>
  </si>
  <si>
    <t>Cashflows</t>
  </si>
  <si>
    <t>Tier 1 - Preferred Return</t>
  </si>
  <si>
    <t>Required Cashflow</t>
  </si>
  <si>
    <t>Current Year Excess/(Deficit)</t>
  </si>
  <si>
    <t>Total Tier 1 Distribution</t>
  </si>
  <si>
    <t>Tier 2 - Return of Capital</t>
  </si>
  <si>
    <t>Outstanding Equity</t>
  </si>
  <si>
    <t>Ending Capital Balance</t>
  </si>
  <si>
    <t>Total Tier 2 Distribution</t>
  </si>
  <si>
    <t>Tier 3 - Excess Cashflow</t>
  </si>
  <si>
    <t>Excess Cashflow for Tier 3</t>
  </si>
  <si>
    <t>Distribution to Investor</t>
  </si>
  <si>
    <t>Distribution to Sponsor</t>
  </si>
  <si>
    <t>Investor Cashflow</t>
  </si>
  <si>
    <t>Developer Cashflow</t>
  </si>
  <si>
    <t>Developer Promote</t>
  </si>
  <si>
    <t>Developer Total Cashflow</t>
  </si>
  <si>
    <t>Project Cashflow</t>
  </si>
  <si>
    <t>Check</t>
  </si>
  <si>
    <t>Investor IRR</t>
  </si>
  <si>
    <t>Developer IRR</t>
  </si>
  <si>
    <t>Investor Multiple</t>
  </si>
  <si>
    <t>Developer Multiple</t>
  </si>
  <si>
    <t>Investor Returns</t>
  </si>
  <si>
    <t>$</t>
  </si>
  <si>
    <t>*1</t>
  </si>
  <si>
    <t>Cash-on-Cash</t>
  </si>
  <si>
    <t>*includes 50% reserves for FF&amp;E, Lease-up, Marketing, Change Orders &amp; Debt Service Shortfalls</t>
  </si>
  <si>
    <t>Taxing District</t>
  </si>
  <si>
    <t>Tax Rate</t>
  </si>
  <si>
    <t>Appriased Tax Value</t>
  </si>
  <si>
    <t>Taxes Due</t>
  </si>
  <si>
    <t>Taxes $/Unit</t>
  </si>
  <si>
    <t>Avg Rent/SF</t>
  </si>
  <si>
    <t>Avg Unit Size</t>
  </si>
  <si>
    <t>Unit Count</t>
  </si>
  <si>
    <t>Gross Resi Rental Revenue</t>
  </si>
  <si>
    <t>Total Gross Rent</t>
  </si>
  <si>
    <t>Occupancy (8% vacancy)</t>
  </si>
  <si>
    <t>Income Less Vacancy</t>
  </si>
  <si>
    <t>Expense Ratio</t>
  </si>
  <si>
    <t>Expenses</t>
  </si>
  <si>
    <t>Cap Rate</t>
  </si>
  <si>
    <t>Pre Appraised Value</t>
  </si>
  <si>
    <t>Cost of Sale</t>
  </si>
  <si>
    <t>Adj for Cost of Sale</t>
  </si>
  <si>
    <t>Appraised Value</t>
  </si>
  <si>
    <t>GRAND PRAIRIE TAX CALCULATIONS BASED ON TAXABLE APPRAISED VALUE</t>
  </si>
  <si>
    <t>GRAND PRAIRIE PROJ CALCULATING APPRAISED VALUE FOR TAXES</t>
  </si>
  <si>
    <t>038 CITY OF GRAND PRAIRIE</t>
  </si>
  <si>
    <t>220 TARRANT COUNTY</t>
  </si>
  <si>
    <t>908 MANSFIELD ISD</t>
  </si>
  <si>
    <t>224 TARRANT COUNTY HOSPITAL</t>
  </si>
  <si>
    <t>Secondary Gross Rent (garages, storage etc)</t>
  </si>
  <si>
    <t>225 TARRANT COUNTY COLLEGE</t>
  </si>
  <si>
    <t>Land Tax</t>
  </si>
  <si>
    <t>CONTACT FOR GRAND PRAIRIE APPRAISER</t>
  </si>
  <si>
    <t>CONTACT FOR LAKELAND TAXES ON LAND</t>
  </si>
  <si>
    <t>Peter Purcell</t>
  </si>
  <si>
    <t>peterpurcell@polk-county.net</t>
  </si>
  <si>
    <t>Grand Prairie Fees</t>
  </si>
  <si>
    <t>Concept Plan</t>
  </si>
  <si>
    <t>Building Permit</t>
  </si>
  <si>
    <t>Zoning Application</t>
  </si>
  <si>
    <t>Specific Use Permit</t>
  </si>
  <si>
    <t>Site Plan Application</t>
  </si>
  <si>
    <t>Utility Fee</t>
  </si>
  <si>
    <t>Size</t>
  </si>
  <si>
    <t>Water</t>
  </si>
  <si>
    <t>Waste Water</t>
  </si>
  <si>
    <t>6"</t>
  </si>
  <si>
    <t>2"</t>
  </si>
  <si>
    <t>1" meter pool</t>
  </si>
  <si>
    <t>Total for Phase 1</t>
  </si>
  <si>
    <t>Day Miar Road Infrastructure</t>
  </si>
  <si>
    <t>Construction Contigency</t>
  </si>
  <si>
    <t>Lease up Contigency</t>
  </si>
  <si>
    <t>Cash required to Close</t>
  </si>
  <si>
    <t xml:space="preserve">Lofts at Grand prairie </t>
  </si>
  <si>
    <t>Lofts at Grand prairie</t>
  </si>
  <si>
    <t>PACE Equity</t>
  </si>
  <si>
    <t>LTV</t>
  </si>
  <si>
    <t>Pace Equity Interest</t>
  </si>
  <si>
    <t>Pace Equity Term</t>
  </si>
  <si>
    <t>Pace Financing Fee</t>
  </si>
  <si>
    <t>Texas PACE Authority Fee</t>
  </si>
  <si>
    <t>Lease up yr 1</t>
  </si>
  <si>
    <t>Lease-up yr 2</t>
  </si>
  <si>
    <t>Year 1</t>
  </si>
  <si>
    <t>Year 2</t>
  </si>
  <si>
    <t>Const. yr 2</t>
  </si>
  <si>
    <t>Const. yr 1</t>
  </si>
  <si>
    <t>Project Equity Multiple</t>
  </si>
  <si>
    <t>Cash-on-cash</t>
  </si>
  <si>
    <t>after 12m construction</t>
  </si>
  <si>
    <t>Refinance</t>
  </si>
  <si>
    <t>Lease-up 1</t>
  </si>
  <si>
    <t>Lease-up 2</t>
  </si>
  <si>
    <t>Stabilized Yr 1</t>
  </si>
  <si>
    <t>Expense Margin</t>
  </si>
  <si>
    <t>Off-site work (road)</t>
  </si>
  <si>
    <t>PACE EQUITY</t>
  </si>
  <si>
    <t>Total Interest</t>
  </si>
  <si>
    <t xml:space="preserve">   Repairs &amp; Maintenance / Make Ready</t>
  </si>
  <si>
    <t>Storage</t>
  </si>
  <si>
    <r>
      <rPr>
        <sz val="7.5"/>
        <rFont val="Arial"/>
        <family val="2"/>
      </rPr>
      <t>Room Number</t>
    </r>
  </si>
  <si>
    <r>
      <rPr>
        <sz val="7.5"/>
        <rFont val="Arial"/>
        <family val="2"/>
      </rPr>
      <t>STORAGE</t>
    </r>
  </si>
  <si>
    <t>Price</t>
  </si>
  <si>
    <t>Grand Praire I Storage Rooms</t>
  </si>
  <si>
    <t>Area (SF)</t>
  </si>
  <si>
    <t xml:space="preserve"> Operating Revenue/Expense Underwriting</t>
  </si>
  <si>
    <t>Vacancy - Rental/Ancillary</t>
  </si>
  <si>
    <t>Vacancy - Commercial/Retail</t>
  </si>
  <si>
    <t>Mortgageable Development Cost Calculation</t>
  </si>
  <si>
    <t>Cost Limit Loan Constraint</t>
  </si>
  <si>
    <t>Construction Loan Amortization Schedule</t>
  </si>
  <si>
    <t>Maximum Loan Calculation</t>
  </si>
  <si>
    <t>Requested Loan</t>
  </si>
  <si>
    <t xml:space="preserve">Hard Construction </t>
  </si>
  <si>
    <t>Other Fees</t>
  </si>
  <si>
    <t>Net Rental Income</t>
  </si>
  <si>
    <t>Sale/Refinance Proceeds</t>
  </si>
  <si>
    <t>13 acres</t>
  </si>
  <si>
    <t>I/O Period</t>
  </si>
  <si>
    <t>I/O Term</t>
  </si>
  <si>
    <t>Pace Equity I/O Term</t>
  </si>
  <si>
    <t>Pace Equity Amortization</t>
  </si>
  <si>
    <t>Year of Sale for IRR</t>
  </si>
  <si>
    <t>Pace Equity LTC</t>
  </si>
  <si>
    <t>CONSTRUCTION LOAN CALCULATIONS</t>
  </si>
  <si>
    <t>On-Site Work (XTO Power and Roadway)</t>
  </si>
  <si>
    <t>Other Dev Costs - Courts/Amenities</t>
  </si>
  <si>
    <t>Other site work</t>
  </si>
  <si>
    <t>26 months</t>
  </si>
  <si>
    <t>LTC Constraint</t>
  </si>
  <si>
    <t>Construction Loan</t>
  </si>
  <si>
    <t>Const. Loan Interest Rate</t>
  </si>
  <si>
    <t>Const. Loan LTC</t>
  </si>
  <si>
    <t>Const. Loan Amortization</t>
  </si>
  <si>
    <t>Const. Loan Term</t>
  </si>
  <si>
    <t>Const. Loan DSCR</t>
  </si>
  <si>
    <t>Units Leased per Month</t>
  </si>
  <si>
    <t>Senior Financing Fee</t>
  </si>
  <si>
    <t>Total Equity Required</t>
  </si>
  <si>
    <t>Sale Proceeds</t>
  </si>
  <si>
    <t>Cumulative PACE Draw</t>
  </si>
  <si>
    <t>Cumulative Senior Draw</t>
  </si>
  <si>
    <t>Construction Contingency</t>
  </si>
  <si>
    <t>Years I/O</t>
  </si>
  <si>
    <t>Marketing and Website</t>
  </si>
  <si>
    <t>Builder's Risk</t>
  </si>
  <si>
    <t>Builders Risk</t>
  </si>
  <si>
    <t>Marketing &amp; Website</t>
  </si>
  <si>
    <r>
      <t xml:space="preserve">FF&amp;E - </t>
    </r>
    <r>
      <rPr>
        <b/>
        <i/>
        <sz val="10"/>
        <color theme="2" tint="-0.499984740745262"/>
        <rFont val="Arial"/>
        <family val="2"/>
      </rPr>
      <t>pool, clubhouse, leasing office, gym eqp</t>
    </r>
    <r>
      <rPr>
        <b/>
        <sz val="10"/>
        <color theme="1"/>
        <rFont val="Arial"/>
        <family val="2"/>
      </rPr>
      <t xml:space="preserve">, </t>
    </r>
    <r>
      <rPr>
        <b/>
        <sz val="10"/>
        <color theme="0" tint="-0.499984740745262"/>
        <rFont val="Arial"/>
        <family val="2"/>
      </rPr>
      <t>lockers</t>
    </r>
  </si>
  <si>
    <t>Property Insurance</t>
  </si>
  <si>
    <t>*cable/internet, pet fees, cleaning fees, admin fees, application fees, termination fees</t>
  </si>
  <si>
    <t>Water &amp; Sewer</t>
  </si>
  <si>
    <t>Waster Removal</t>
  </si>
  <si>
    <t>Utilities</t>
  </si>
  <si>
    <t>Administrative &amp; Contract Services</t>
  </si>
  <si>
    <t>Admin &amp; Contract Servies</t>
  </si>
  <si>
    <t>Avilla lakeridge</t>
  </si>
  <si>
    <t>Beds</t>
  </si>
  <si>
    <t>Baths</t>
  </si>
  <si>
    <t>Avg SF</t>
  </si>
  <si>
    <t># Units</t>
  </si>
  <si>
    <t>Mix %</t>
  </si>
  <si>
    <t>Units Available - Units</t>
  </si>
  <si>
    <t>Units Available - Percent</t>
  </si>
  <si>
    <t>Avg Asking Rent/Unit</t>
  </si>
  <si>
    <t>Avg Asking Rent/SF</t>
  </si>
  <si>
    <t>Avg Effective Rent/Unit</t>
  </si>
  <si>
    <t>Avg Effective Rent/SF</t>
  </si>
  <si>
    <t>1,740 USD</t>
  </si>
  <si>
    <t>1.86 USD</t>
  </si>
  <si>
    <t>2,335 USD</t>
  </si>
  <si>
    <t>2.43 USD</t>
  </si>
  <si>
    <t>2,568 USD</t>
  </si>
  <si>
    <t>2.08 USD</t>
  </si>
  <si>
    <t>All 1 Beds</t>
  </si>
  <si>
    <t>All 2 Beds</t>
  </si>
  <si>
    <t>All 3 Beds</t>
  </si>
  <si>
    <t>Totals</t>
  </si>
  <si>
    <t>2,255 USD</t>
  </si>
  <si>
    <t>2.17 USD</t>
  </si>
  <si>
    <t>Debbie Flats</t>
  </si>
  <si>
    <t>1</t>
  </si>
  <si>
    <t>2</t>
  </si>
  <si>
    <t>3</t>
  </si>
  <si>
    <t>Reveal Lake Ridge</t>
  </si>
  <si>
    <t>Waters Edge at Mansfield</t>
  </si>
  <si>
    <t>The Atwell</t>
  </si>
  <si>
    <t>Rents ($)</t>
  </si>
  <si>
    <t>Comparable Project</t>
  </si>
  <si>
    <t>Comp Area (SF)</t>
  </si>
  <si>
    <t>Comp Rent ($)</t>
  </si>
  <si>
    <t>Area Diff. (SF)</t>
  </si>
  <si>
    <t>Rent Diff. ($)</t>
  </si>
  <si>
    <t>Comp $/sf</t>
  </si>
  <si>
    <t>WB $/sf</t>
  </si>
  <si>
    <t>Reveal</t>
  </si>
  <si>
    <t>Waters Edge</t>
  </si>
  <si>
    <t>Avilla</t>
  </si>
  <si>
    <t>LOFTS AT GRAND PRAIRIE VS. COMPS</t>
  </si>
  <si>
    <t>Project</t>
  </si>
  <si>
    <t>Address</t>
  </si>
  <si>
    <t>Sales Date</t>
  </si>
  <si>
    <t>Amount</t>
  </si>
  <si>
    <t>$/unit</t>
  </si>
  <si>
    <t>Alta Grand Crossing</t>
  </si>
  <si>
    <t>Coming Soon</t>
  </si>
  <si>
    <t>The Copeland</t>
  </si>
  <si>
    <t>Sovereign Hometown</t>
  </si>
  <si>
    <t>On Mkt</t>
  </si>
  <si>
    <t>Regalia Mansfield</t>
  </si>
  <si>
    <t>2015/2017</t>
  </si>
  <si>
    <t xml:space="preserve">Jackson at Viridian </t>
  </si>
  <si>
    <t>Alexan Flower Mound</t>
  </si>
  <si>
    <t xml:space="preserve">Built </t>
  </si>
  <si>
    <t>1661 Forum Dr, Grand Prairie, TX 75052</t>
  </si>
  <si>
    <t>2045 Forum Dr, Grand Prairie, TX 75052</t>
  </si>
  <si>
    <t>6021 Parker Blvd, North Richland Hills, TX 76180</t>
  </si>
  <si>
    <t>350 N State Hwy 360, Mansfield, TX 76063</t>
  </si>
  <si>
    <t>301 Silveron Blvd, Flower Mound, TX 75028</t>
  </si>
  <si>
    <r>
      <t> </t>
    </r>
    <r>
      <rPr>
        <sz val="14"/>
        <color theme="1"/>
        <rFont val="Arial"/>
        <family val="2"/>
      </rPr>
      <t>4101 Viridian Village Dr, Arlington, TX 76005</t>
    </r>
  </si>
  <si>
    <t>Net Proceeds</t>
  </si>
  <si>
    <t>Initial Fin Amount</t>
  </si>
  <si>
    <t>Days</t>
  </si>
  <si>
    <t>Pace Transaction Fee</t>
  </si>
  <si>
    <t>Fees</t>
  </si>
  <si>
    <t>Accrued Interest</t>
  </si>
  <si>
    <t>Fees (% of balance)</t>
  </si>
  <si>
    <t>Loan Percentages</t>
  </si>
  <si>
    <t>Loan type</t>
  </si>
  <si>
    <t>LTC</t>
  </si>
  <si>
    <t>%</t>
  </si>
  <si>
    <t>Senior</t>
  </si>
  <si>
    <t>PACE</t>
  </si>
  <si>
    <t>$O$11</t>
  </si>
  <si>
    <t>Cost</t>
  </si>
  <si>
    <t>$O$20</t>
  </si>
  <si>
    <t>Created by Microsoft Office User on 6/30/2022</t>
  </si>
  <si>
    <t>Scenario Summary</t>
  </si>
  <si>
    <t>Changing Cells:</t>
  </si>
  <si>
    <t>Current Values:</t>
  </si>
  <si>
    <t>Result Cells:</t>
  </si>
  <si>
    <t>Partner Equity</t>
  </si>
  <si>
    <t>WB Cash to Close</t>
  </si>
  <si>
    <t>Under Contract</t>
  </si>
  <si>
    <t>Other Income: Cable/internet, pet fees, cleaning fees, admin fees, application fees, termination fees</t>
  </si>
  <si>
    <t xml:space="preserve">LTV at Take out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</si>
</sst>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000_);\(#,##0.0000\)"/>
    <numFmt numFmtId="165" formatCode="#,##0.000_);\(#,##0.000\)"/>
    <numFmt numFmtId="166" formatCode="0.00\ &quot;Acres&quot;"/>
    <numFmt numFmtId="167" formatCode="m/d/yy;@"/>
    <numFmt numFmtId="168" formatCode="0.0%"/>
    <numFmt numFmtId="169" formatCode="_(* #,##0_);_(* \(#,##0\);_(* &quot;-&quot;??_);_(@_)"/>
    <numFmt numFmtId="170" formatCode="0.000%"/>
    <numFmt numFmtId="171" formatCode="0_);\(0\)"/>
    <numFmt numFmtId="172" formatCode="#,000\ &quot;Per unit&quot;"/>
    <numFmt numFmtId="173" formatCode="#,##0\ &quot;sf*&quot;"/>
    <numFmt numFmtId="174" formatCode="#,##0_);\(#,##0\)\ &quot;Net&quot;"/>
    <numFmt numFmtId="175" formatCode="0.0000%"/>
    <numFmt numFmtId="176" formatCode="#,##0.00000"/>
    <numFmt numFmtId="177" formatCode="#,##0.0000"/>
    <numFmt numFmtId="178" formatCode="#,##0.000"/>
    <numFmt numFmtId="179" formatCode="#,##0.0000000"/>
    <numFmt numFmtId="180" formatCode="[$-409]d\-mmm\-yy;@"/>
    <numFmt numFmtId="181" formatCode="_(&quot;$&quot;* #,##0_);_(&quot;$&quot;* \(#,##0\);_(&quot;$&quot;* &quot;-&quot;??_);_(@_)"/>
    <numFmt numFmtId="182" formatCode="0.00000%"/>
    <numFmt numFmtId="183" formatCode="0.00\x"/>
    <numFmt numFmtId="184" formatCode="&quot;$&quot;#,##0.00"/>
    <numFmt numFmtId="185" formatCode="&quot;$&quot;#,##0"/>
    <numFmt numFmtId="186" formatCode="#,##0_);\(#,##0\)\ &quot;psf&quot;"/>
    <numFmt numFmtId="187" formatCode="#,##0\ &quot;per unit&quot;"/>
    <numFmt numFmtId="188" formatCode="0.00%\ &quot;Today's Rate&quot;"/>
    <numFmt numFmtId="189" formatCode="#,##0.0"/>
    <numFmt numFmtId="190" formatCode="#,##0.0%"/>
    <numFmt numFmtId="191" formatCode="#,##0\ [$USD]"/>
    <numFmt numFmtId="192" formatCode="#,##0.00\ [$USD]"/>
    <numFmt numFmtId="193" formatCode="[$-409]mmm\-yy;@"/>
    <numFmt numFmtId="194" formatCode="&quot;for&quot;\ #,##0\ &quot;years&quot;"/>
    <numFmt numFmtId="195" formatCode="_(* #,##0.00000_);_(* \(#,##0.00000\);_(* &quot;-&quot;??_);_(@_)"/>
  </numFmts>
  <fonts count="7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i/>
      <u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70C0"/>
      <name val="Arial"/>
      <family val="2"/>
    </font>
    <font>
      <b/>
      <i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4"/>
      <name val="Arial"/>
      <family val="2"/>
    </font>
    <font>
      <sz val="10"/>
      <color theme="4"/>
      <name val="Arial"/>
      <family val="2"/>
    </font>
    <font>
      <sz val="10"/>
      <color rgb="FF0070C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b/>
      <i/>
      <sz val="10"/>
      <color theme="2" tint="-0.499984740745262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u/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0"/>
      <color theme="1"/>
      <name val="Arial Narrow"/>
      <family val="2"/>
    </font>
    <font>
      <u/>
      <sz val="10"/>
      <name val="Arial"/>
      <family val="2"/>
    </font>
    <font>
      <b/>
      <sz val="10"/>
      <color theme="0"/>
      <name val="Arial Narrow"/>
      <family val="2"/>
    </font>
    <font>
      <b/>
      <sz val="10"/>
      <name val="Arial Narrow"/>
      <family val="2"/>
    </font>
    <font>
      <sz val="12"/>
      <color theme="4"/>
      <name val="Calibri"/>
      <family val="2"/>
      <scheme val="minor"/>
    </font>
    <font>
      <i/>
      <sz val="10"/>
      <color theme="4"/>
      <name val="Arial"/>
      <family val="2"/>
    </font>
    <font>
      <b/>
      <u/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2"/>
      <color theme="4"/>
      <name val="Calibri"/>
      <family val="2"/>
      <scheme val="minor"/>
    </font>
    <font>
      <i/>
      <sz val="10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theme="0"/>
      <name val="Arial"/>
      <family val="2"/>
    </font>
    <font>
      <sz val="12"/>
      <name val="Calibri"/>
      <family val="2"/>
      <scheme val="minor"/>
    </font>
    <font>
      <sz val="10"/>
      <color theme="1"/>
      <name val="Work Sans"/>
    </font>
    <font>
      <sz val="10"/>
      <color rgb="FF1F3864"/>
      <name val="Helvetica"/>
      <family val="2"/>
    </font>
    <font>
      <sz val="11"/>
      <name val="Calibri"/>
      <family val="2"/>
      <scheme val="minor"/>
    </font>
    <font>
      <i/>
      <sz val="10"/>
      <name val="Arial"/>
      <family val="2"/>
    </font>
    <font>
      <i/>
      <sz val="8"/>
      <color theme="1"/>
      <name val="Arial"/>
      <family val="2"/>
    </font>
    <font>
      <sz val="7.5"/>
      <name val="Arial"/>
      <family val="2"/>
    </font>
    <font>
      <sz val="7.5"/>
      <color rgb="FF000000"/>
      <name val="Arial"/>
      <family val="2"/>
    </font>
    <font>
      <sz val="12"/>
      <color theme="1"/>
      <name val="-apple-system-font"/>
    </font>
    <font>
      <u/>
      <sz val="12"/>
      <color theme="1"/>
      <name val="-apple-system-font"/>
    </font>
    <font>
      <b/>
      <sz val="10"/>
      <color theme="2" tint="-9.9978637043366805E-2"/>
      <name val="Arial"/>
      <family val="2"/>
    </font>
    <font>
      <sz val="12"/>
      <color theme="2" tint="-9.9978637043366805E-2"/>
      <name val="Calibri"/>
      <family val="2"/>
      <scheme val="minor"/>
    </font>
    <font>
      <sz val="10"/>
      <color theme="2" tint="-9.9978637043366805E-2"/>
      <name val="Arial"/>
      <family val="2"/>
    </font>
    <font>
      <b/>
      <sz val="10"/>
      <color theme="0" tint="-0.499984740745262"/>
      <name val="Arial"/>
      <family val="2"/>
    </font>
    <font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Helvetica"/>
      <family val="2"/>
    </font>
    <font>
      <sz val="12"/>
      <name val="Times New Roman"/>
      <family val="1"/>
    </font>
    <font>
      <sz val="12"/>
      <name val="Montserrat"/>
      <family val="3"/>
    </font>
    <font>
      <sz val="12"/>
      <name val="Montserrat"/>
    </font>
    <font>
      <sz val="14"/>
      <color theme="1"/>
      <name val="Arial"/>
      <family val="2"/>
    </font>
    <font>
      <b/>
      <sz val="14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indexed="18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FF0000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6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3" fontId="30" fillId="0" borderId="0"/>
    <xf numFmtId="3" fontId="17" fillId="0" borderId="0"/>
    <xf numFmtId="0" fontId="45" fillId="0" borderId="0" applyNumberFormat="0" applyFill="0" applyBorder="0" applyAlignment="0" applyProtection="0"/>
    <xf numFmtId="0" fontId="64" fillId="0" borderId="0"/>
  </cellStyleXfs>
  <cellXfs count="583">
    <xf numFmtId="0" fontId="0" fillId="0" borderId="0" xfId="0"/>
    <xf numFmtId="37" fontId="4" fillId="0" borderId="0" xfId="4" applyNumberFormat="1" applyFont="1"/>
    <xf numFmtId="37" fontId="5" fillId="0" borderId="0" xfId="4" applyNumberFormat="1" applyFont="1"/>
    <xf numFmtId="37" fontId="6" fillId="0" borderId="0" xfId="4" applyNumberFormat="1" applyFont="1"/>
    <xf numFmtId="164" fontId="5" fillId="0" borderId="0" xfId="4" applyNumberFormat="1" applyFont="1"/>
    <xf numFmtId="37" fontId="7" fillId="0" borderId="0" xfId="4" applyNumberFormat="1" applyFont="1"/>
    <xf numFmtId="37" fontId="8" fillId="0" borderId="0" xfId="4" applyNumberFormat="1" applyFont="1"/>
    <xf numFmtId="37" fontId="9" fillId="0" borderId="0" xfId="4" applyNumberFormat="1" applyFont="1"/>
    <xf numFmtId="165" fontId="5" fillId="0" borderId="0" xfId="4" applyNumberFormat="1" applyFont="1"/>
    <xf numFmtId="37" fontId="10" fillId="0" borderId="1" xfId="4" applyNumberFormat="1" applyFont="1" applyBorder="1"/>
    <xf numFmtId="37" fontId="10" fillId="0" borderId="2" xfId="4" applyNumberFormat="1" applyFont="1" applyBorder="1"/>
    <xf numFmtId="37" fontId="10" fillId="0" borderId="3" xfId="4" applyNumberFormat="1" applyFont="1" applyBorder="1"/>
    <xf numFmtId="10" fontId="11" fillId="0" borderId="4" xfId="5" applyNumberFormat="1" applyFont="1" applyFill="1" applyBorder="1" applyAlignment="1">
      <alignment horizontal="center"/>
    </xf>
    <xf numFmtId="37" fontId="12" fillId="0" borderId="0" xfId="4" applyNumberFormat="1" applyFont="1"/>
    <xf numFmtId="37" fontId="10" fillId="0" borderId="5" xfId="4" applyNumberFormat="1" applyFont="1" applyBorder="1"/>
    <xf numFmtId="37" fontId="10" fillId="0" borderId="6" xfId="4" applyNumberFormat="1" applyFont="1" applyBorder="1"/>
    <xf numFmtId="10" fontId="11" fillId="0" borderId="7" xfId="5" applyNumberFormat="1" applyFont="1" applyFill="1" applyBorder="1" applyAlignment="1">
      <alignment horizontal="center"/>
    </xf>
    <xf numFmtId="37" fontId="11" fillId="0" borderId="7" xfId="4" applyNumberFormat="1" applyFont="1" applyBorder="1" applyAlignment="1">
      <alignment horizontal="center"/>
    </xf>
    <xf numFmtId="37" fontId="10" fillId="0" borderId="0" xfId="4" applyNumberFormat="1" applyFont="1"/>
    <xf numFmtId="10" fontId="10" fillId="0" borderId="3" xfId="5" applyNumberFormat="1" applyFont="1" applyFill="1" applyBorder="1"/>
    <xf numFmtId="37" fontId="13" fillId="0" borderId="4" xfId="4" applyNumberFormat="1" applyFont="1" applyBorder="1"/>
    <xf numFmtId="9" fontId="5" fillId="0" borderId="0" xfId="3" applyFont="1"/>
    <xf numFmtId="37" fontId="14" fillId="0" borderId="8" xfId="4" applyNumberFormat="1" applyFont="1" applyBorder="1"/>
    <xf numFmtId="37" fontId="10" fillId="0" borderId="9" xfId="4" applyNumberFormat="1" applyFont="1" applyBorder="1"/>
    <xf numFmtId="168" fontId="5" fillId="0" borderId="0" xfId="5" applyNumberFormat="1" applyFont="1"/>
    <xf numFmtId="10" fontId="10" fillId="0" borderId="5" xfId="5" applyNumberFormat="1" applyFont="1" applyFill="1" applyBorder="1"/>
    <xf numFmtId="37" fontId="11" fillId="0" borderId="7" xfId="4" applyNumberFormat="1" applyFont="1" applyBorder="1"/>
    <xf numFmtId="37" fontId="5" fillId="0" borderId="10" xfId="4" applyNumberFormat="1" applyFont="1" applyBorder="1"/>
    <xf numFmtId="37" fontId="5" fillId="0" borderId="11" xfId="4" applyNumberFormat="1" applyFont="1" applyBorder="1"/>
    <xf numFmtId="39" fontId="5" fillId="0" borderId="0" xfId="4" applyNumberFormat="1" applyFont="1"/>
    <xf numFmtId="37" fontId="10" fillId="0" borderId="5" xfId="4" applyNumberFormat="1" applyFont="1" applyBorder="1" applyAlignment="1">
      <alignment horizontal="center"/>
    </xf>
    <xf numFmtId="37" fontId="5" fillId="0" borderId="6" xfId="4" applyNumberFormat="1" applyFont="1" applyBorder="1"/>
    <xf numFmtId="37" fontId="5" fillId="0" borderId="7" xfId="4" applyNumberFormat="1" applyFont="1" applyBorder="1"/>
    <xf numFmtId="37" fontId="15" fillId="0" borderId="0" xfId="4" applyNumberFormat="1" applyFont="1"/>
    <xf numFmtId="10" fontId="5" fillId="0" borderId="0" xfId="5" applyNumberFormat="1" applyFont="1"/>
    <xf numFmtId="37" fontId="10" fillId="0" borderId="7" xfId="4" applyNumberFormat="1" applyFont="1" applyBorder="1"/>
    <xf numFmtId="37" fontId="10" fillId="0" borderId="0" xfId="4" applyNumberFormat="1" applyFont="1" applyAlignment="1">
      <alignment wrapText="1"/>
    </xf>
    <xf numFmtId="37" fontId="5" fillId="0" borderId="0" xfId="4" applyNumberFormat="1" applyFont="1" applyAlignment="1">
      <alignment wrapText="1"/>
    </xf>
    <xf numFmtId="9" fontId="17" fillId="0" borderId="0" xfId="5" applyFont="1"/>
    <xf numFmtId="10" fontId="5" fillId="0" borderId="0" xfId="5" applyNumberFormat="1" applyFont="1" applyFill="1"/>
    <xf numFmtId="37" fontId="10" fillId="0" borderId="13" xfId="4" applyNumberFormat="1" applyFont="1" applyBorder="1"/>
    <xf numFmtId="37" fontId="5" fillId="0" borderId="5" xfId="4" applyNumberFormat="1" applyFont="1" applyBorder="1"/>
    <xf numFmtId="37" fontId="10" fillId="0" borderId="15" xfId="4" applyNumberFormat="1" applyFont="1" applyBorder="1"/>
    <xf numFmtId="37" fontId="10" fillId="0" borderId="16" xfId="4" applyNumberFormat="1" applyFont="1" applyBorder="1"/>
    <xf numFmtId="9" fontId="5" fillId="0" borderId="5" xfId="5" applyFont="1" applyBorder="1"/>
    <xf numFmtId="9" fontId="5" fillId="0" borderId="0" xfId="5" applyFont="1"/>
    <xf numFmtId="10" fontId="10" fillId="0" borderId="5" xfId="5" applyNumberFormat="1" applyFont="1" applyBorder="1"/>
    <xf numFmtId="37" fontId="10" fillId="0" borderId="17" xfId="4" applyNumberFormat="1" applyFont="1" applyBorder="1"/>
    <xf numFmtId="37" fontId="10" fillId="0" borderId="18" xfId="4" applyNumberFormat="1" applyFont="1" applyBorder="1"/>
    <xf numFmtId="37" fontId="10" fillId="0" borderId="19" xfId="4" applyNumberFormat="1" applyFont="1" applyBorder="1"/>
    <xf numFmtId="37" fontId="20" fillId="0" borderId="0" xfId="4" applyNumberFormat="1" applyFont="1"/>
    <xf numFmtId="37" fontId="10" fillId="0" borderId="0" xfId="4" applyNumberFormat="1" applyFont="1" applyAlignment="1">
      <alignment horizontal="center"/>
    </xf>
    <xf numFmtId="10" fontId="10" fillId="0" borderId="19" xfId="5" applyNumberFormat="1" applyFont="1" applyFill="1" applyBorder="1"/>
    <xf numFmtId="37" fontId="10" fillId="0" borderId="4" xfId="4" applyNumberFormat="1" applyFont="1" applyBorder="1"/>
    <xf numFmtId="37" fontId="10" fillId="0" borderId="20" xfId="4" applyNumberFormat="1" applyFont="1" applyBorder="1"/>
    <xf numFmtId="37" fontId="21" fillId="3" borderId="2" xfId="4" applyNumberFormat="1" applyFont="1" applyFill="1" applyBorder="1" applyAlignment="1">
      <alignment horizontal="center"/>
    </xf>
    <xf numFmtId="37" fontId="10" fillId="0" borderId="3" xfId="4" applyNumberFormat="1" applyFont="1" applyBorder="1" applyAlignment="1">
      <alignment horizontal="center"/>
    </xf>
    <xf numFmtId="37" fontId="22" fillId="0" borderId="0" xfId="0" applyNumberFormat="1" applyFont="1"/>
    <xf numFmtId="37" fontId="10" fillId="0" borderId="8" xfId="4" applyNumberFormat="1" applyFont="1" applyBorder="1"/>
    <xf numFmtId="170" fontId="5" fillId="0" borderId="0" xfId="5" applyNumberFormat="1" applyFont="1"/>
    <xf numFmtId="37" fontId="10" fillId="0" borderId="6" xfId="4" applyNumberFormat="1" applyFont="1" applyBorder="1" applyAlignment="1">
      <alignment horizontal="center"/>
    </xf>
    <xf numFmtId="37" fontId="10" fillId="0" borderId="7" xfId="4" applyNumberFormat="1" applyFont="1" applyBorder="1" applyAlignment="1">
      <alignment horizontal="center"/>
    </xf>
    <xf numFmtId="37" fontId="5" fillId="0" borderId="22" xfId="4" applyNumberFormat="1" applyFont="1" applyBorder="1"/>
    <xf numFmtId="171" fontId="5" fillId="0" borderId="0" xfId="5" applyNumberFormat="1" applyFont="1"/>
    <xf numFmtId="37" fontId="18" fillId="0" borderId="5" xfId="4" applyNumberFormat="1" applyFont="1" applyBorder="1" applyAlignment="1">
      <alignment horizontal="center"/>
    </xf>
    <xf numFmtId="39" fontId="10" fillId="0" borderId="5" xfId="4" applyNumberFormat="1" applyFont="1" applyBorder="1" applyAlignment="1">
      <alignment horizontal="center"/>
    </xf>
    <xf numFmtId="172" fontId="10" fillId="0" borderId="5" xfId="4" applyNumberFormat="1" applyFont="1" applyBorder="1"/>
    <xf numFmtId="2" fontId="18" fillId="0" borderId="5" xfId="6" applyNumberFormat="1" applyFont="1" applyFill="1" applyBorder="1" applyAlignment="1">
      <alignment horizontal="center" vertical="center"/>
    </xf>
    <xf numFmtId="173" fontId="10" fillId="0" borderId="5" xfId="6" applyNumberFormat="1" applyFont="1" applyFill="1" applyBorder="1" applyAlignment="1">
      <alignment horizontal="center"/>
    </xf>
    <xf numFmtId="169" fontId="10" fillId="0" borderId="5" xfId="1" applyNumberFormat="1" applyFont="1" applyFill="1" applyBorder="1" applyAlignment="1">
      <alignment horizontal="center"/>
    </xf>
    <xf numFmtId="173" fontId="10" fillId="0" borderId="0" xfId="6" applyNumberFormat="1" applyFont="1" applyFill="1" applyBorder="1" applyAlignment="1">
      <alignment horizontal="center"/>
    </xf>
    <xf numFmtId="169" fontId="10" fillId="0" borderId="0" xfId="1" applyNumberFormat="1" applyFont="1" applyFill="1" applyBorder="1" applyAlignment="1">
      <alignment horizontal="center"/>
    </xf>
    <xf numFmtId="37" fontId="10" fillId="0" borderId="14" xfId="4" applyNumberFormat="1" applyFont="1" applyBorder="1"/>
    <xf numFmtId="10" fontId="10" fillId="0" borderId="0" xfId="5" applyNumberFormat="1" applyFont="1" applyBorder="1" applyAlignment="1">
      <alignment horizontal="center"/>
    </xf>
    <xf numFmtId="9" fontId="19" fillId="0" borderId="0" xfId="5" applyFont="1"/>
    <xf numFmtId="169" fontId="10" fillId="0" borderId="5" xfId="1" applyNumberFormat="1" applyFont="1" applyFill="1" applyBorder="1"/>
    <xf numFmtId="169" fontId="5" fillId="0" borderId="0" xfId="6" applyNumberFormat="1" applyFont="1"/>
    <xf numFmtId="10" fontId="10" fillId="0" borderId="5" xfId="5" applyNumberFormat="1" applyFont="1" applyFill="1" applyBorder="1" applyAlignment="1">
      <alignment horizontal="center"/>
    </xf>
    <xf numFmtId="10" fontId="6" fillId="0" borderId="5" xfId="5" applyNumberFormat="1" applyFont="1" applyFill="1" applyBorder="1" applyAlignment="1">
      <alignment horizontal="left"/>
    </xf>
    <xf numFmtId="37" fontId="18" fillId="0" borderId="7" xfId="4" applyNumberFormat="1" applyFont="1" applyBorder="1"/>
    <xf numFmtId="37" fontId="5" fillId="0" borderId="17" xfId="4" applyNumberFormat="1" applyFont="1" applyBorder="1"/>
    <xf numFmtId="37" fontId="10" fillId="0" borderId="20" xfId="4" applyNumberFormat="1" applyFont="1" applyBorder="1" applyAlignment="1">
      <alignment horizontal="center"/>
    </xf>
    <xf numFmtId="37" fontId="10" fillId="0" borderId="21" xfId="4" applyNumberFormat="1" applyFont="1" applyBorder="1" applyAlignment="1">
      <alignment horizontal="center"/>
    </xf>
    <xf numFmtId="39" fontId="10" fillId="0" borderId="21" xfId="4" applyNumberFormat="1" applyFont="1" applyBorder="1" applyAlignment="1">
      <alignment horizontal="center"/>
    </xf>
    <xf numFmtId="37" fontId="10" fillId="0" borderId="22" xfId="4" applyNumberFormat="1" applyFont="1" applyBorder="1" applyAlignment="1">
      <alignment horizontal="center"/>
    </xf>
    <xf numFmtId="37" fontId="10" fillId="0" borderId="13" xfId="4" applyNumberFormat="1" applyFont="1" applyBorder="1" applyAlignment="1">
      <alignment horizontal="center"/>
    </xf>
    <xf numFmtId="37" fontId="18" fillId="0" borderId="0" xfId="4" applyNumberFormat="1" applyFont="1" applyAlignment="1">
      <alignment horizontal="center"/>
    </xf>
    <xf numFmtId="37" fontId="10" fillId="0" borderId="14" xfId="4" applyNumberFormat="1" applyFont="1" applyBorder="1" applyAlignment="1">
      <alignment horizontal="center"/>
    </xf>
    <xf numFmtId="37" fontId="10" fillId="0" borderId="15" xfId="4" applyNumberFormat="1" applyFont="1" applyBorder="1" applyAlignment="1">
      <alignment horizontal="center"/>
    </xf>
    <xf numFmtId="37" fontId="10" fillId="0" borderId="19" xfId="4" applyNumberFormat="1" applyFont="1" applyBorder="1" applyAlignment="1">
      <alignment horizontal="center"/>
    </xf>
    <xf numFmtId="39" fontId="10" fillId="0" borderId="19" xfId="4" applyNumberFormat="1" applyFont="1" applyBorder="1" applyAlignment="1">
      <alignment horizontal="center"/>
    </xf>
    <xf numFmtId="37" fontId="10" fillId="0" borderId="16" xfId="4" applyNumberFormat="1" applyFont="1" applyBorder="1" applyAlignment="1">
      <alignment horizontal="center"/>
    </xf>
    <xf numFmtId="37" fontId="11" fillId="0" borderId="5" xfId="4" applyNumberFormat="1" applyFont="1" applyBorder="1" applyAlignment="1">
      <alignment horizontal="center"/>
    </xf>
    <xf numFmtId="37" fontId="11" fillId="0" borderId="5" xfId="4" applyNumberFormat="1" applyFont="1" applyBorder="1"/>
    <xf numFmtId="169" fontId="5" fillId="0" borderId="0" xfId="1" applyNumberFormat="1" applyFont="1"/>
    <xf numFmtId="37" fontId="24" fillId="0" borderId="0" xfId="4" applyNumberFormat="1" applyFont="1"/>
    <xf numFmtId="10" fontId="11" fillId="0" borderId="5" xfId="3" applyNumberFormat="1" applyFont="1" applyBorder="1" applyAlignment="1">
      <alignment horizontal="center"/>
    </xf>
    <xf numFmtId="37" fontId="6" fillId="0" borderId="5" xfId="4" applyNumberFormat="1" applyFont="1" applyBorder="1"/>
    <xf numFmtId="37" fontId="25" fillId="0" borderId="0" xfId="4" applyNumberFormat="1" applyFont="1"/>
    <xf numFmtId="10" fontId="11" fillId="0" borderId="5" xfId="5" applyNumberFormat="1" applyFont="1" applyFill="1" applyBorder="1" applyAlignment="1">
      <alignment horizontal="center"/>
    </xf>
    <xf numFmtId="10" fontId="10" fillId="2" borderId="0" xfId="5" applyNumberFormat="1" applyFont="1" applyFill="1" applyBorder="1"/>
    <xf numFmtId="37" fontId="13" fillId="0" borderId="17" xfId="4" applyNumberFormat="1" applyFont="1" applyBorder="1"/>
    <xf numFmtId="37" fontId="5" fillId="0" borderId="24" xfId="4" applyNumberFormat="1" applyFont="1" applyBorder="1"/>
    <xf numFmtId="10" fontId="13" fillId="0" borderId="18" xfId="5" applyNumberFormat="1" applyFont="1" applyBorder="1"/>
    <xf numFmtId="37" fontId="10" fillId="0" borderId="2" xfId="4" applyNumberFormat="1" applyFont="1" applyBorder="1" applyAlignment="1">
      <alignment horizontal="center"/>
    </xf>
    <xf numFmtId="37" fontId="10" fillId="0" borderId="4" xfId="4" applyNumberFormat="1" applyFont="1" applyBorder="1" applyAlignment="1">
      <alignment horizontal="center"/>
    </xf>
    <xf numFmtId="174" fontId="10" fillId="0" borderId="0" xfId="4" applyNumberFormat="1" applyFont="1" applyAlignment="1">
      <alignment horizontal="center"/>
    </xf>
    <xf numFmtId="9" fontId="10" fillId="2" borderId="7" xfId="5" applyFont="1" applyFill="1" applyBorder="1" applyAlignment="1">
      <alignment horizontal="center"/>
    </xf>
    <xf numFmtId="37" fontId="5" fillId="0" borderId="3" xfId="4" applyNumberFormat="1" applyFont="1" applyBorder="1"/>
    <xf numFmtId="37" fontId="26" fillId="0" borderId="0" xfId="4" applyNumberFormat="1" applyFont="1"/>
    <xf numFmtId="37" fontId="27" fillId="0" borderId="0" xfId="4" applyNumberFormat="1" applyFont="1"/>
    <xf numFmtId="10" fontId="26" fillId="0" borderId="0" xfId="5" applyNumberFormat="1" applyFont="1" applyFill="1"/>
    <xf numFmtId="9" fontId="10" fillId="0" borderId="0" xfId="5" applyFont="1" applyBorder="1" applyAlignment="1">
      <alignment horizontal="left"/>
    </xf>
    <xf numFmtId="37" fontId="5" fillId="0" borderId="25" xfId="4" applyNumberFormat="1" applyFont="1" applyBorder="1"/>
    <xf numFmtId="37" fontId="5" fillId="0" borderId="9" xfId="4" applyNumberFormat="1" applyFont="1" applyBorder="1"/>
    <xf numFmtId="37" fontId="5" fillId="0" borderId="0" xfId="4" applyNumberFormat="1" applyFont="1" applyAlignment="1">
      <alignment horizontal="left" indent="1"/>
    </xf>
    <xf numFmtId="37" fontId="5" fillId="0" borderId="13" xfId="4" applyNumberFormat="1" applyFont="1" applyBorder="1"/>
    <xf numFmtId="37" fontId="5" fillId="0" borderId="14" xfId="4" applyNumberFormat="1" applyFont="1" applyBorder="1"/>
    <xf numFmtId="9" fontId="5" fillId="0" borderId="0" xfId="5" applyFont="1" applyFill="1" applyBorder="1"/>
    <xf numFmtId="37" fontId="5" fillId="0" borderId="2" xfId="4" applyNumberFormat="1" applyFont="1" applyBorder="1"/>
    <xf numFmtId="37" fontId="5" fillId="0" borderId="4" xfId="4" applyNumberFormat="1" applyFont="1" applyBorder="1"/>
    <xf numFmtId="37" fontId="5" fillId="0" borderId="20" xfId="4" applyNumberFormat="1" applyFont="1" applyBorder="1"/>
    <xf numFmtId="37" fontId="5" fillId="0" borderId="21" xfId="4" applyNumberFormat="1" applyFont="1" applyBorder="1"/>
    <xf numFmtId="37" fontId="15" fillId="0" borderId="0" xfId="4" applyNumberFormat="1" applyFont="1" applyAlignment="1">
      <alignment horizontal="left"/>
    </xf>
    <xf numFmtId="37" fontId="28" fillId="0" borderId="0" xfId="7" applyNumberFormat="1" applyFont="1"/>
    <xf numFmtId="37" fontId="17" fillId="0" borderId="0" xfId="7" applyNumberFormat="1"/>
    <xf numFmtId="37" fontId="16" fillId="0" borderId="0" xfId="7" applyNumberFormat="1" applyFont="1"/>
    <xf numFmtId="37" fontId="16" fillId="0" borderId="6" xfId="7" applyNumberFormat="1" applyFont="1" applyBorder="1"/>
    <xf numFmtId="37" fontId="17" fillId="0" borderId="5" xfId="7" applyNumberFormat="1" applyBorder="1"/>
    <xf numFmtId="37" fontId="16" fillId="0" borderId="7" xfId="7" applyNumberFormat="1" applyFont="1" applyBorder="1"/>
    <xf numFmtId="37" fontId="16" fillId="0" borderId="15" xfId="7" applyNumberFormat="1" applyFont="1" applyBorder="1"/>
    <xf numFmtId="37" fontId="17" fillId="0" borderId="19" xfId="7" applyNumberFormat="1" applyBorder="1"/>
    <xf numFmtId="37" fontId="16" fillId="0" borderId="16" xfId="7" applyNumberFormat="1" applyFont="1" applyBorder="1"/>
    <xf numFmtId="37" fontId="6" fillId="0" borderId="0" xfId="7" applyNumberFormat="1" applyFont="1"/>
    <xf numFmtId="39" fontId="17" fillId="0" borderId="0" xfId="7" applyNumberFormat="1"/>
    <xf numFmtId="37" fontId="17" fillId="0" borderId="8" xfId="7" applyNumberFormat="1" applyBorder="1"/>
    <xf numFmtId="37" fontId="17" fillId="0" borderId="25" xfId="7" applyNumberFormat="1" applyBorder="1" applyAlignment="1">
      <alignment horizontal="center"/>
    </xf>
    <xf numFmtId="37" fontId="17" fillId="0" borderId="9" xfId="7" applyNumberFormat="1" applyBorder="1" applyAlignment="1">
      <alignment horizontal="center"/>
    </xf>
    <xf numFmtId="37" fontId="17" fillId="4" borderId="0" xfId="7" applyNumberFormat="1" applyFill="1"/>
    <xf numFmtId="3" fontId="28" fillId="0" borderId="0" xfId="7" applyNumberFormat="1" applyFont="1"/>
    <xf numFmtId="3" fontId="17" fillId="0" borderId="0" xfId="7" applyNumberFormat="1"/>
    <xf numFmtId="37" fontId="17" fillId="0" borderId="10" xfId="7" applyNumberFormat="1" applyBorder="1"/>
    <xf numFmtId="37" fontId="17" fillId="0" borderId="1" xfId="7" applyNumberFormat="1" applyBorder="1" applyAlignment="1">
      <alignment horizontal="center"/>
    </xf>
    <xf numFmtId="37" fontId="17" fillId="0" borderId="11" xfId="7" applyNumberFormat="1" applyBorder="1" applyAlignment="1">
      <alignment horizontal="center"/>
    </xf>
    <xf numFmtId="3" fontId="17" fillId="0" borderId="2" xfId="7" applyNumberFormat="1" applyBorder="1"/>
    <xf numFmtId="3" fontId="10" fillId="0" borderId="4" xfId="7" applyNumberFormat="1" applyFont="1" applyBorder="1" applyAlignment="1">
      <alignment horizontal="center"/>
    </xf>
    <xf numFmtId="37" fontId="17" fillId="0" borderId="6" xfId="7" applyNumberFormat="1" applyBorder="1"/>
    <xf numFmtId="39" fontId="17" fillId="0" borderId="5" xfId="7" applyNumberFormat="1" applyBorder="1"/>
    <xf numFmtId="37" fontId="17" fillId="0" borderId="7" xfId="7" applyNumberFormat="1" applyBorder="1"/>
    <xf numFmtId="3" fontId="16" fillId="0" borderId="6" xfId="7" applyNumberFormat="1" applyFont="1" applyBorder="1"/>
    <xf numFmtId="3" fontId="16" fillId="0" borderId="7" xfId="7" applyNumberFormat="1" applyFont="1" applyBorder="1" applyAlignment="1">
      <alignment horizontal="center"/>
    </xf>
    <xf numFmtId="3" fontId="17" fillId="0" borderId="6" xfId="7" applyNumberFormat="1" applyBorder="1"/>
    <xf numFmtId="3" fontId="17" fillId="0" borderId="7" xfId="7" applyNumberFormat="1" applyBorder="1" applyAlignment="1">
      <alignment horizontal="center"/>
    </xf>
    <xf numFmtId="37" fontId="16" fillId="0" borderId="5" xfId="7" applyNumberFormat="1" applyFont="1" applyBorder="1"/>
    <xf numFmtId="39" fontId="16" fillId="0" borderId="5" xfId="7" applyNumberFormat="1" applyFont="1" applyBorder="1"/>
    <xf numFmtId="10" fontId="17" fillId="0" borderId="5" xfId="5" applyNumberFormat="1" applyFont="1" applyBorder="1"/>
    <xf numFmtId="10" fontId="16" fillId="0" borderId="7" xfId="8" applyNumberFormat="1" applyFont="1" applyFill="1" applyBorder="1" applyAlignment="1">
      <alignment horizontal="center"/>
    </xf>
    <xf numFmtId="37" fontId="16" fillId="0" borderId="26" xfId="7" applyNumberFormat="1" applyFont="1" applyBorder="1"/>
    <xf numFmtId="37" fontId="16" fillId="0" borderId="27" xfId="7" applyNumberFormat="1" applyFont="1" applyBorder="1"/>
    <xf numFmtId="37" fontId="16" fillId="0" borderId="28" xfId="7" applyNumberFormat="1" applyFont="1" applyBorder="1"/>
    <xf numFmtId="3" fontId="16" fillId="0" borderId="15" xfId="7" applyNumberFormat="1" applyFont="1" applyBorder="1"/>
    <xf numFmtId="3" fontId="16" fillId="0" borderId="16" xfId="7" applyNumberFormat="1" applyFont="1" applyBorder="1" applyAlignment="1">
      <alignment horizontal="center"/>
    </xf>
    <xf numFmtId="37" fontId="16" fillId="0" borderId="19" xfId="7" applyNumberFormat="1" applyFont="1" applyBorder="1"/>
    <xf numFmtId="37" fontId="17" fillId="0" borderId="29" xfId="7" applyNumberFormat="1" applyBorder="1"/>
    <xf numFmtId="37" fontId="17" fillId="0" borderId="30" xfId="7" applyNumberFormat="1" applyBorder="1"/>
    <xf numFmtId="10" fontId="6" fillId="0" borderId="30" xfId="5" applyNumberFormat="1" applyFont="1" applyBorder="1"/>
    <xf numFmtId="37" fontId="17" fillId="0" borderId="31" xfId="7" applyNumberFormat="1" applyBorder="1"/>
    <xf numFmtId="3" fontId="0" fillId="0" borderId="0" xfId="0" applyNumberFormat="1"/>
    <xf numFmtId="37" fontId="6" fillId="0" borderId="5" xfId="7" applyNumberFormat="1" applyFont="1" applyBorder="1"/>
    <xf numFmtId="9" fontId="18" fillId="0" borderId="5" xfId="3" applyFont="1" applyBorder="1"/>
    <xf numFmtId="37" fontId="5" fillId="0" borderId="7" xfId="7" applyNumberFormat="1" applyFont="1" applyBorder="1"/>
    <xf numFmtId="9" fontId="17" fillId="0" borderId="0" xfId="3" applyFont="1"/>
    <xf numFmtId="3" fontId="16" fillId="0" borderId="0" xfId="7" applyNumberFormat="1" applyFont="1"/>
    <xf numFmtId="37" fontId="17" fillId="0" borderId="12" xfId="7" applyNumberFormat="1" applyBorder="1"/>
    <xf numFmtId="10" fontId="17" fillId="0" borderId="0" xfId="5" applyNumberFormat="1" applyFont="1"/>
    <xf numFmtId="10" fontId="16" fillId="0" borderId="0" xfId="5" applyNumberFormat="1" applyFont="1" applyBorder="1"/>
    <xf numFmtId="169" fontId="29" fillId="0" borderId="0" xfId="6" applyNumberFormat="1" applyFont="1" applyBorder="1"/>
    <xf numFmtId="3" fontId="17" fillId="0" borderId="0" xfId="9" applyFont="1"/>
    <xf numFmtId="3" fontId="28" fillId="0" borderId="0" xfId="9" applyFont="1"/>
    <xf numFmtId="3" fontId="30" fillId="0" borderId="0" xfId="9"/>
    <xf numFmtId="3" fontId="19" fillId="5" borderId="0" xfId="9" applyFont="1" applyFill="1"/>
    <xf numFmtId="3" fontId="5" fillId="0" borderId="0" xfId="9" applyFont="1"/>
    <xf numFmtId="3" fontId="19" fillId="0" borderId="0" xfId="9" applyFont="1"/>
    <xf numFmtId="3" fontId="17" fillId="0" borderId="1" xfId="9" applyFont="1" applyBorder="1"/>
    <xf numFmtId="3" fontId="17" fillId="0" borderId="0" xfId="9" applyFont="1" applyAlignment="1">
      <alignment horizontal="center"/>
    </xf>
    <xf numFmtId="3" fontId="28" fillId="0" borderId="5" xfId="9" applyFont="1" applyBorder="1"/>
    <xf numFmtId="3" fontId="17" fillId="0" borderId="5" xfId="9" applyFont="1" applyBorder="1"/>
    <xf numFmtId="3" fontId="30" fillId="0" borderId="5" xfId="9" applyBorder="1"/>
    <xf numFmtId="3" fontId="19" fillId="0" borderId="5" xfId="9" applyFont="1" applyBorder="1"/>
    <xf numFmtId="10" fontId="17" fillId="0" borderId="0" xfId="8" applyNumberFormat="1" applyFont="1"/>
    <xf numFmtId="10" fontId="17" fillId="0" borderId="5" xfId="8" applyNumberFormat="1" applyFont="1" applyBorder="1"/>
    <xf numFmtId="3" fontId="17" fillId="0" borderId="12" xfId="9" applyFont="1" applyBorder="1"/>
    <xf numFmtId="4" fontId="17" fillId="0" borderId="12" xfId="9" applyNumberFormat="1" applyFont="1" applyBorder="1"/>
    <xf numFmtId="3" fontId="30" fillId="0" borderId="12" xfId="9" applyBorder="1"/>
    <xf numFmtId="3" fontId="28" fillId="0" borderId="1" xfId="9" applyFont="1" applyBorder="1"/>
    <xf numFmtId="3" fontId="30" fillId="0" borderId="1" xfId="9" applyBorder="1"/>
    <xf numFmtId="4" fontId="5" fillId="0" borderId="0" xfId="9" applyNumberFormat="1" applyFont="1"/>
    <xf numFmtId="10" fontId="31" fillId="0" borderId="0" xfId="5" applyNumberFormat="1" applyFont="1"/>
    <xf numFmtId="3" fontId="32" fillId="0" borderId="0" xfId="9" applyFont="1"/>
    <xf numFmtId="176" fontId="17" fillId="0" borderId="0" xfId="9" applyNumberFormat="1" applyFont="1"/>
    <xf numFmtId="177" fontId="17" fillId="0" borderId="0" xfId="9" applyNumberFormat="1" applyFont="1"/>
    <xf numFmtId="4" fontId="17" fillId="0" borderId="0" xfId="9" applyNumberFormat="1" applyFont="1"/>
    <xf numFmtId="176" fontId="30" fillId="0" borderId="0" xfId="9" applyNumberFormat="1"/>
    <xf numFmtId="178" fontId="17" fillId="0" borderId="0" xfId="9" applyNumberFormat="1" applyFont="1"/>
    <xf numFmtId="3" fontId="16" fillId="0" borderId="0" xfId="9" applyFont="1"/>
    <xf numFmtId="3" fontId="17" fillId="0" borderId="0" xfId="9" applyFont="1" applyAlignment="1">
      <alignment horizontal="right"/>
    </xf>
    <xf numFmtId="10" fontId="33" fillId="0" borderId="0" xfId="5" applyNumberFormat="1" applyFont="1"/>
    <xf numFmtId="10" fontId="34" fillId="0" borderId="0" xfId="5" applyNumberFormat="1" applyFont="1"/>
    <xf numFmtId="10" fontId="19" fillId="0" borderId="5" xfId="8" applyNumberFormat="1" applyFont="1" applyBorder="1"/>
    <xf numFmtId="10" fontId="19" fillId="0" borderId="5" xfId="5" applyNumberFormat="1" applyFont="1" applyBorder="1"/>
    <xf numFmtId="3" fontId="17" fillId="0" borderId="27" xfId="9" applyFont="1" applyBorder="1"/>
    <xf numFmtId="4" fontId="17" fillId="0" borderId="5" xfId="9" applyNumberFormat="1" applyFont="1" applyBorder="1"/>
    <xf numFmtId="9" fontId="17" fillId="0" borderId="5" xfId="3" applyFont="1" applyFill="1" applyBorder="1"/>
    <xf numFmtId="3" fontId="17" fillId="0" borderId="5" xfId="1" applyNumberFormat="1" applyFont="1" applyFill="1" applyBorder="1"/>
    <xf numFmtId="4" fontId="17" fillId="0" borderId="5" xfId="8" applyNumberFormat="1" applyFont="1" applyFill="1" applyBorder="1"/>
    <xf numFmtId="3" fontId="17" fillId="0" borderId="5" xfId="8" applyNumberFormat="1" applyFont="1" applyFill="1" applyBorder="1"/>
    <xf numFmtId="9" fontId="17" fillId="0" borderId="0" xfId="8" applyFont="1"/>
    <xf numFmtId="3" fontId="17" fillId="0" borderId="32" xfId="9" applyFont="1" applyBorder="1"/>
    <xf numFmtId="3" fontId="16" fillId="0" borderId="32" xfId="9" applyFont="1" applyBorder="1"/>
    <xf numFmtId="3" fontId="16" fillId="0" borderId="30" xfId="9" applyFont="1" applyBorder="1" applyAlignment="1">
      <alignment horizontal="right"/>
    </xf>
    <xf numFmtId="3" fontId="30" fillId="0" borderId="30" xfId="9" applyBorder="1"/>
    <xf numFmtId="178" fontId="16" fillId="0" borderId="1" xfId="9" applyNumberFormat="1" applyFont="1" applyBorder="1"/>
    <xf numFmtId="4" fontId="16" fillId="0" borderId="30" xfId="9" applyNumberFormat="1" applyFont="1" applyBorder="1"/>
    <xf numFmtId="3" fontId="16" fillId="0" borderId="0" xfId="9" applyFont="1" applyAlignment="1">
      <alignment horizontal="right"/>
    </xf>
    <xf numFmtId="4" fontId="16" fillId="0" borderId="0" xfId="9" applyNumberFormat="1" applyFont="1"/>
    <xf numFmtId="37" fontId="30" fillId="0" borderId="0" xfId="9" applyNumberFormat="1"/>
    <xf numFmtId="0" fontId="2" fillId="0" borderId="0" xfId="0" applyFont="1"/>
    <xf numFmtId="9" fontId="35" fillId="0" borderId="0" xfId="0" applyNumberFormat="1" applyFont="1"/>
    <xf numFmtId="9" fontId="0" fillId="0" borderId="0" xfId="0" applyNumberFormat="1"/>
    <xf numFmtId="37" fontId="0" fillId="0" borderId="0" xfId="0" applyNumberFormat="1"/>
    <xf numFmtId="3" fontId="17" fillId="0" borderId="33" xfId="9" applyFont="1" applyBorder="1"/>
    <xf numFmtId="3" fontId="17" fillId="0" borderId="34" xfId="9" applyFont="1" applyBorder="1"/>
    <xf numFmtId="3" fontId="17" fillId="0" borderId="35" xfId="9" applyFont="1" applyBorder="1"/>
    <xf numFmtId="179" fontId="17" fillId="0" borderId="0" xfId="9" applyNumberFormat="1" applyFont="1"/>
    <xf numFmtId="3" fontId="28" fillId="0" borderId="0" xfId="10" applyFont="1"/>
    <xf numFmtId="3" fontId="17" fillId="0" borderId="0" xfId="10"/>
    <xf numFmtId="3" fontId="16" fillId="0" borderId="0" xfId="10" applyFont="1"/>
    <xf numFmtId="4" fontId="17" fillId="0" borderId="0" xfId="10" applyNumberFormat="1"/>
    <xf numFmtId="3" fontId="17" fillId="0" borderId="2" xfId="10" applyBorder="1"/>
    <xf numFmtId="3" fontId="17" fillId="0" borderId="3" xfId="10" applyBorder="1"/>
    <xf numFmtId="3" fontId="17" fillId="0" borderId="4" xfId="10" applyBorder="1"/>
    <xf numFmtId="3" fontId="17" fillId="0" borderId="6" xfId="10" applyBorder="1"/>
    <xf numFmtId="3" fontId="17" fillId="0" borderId="5" xfId="10" applyBorder="1"/>
    <xf numFmtId="175" fontId="17" fillId="0" borderId="7" xfId="8" applyNumberFormat="1" applyFill="1" applyBorder="1"/>
    <xf numFmtId="10" fontId="17" fillId="0" borderId="7" xfId="8" applyNumberFormat="1" applyBorder="1"/>
    <xf numFmtId="3" fontId="17" fillId="0" borderId="7" xfId="10" applyBorder="1"/>
    <xf numFmtId="3" fontId="17" fillId="0" borderId="15" xfId="10" applyBorder="1"/>
    <xf numFmtId="3" fontId="17" fillId="0" borderId="19" xfId="10" applyBorder="1"/>
    <xf numFmtId="3" fontId="17" fillId="0" borderId="16" xfId="10" applyBorder="1"/>
    <xf numFmtId="170" fontId="17" fillId="0" borderId="8" xfId="8" applyNumberFormat="1" applyFont="1" applyBorder="1"/>
    <xf numFmtId="3" fontId="17" fillId="0" borderId="25" xfId="10" applyBorder="1"/>
    <xf numFmtId="3" fontId="17" fillId="0" borderId="36" xfId="10" applyBorder="1"/>
    <xf numFmtId="3" fontId="17" fillId="0" borderId="9" xfId="10" applyBorder="1"/>
    <xf numFmtId="3" fontId="17" fillId="0" borderId="8" xfId="10" applyBorder="1"/>
    <xf numFmtId="170" fontId="17" fillId="0" borderId="25" xfId="8" applyNumberFormat="1" applyFill="1" applyBorder="1"/>
    <xf numFmtId="3" fontId="17" fillId="0" borderId="13" xfId="10" applyBorder="1"/>
    <xf numFmtId="3" fontId="17" fillId="0" borderId="37" xfId="10" applyBorder="1"/>
    <xf numFmtId="3" fontId="17" fillId="0" borderId="14" xfId="10" applyBorder="1"/>
    <xf numFmtId="3" fontId="17" fillId="0" borderId="1" xfId="10" applyBorder="1"/>
    <xf numFmtId="3" fontId="17" fillId="0" borderId="11" xfId="10" applyBorder="1"/>
    <xf numFmtId="10" fontId="17" fillId="0" borderId="0" xfId="5" applyNumberFormat="1" applyFont="1" applyBorder="1"/>
    <xf numFmtId="3" fontId="17" fillId="0" borderId="20" xfId="10" applyBorder="1"/>
    <xf numFmtId="10" fontId="17" fillId="0" borderId="21" xfId="5" applyNumberFormat="1" applyFont="1" applyBorder="1"/>
    <xf numFmtId="3" fontId="17" fillId="0" borderId="22" xfId="10" applyBorder="1"/>
    <xf numFmtId="10" fontId="17" fillId="0" borderId="0" xfId="8" applyNumberFormat="1"/>
    <xf numFmtId="3" fontId="17" fillId="0" borderId="21" xfId="10" applyBorder="1"/>
    <xf numFmtId="3" fontId="17" fillId="0" borderId="38" xfId="10" applyBorder="1"/>
    <xf numFmtId="178" fontId="17" fillId="0" borderId="0" xfId="10" applyNumberFormat="1"/>
    <xf numFmtId="37" fontId="17" fillId="0" borderId="1" xfId="7" applyNumberFormat="1" applyBorder="1"/>
    <xf numFmtId="180" fontId="17" fillId="0" borderId="1" xfId="7" applyNumberFormat="1" applyBorder="1"/>
    <xf numFmtId="37" fontId="16" fillId="0" borderId="1" xfId="7" applyNumberFormat="1" applyFont="1" applyBorder="1"/>
    <xf numFmtId="169" fontId="5" fillId="0" borderId="0" xfId="6" applyNumberFormat="1" applyFont="1" applyBorder="1"/>
    <xf numFmtId="9" fontId="5" fillId="0" borderId="0" xfId="8" applyFont="1" applyBorder="1"/>
    <xf numFmtId="9" fontId="0" fillId="0" borderId="0" xfId="8" applyFont="1"/>
    <xf numFmtId="10" fontId="10" fillId="0" borderId="5" xfId="8" applyNumberFormat="1" applyFont="1" applyBorder="1"/>
    <xf numFmtId="9" fontId="0" fillId="0" borderId="0" xfId="8" applyFont="1" applyBorder="1"/>
    <xf numFmtId="10" fontId="16" fillId="0" borderId="0" xfId="5" applyNumberFormat="1" applyFont="1"/>
    <xf numFmtId="37" fontId="15" fillId="0" borderId="0" xfId="7" applyNumberFormat="1" applyFont="1"/>
    <xf numFmtId="9" fontId="10" fillId="0" borderId="0" xfId="8" applyFont="1" applyBorder="1"/>
    <xf numFmtId="180" fontId="17" fillId="0" borderId="0" xfId="7" applyNumberFormat="1"/>
    <xf numFmtId="37" fontId="28" fillId="0" borderId="5" xfId="7" applyNumberFormat="1" applyFont="1" applyBorder="1"/>
    <xf numFmtId="10" fontId="0" fillId="0" borderId="0" xfId="8" applyNumberFormat="1" applyFont="1"/>
    <xf numFmtId="37" fontId="16" fillId="0" borderId="12" xfId="7" applyNumberFormat="1" applyFont="1" applyBorder="1"/>
    <xf numFmtId="10" fontId="16" fillId="0" borderId="12" xfId="5" applyNumberFormat="1" applyFont="1" applyBorder="1"/>
    <xf numFmtId="10" fontId="16" fillId="0" borderId="5" xfId="8" applyNumberFormat="1" applyFont="1" applyBorder="1"/>
    <xf numFmtId="37" fontId="36" fillId="0" borderId="0" xfId="7" applyNumberFormat="1" applyFont="1"/>
    <xf numFmtId="169" fontId="17" fillId="0" borderId="0" xfId="6" applyNumberFormat="1" applyFont="1"/>
    <xf numFmtId="37" fontId="17" fillId="0" borderId="0" xfId="6" applyNumberFormat="1" applyFont="1" applyBorder="1"/>
    <xf numFmtId="37" fontId="5" fillId="0" borderId="0" xfId="6" applyNumberFormat="1" applyFont="1" applyBorder="1"/>
    <xf numFmtId="9" fontId="16" fillId="0" borderId="1" xfId="5" applyFont="1" applyBorder="1"/>
    <xf numFmtId="182" fontId="16" fillId="0" borderId="0" xfId="8" applyNumberFormat="1" applyFont="1" applyBorder="1"/>
    <xf numFmtId="9" fontId="17" fillId="0" borderId="1" xfId="5" applyFont="1" applyBorder="1"/>
    <xf numFmtId="0" fontId="37" fillId="0" borderId="0" xfId="0" applyFont="1"/>
    <xf numFmtId="9" fontId="38" fillId="0" borderId="0" xfId="0" applyNumberFormat="1" applyFont="1"/>
    <xf numFmtId="0" fontId="39" fillId="6" borderId="0" xfId="0" applyFont="1" applyFill="1" applyAlignment="1">
      <alignment horizontal="center"/>
    </xf>
    <xf numFmtId="37" fontId="0" fillId="0" borderId="5" xfId="0" applyNumberFormat="1" applyBorder="1"/>
    <xf numFmtId="0" fontId="40" fillId="0" borderId="0" xfId="0" applyFont="1"/>
    <xf numFmtId="169" fontId="0" fillId="0" borderId="0" xfId="1" applyNumberFormat="1" applyFont="1"/>
    <xf numFmtId="169" fontId="0" fillId="0" borderId="5" xfId="1" applyNumberFormat="1" applyFont="1" applyBorder="1"/>
    <xf numFmtId="169" fontId="0" fillId="0" borderId="5" xfId="0" applyNumberFormat="1" applyBorder="1"/>
    <xf numFmtId="169" fontId="0" fillId="0" borderId="0" xfId="0" applyNumberFormat="1"/>
    <xf numFmtId="0" fontId="2" fillId="0" borderId="33" xfId="0" applyFont="1" applyBorder="1"/>
    <xf numFmtId="0" fontId="39" fillId="6" borderId="5" xfId="0" applyFont="1" applyFill="1" applyBorder="1" applyAlignment="1">
      <alignment horizontal="center"/>
    </xf>
    <xf numFmtId="0" fontId="39" fillId="6" borderId="39" xfId="0" applyFont="1" applyFill="1" applyBorder="1" applyAlignment="1">
      <alignment horizontal="center"/>
    </xf>
    <xf numFmtId="0" fontId="0" fillId="0" borderId="33" xfId="0" applyBorder="1"/>
    <xf numFmtId="169" fontId="0" fillId="0" borderId="19" xfId="1" applyNumberFormat="1" applyFont="1" applyBorder="1"/>
    <xf numFmtId="169" fontId="0" fillId="0" borderId="40" xfId="1" applyNumberFormat="1" applyFont="1" applyBorder="1"/>
    <xf numFmtId="169" fontId="0" fillId="0" borderId="41" xfId="1" applyNumberFormat="1" applyFont="1" applyBorder="1"/>
    <xf numFmtId="169" fontId="0" fillId="0" borderId="42" xfId="1" applyNumberFormat="1" applyFont="1" applyBorder="1"/>
    <xf numFmtId="169" fontId="0" fillId="0" borderId="43" xfId="1" applyNumberFormat="1" applyFont="1" applyBorder="1"/>
    <xf numFmtId="169" fontId="0" fillId="0" borderId="44" xfId="1" applyNumberFormat="1" applyFont="1" applyBorder="1"/>
    <xf numFmtId="169" fontId="0" fillId="0" borderId="45" xfId="1" applyNumberFormat="1" applyFont="1" applyBorder="1"/>
    <xf numFmtId="169" fontId="0" fillId="0" borderId="46" xfId="1" applyNumberFormat="1" applyFont="1" applyBorder="1"/>
    <xf numFmtId="0" fontId="41" fillId="0" borderId="0" xfId="0" applyFont="1"/>
    <xf numFmtId="0" fontId="42" fillId="0" borderId="0" xfId="0" applyFont="1"/>
    <xf numFmtId="43" fontId="0" fillId="0" borderId="0" xfId="0" applyNumberFormat="1"/>
    <xf numFmtId="9" fontId="0" fillId="0" borderId="33" xfId="0" applyNumberFormat="1" applyBorder="1"/>
    <xf numFmtId="183" fontId="0" fillId="0" borderId="33" xfId="0" applyNumberFormat="1" applyBorder="1"/>
    <xf numFmtId="169" fontId="0" fillId="0" borderId="47" xfId="1" applyNumberFormat="1" applyFont="1" applyBorder="1"/>
    <xf numFmtId="169" fontId="0" fillId="0" borderId="39" xfId="1" applyNumberFormat="1" applyFont="1" applyBorder="1"/>
    <xf numFmtId="0" fontId="39" fillId="0" borderId="33" xfId="0" applyFont="1" applyBorder="1"/>
    <xf numFmtId="0" fontId="39" fillId="0" borderId="48" xfId="0" applyFont="1" applyBorder="1"/>
    <xf numFmtId="0" fontId="39" fillId="0" borderId="1" xfId="0" applyFont="1" applyBorder="1"/>
    <xf numFmtId="9" fontId="39" fillId="0" borderId="1" xfId="3" applyFont="1" applyBorder="1"/>
    <xf numFmtId="9" fontId="39" fillId="0" borderId="49" xfId="3" applyFont="1" applyBorder="1"/>
    <xf numFmtId="0" fontId="43" fillId="0" borderId="0" xfId="0" applyFont="1"/>
    <xf numFmtId="0" fontId="44" fillId="0" borderId="0" xfId="0" applyFont="1"/>
    <xf numFmtId="0" fontId="46" fillId="7" borderId="47" xfId="0" applyFont="1" applyFill="1" applyBorder="1"/>
    <xf numFmtId="0" fontId="46" fillId="7" borderId="5" xfId="0" applyFont="1" applyFill="1" applyBorder="1"/>
    <xf numFmtId="0" fontId="2" fillId="8" borderId="50" xfId="0" applyFont="1" applyFill="1" applyBorder="1"/>
    <xf numFmtId="0" fontId="2" fillId="8" borderId="50" xfId="0" applyFont="1" applyFill="1" applyBorder="1" applyAlignment="1">
      <alignment horizontal="right"/>
    </xf>
    <xf numFmtId="184" fontId="0" fillId="0" borderId="0" xfId="0" applyNumberFormat="1"/>
    <xf numFmtId="185" fontId="38" fillId="0" borderId="35" xfId="0" applyNumberFormat="1" applyFont="1" applyBorder="1"/>
    <xf numFmtId="185" fontId="0" fillId="0" borderId="35" xfId="0" applyNumberFormat="1" applyBorder="1"/>
    <xf numFmtId="185" fontId="47" fillId="0" borderId="33" xfId="0" applyNumberFormat="1" applyFont="1" applyBorder="1"/>
    <xf numFmtId="185" fontId="0" fillId="0" borderId="33" xfId="0" applyNumberFormat="1" applyBorder="1"/>
    <xf numFmtId="0" fontId="0" fillId="0" borderId="1" xfId="0" applyBorder="1"/>
    <xf numFmtId="185" fontId="0" fillId="0" borderId="0" xfId="1" applyNumberFormat="1" applyFont="1"/>
    <xf numFmtId="185" fontId="0" fillId="0" borderId="1" xfId="1" applyNumberFormat="1" applyFont="1" applyBorder="1"/>
    <xf numFmtId="185" fontId="0" fillId="0" borderId="0" xfId="0" applyNumberFormat="1"/>
    <xf numFmtId="0" fontId="0" fillId="0" borderId="50" xfId="0" applyBorder="1"/>
    <xf numFmtId="185" fontId="0" fillId="0" borderId="50" xfId="0" applyNumberFormat="1" applyBorder="1"/>
    <xf numFmtId="0" fontId="2" fillId="0" borderId="12" xfId="0" applyFont="1" applyBorder="1"/>
    <xf numFmtId="185" fontId="2" fillId="0" borderId="12" xfId="0" applyNumberFormat="1" applyFont="1" applyBorder="1"/>
    <xf numFmtId="0" fontId="46" fillId="9" borderId="47" xfId="0" applyFont="1" applyFill="1" applyBorder="1"/>
    <xf numFmtId="0" fontId="46" fillId="9" borderId="5" xfId="0" applyFont="1" applyFill="1" applyBorder="1"/>
    <xf numFmtId="0" fontId="48" fillId="0" borderId="35" xfId="0" applyFont="1" applyBorder="1"/>
    <xf numFmtId="0" fontId="5" fillId="0" borderId="35" xfId="0" applyFont="1" applyBorder="1"/>
    <xf numFmtId="184" fontId="0" fillId="0" borderId="35" xfId="0" applyNumberFormat="1" applyBorder="1"/>
    <xf numFmtId="1" fontId="0" fillId="0" borderId="0" xfId="0" applyNumberFormat="1"/>
    <xf numFmtId="0" fontId="48" fillId="0" borderId="33" xfId="0" applyFont="1" applyBorder="1"/>
    <xf numFmtId="0" fontId="5" fillId="0" borderId="33" xfId="0" applyFont="1" applyBorder="1"/>
    <xf numFmtId="37" fontId="0" fillId="0" borderId="1" xfId="0" applyNumberFormat="1" applyBorder="1"/>
    <xf numFmtId="37" fontId="38" fillId="0" borderId="0" xfId="0" applyNumberFormat="1" applyFont="1"/>
    <xf numFmtId="0" fontId="45" fillId="0" borderId="0" xfId="11"/>
    <xf numFmtId="181" fontId="0" fillId="0" borderId="0" xfId="2" applyNumberFormat="1" applyFont="1"/>
    <xf numFmtId="6" fontId="0" fillId="0" borderId="0" xfId="0" applyNumberFormat="1"/>
    <xf numFmtId="8" fontId="0" fillId="0" borderId="0" xfId="0" applyNumberFormat="1"/>
    <xf numFmtId="0" fontId="49" fillId="0" borderId="0" xfId="0" applyFont="1"/>
    <xf numFmtId="4" fontId="0" fillId="0" borderId="0" xfId="0" applyNumberFormat="1"/>
    <xf numFmtId="9" fontId="10" fillId="0" borderId="0" xfId="3" applyFont="1" applyFill="1"/>
    <xf numFmtId="0" fontId="19" fillId="0" borderId="5" xfId="1" applyNumberFormat="1" applyFont="1" applyFill="1" applyBorder="1" applyAlignment="1">
      <alignment horizontal="center"/>
    </xf>
    <xf numFmtId="10" fontId="5" fillId="0" borderId="0" xfId="3" applyNumberFormat="1" applyFont="1"/>
    <xf numFmtId="37" fontId="11" fillId="0" borderId="7" xfId="4" applyNumberFormat="1" applyFont="1" applyFill="1" applyBorder="1"/>
    <xf numFmtId="37" fontId="10" fillId="0" borderId="7" xfId="4" applyNumberFormat="1" applyFont="1" applyFill="1" applyBorder="1"/>
    <xf numFmtId="37" fontId="11" fillId="0" borderId="5" xfId="4" applyNumberFormat="1" applyFont="1" applyFill="1" applyBorder="1"/>
    <xf numFmtId="186" fontId="10" fillId="0" borderId="5" xfId="4" applyNumberFormat="1" applyFont="1" applyBorder="1" applyAlignment="1">
      <alignment horizontal="center"/>
    </xf>
    <xf numFmtId="37" fontId="10" fillId="0" borderId="10" xfId="4" applyNumberFormat="1" applyFont="1" applyBorder="1"/>
    <xf numFmtId="37" fontId="10" fillId="0" borderId="1" xfId="4" applyNumberFormat="1" applyFont="1" applyBorder="1" applyAlignment="1">
      <alignment horizontal="center"/>
    </xf>
    <xf numFmtId="37" fontId="10" fillId="0" borderId="11" xfId="4" applyNumberFormat="1" applyFont="1" applyBorder="1"/>
    <xf numFmtId="172" fontId="10" fillId="0" borderId="0" xfId="4" applyNumberFormat="1" applyFont="1" applyBorder="1"/>
    <xf numFmtId="10" fontId="18" fillId="0" borderId="0" xfId="3" applyNumberFormat="1" applyFont="1" applyFill="1" applyBorder="1"/>
    <xf numFmtId="37" fontId="5" fillId="0" borderId="0" xfId="4" applyNumberFormat="1" applyFont="1" applyBorder="1"/>
    <xf numFmtId="37" fontId="10" fillId="0" borderId="0" xfId="4" applyNumberFormat="1" applyFont="1" applyBorder="1"/>
    <xf numFmtId="3" fontId="17" fillId="0" borderId="0" xfId="10" applyBorder="1"/>
    <xf numFmtId="37" fontId="16" fillId="0" borderId="7" xfId="4" applyNumberFormat="1" applyFont="1" applyBorder="1"/>
    <xf numFmtId="9" fontId="50" fillId="0" borderId="0" xfId="3" applyFont="1"/>
    <xf numFmtId="169" fontId="50" fillId="0" borderId="0" xfId="1" applyNumberFormat="1" applyFont="1"/>
    <xf numFmtId="3" fontId="17" fillId="0" borderId="5" xfId="9" applyNumberFormat="1" applyFont="1" applyBorder="1"/>
    <xf numFmtId="183" fontId="16" fillId="0" borderId="0" xfId="7" applyNumberFormat="1" applyFont="1"/>
    <xf numFmtId="37" fontId="51" fillId="0" borderId="5" xfId="7" applyNumberFormat="1" applyFont="1" applyBorder="1"/>
    <xf numFmtId="168" fontId="51" fillId="0" borderId="5" xfId="3" applyNumberFormat="1" applyFont="1" applyBorder="1"/>
    <xf numFmtId="37" fontId="10" fillId="0" borderId="25" xfId="4" applyNumberFormat="1" applyFont="1" applyBorder="1"/>
    <xf numFmtId="37" fontId="9" fillId="0" borderId="8" xfId="4" applyNumberFormat="1" applyFont="1" applyBorder="1"/>
    <xf numFmtId="37" fontId="9" fillId="0" borderId="25" xfId="4" applyNumberFormat="1" applyFont="1" applyBorder="1"/>
    <xf numFmtId="37" fontId="52" fillId="0" borderId="8" xfId="4" applyNumberFormat="1" applyFont="1" applyBorder="1"/>
    <xf numFmtId="37" fontId="8" fillId="0" borderId="51" xfId="4" applyNumberFormat="1" applyFont="1" applyBorder="1"/>
    <xf numFmtId="37" fontId="10" fillId="0" borderId="22" xfId="4" applyNumberFormat="1" applyFont="1" applyBorder="1"/>
    <xf numFmtId="37" fontId="10" fillId="0" borderId="52" xfId="4" applyNumberFormat="1" applyFont="1" applyBorder="1"/>
    <xf numFmtId="37" fontId="10" fillId="0" borderId="53" xfId="4" applyNumberFormat="1" applyFont="1" applyBorder="1"/>
    <xf numFmtId="37" fontId="10" fillId="0" borderId="54" xfId="4" applyNumberFormat="1" applyFont="1" applyBorder="1"/>
    <xf numFmtId="37" fontId="8" fillId="0" borderId="6" xfId="4" applyNumberFormat="1" applyFont="1" applyBorder="1"/>
    <xf numFmtId="37" fontId="8" fillId="0" borderId="5" xfId="4" applyNumberFormat="1" applyFont="1" applyBorder="1"/>
    <xf numFmtId="9" fontId="8" fillId="0" borderId="54" xfId="3" applyFont="1" applyBorder="1"/>
    <xf numFmtId="37" fontId="10" fillId="0" borderId="55" xfId="4" applyNumberFormat="1" applyFont="1" applyBorder="1"/>
    <xf numFmtId="37" fontId="10" fillId="0" borderId="56" xfId="4" applyNumberFormat="1" applyFont="1" applyBorder="1"/>
    <xf numFmtId="3" fontId="17" fillId="0" borderId="5" xfId="9" applyFont="1" applyBorder="1" applyAlignment="1">
      <alignment horizontal="left" indent="1"/>
    </xf>
    <xf numFmtId="3" fontId="32" fillId="0" borderId="8" xfId="10" applyFont="1" applyBorder="1"/>
    <xf numFmtId="14" fontId="17" fillId="0" borderId="13" xfId="10" applyNumberFormat="1" applyBorder="1"/>
    <xf numFmtId="0" fontId="17" fillId="0" borderId="13" xfId="10" applyNumberFormat="1" applyBorder="1"/>
    <xf numFmtId="0" fontId="53" fillId="0" borderId="60" xfId="0" applyFont="1" applyBorder="1" applyAlignment="1">
      <alignment horizontal="right" vertical="top" wrapText="1" indent="2"/>
    </xf>
    <xf numFmtId="0" fontId="53" fillId="0" borderId="57" xfId="0" applyFont="1" applyBorder="1" applyAlignment="1">
      <alignment horizontal="left" vertical="top" wrapText="1"/>
    </xf>
    <xf numFmtId="1" fontId="54" fillId="0" borderId="58" xfId="0" applyNumberFormat="1" applyFont="1" applyBorder="1" applyAlignment="1">
      <alignment horizontal="right" vertical="top" indent="1" shrinkToFit="1"/>
    </xf>
    <xf numFmtId="0" fontId="53" fillId="0" borderId="59" xfId="0" applyFont="1" applyBorder="1" applyAlignment="1">
      <alignment vertical="top" wrapText="1"/>
    </xf>
    <xf numFmtId="37" fontId="5" fillId="0" borderId="23" xfId="4" applyNumberFormat="1" applyFont="1" applyBorder="1"/>
    <xf numFmtId="37" fontId="5" fillId="0" borderId="12" xfId="4" applyNumberFormat="1" applyFont="1" applyBorder="1"/>
    <xf numFmtId="187" fontId="5" fillId="0" borderId="24" xfId="4" applyNumberFormat="1" applyFont="1" applyBorder="1"/>
    <xf numFmtId="37" fontId="21" fillId="3" borderId="20" xfId="4" applyNumberFormat="1" applyFont="1" applyFill="1" applyBorder="1" applyAlignment="1">
      <alignment horizontal="center"/>
    </xf>
    <xf numFmtId="37" fontId="21" fillId="3" borderId="21" xfId="4" applyNumberFormat="1" applyFont="1" applyFill="1" applyBorder="1" applyAlignment="1">
      <alignment horizontal="center"/>
    </xf>
    <xf numFmtId="39" fontId="21" fillId="3" borderId="21" xfId="4" applyNumberFormat="1" applyFont="1" applyFill="1" applyBorder="1" applyAlignment="1">
      <alignment horizontal="center"/>
    </xf>
    <xf numFmtId="37" fontId="21" fillId="3" borderId="22" xfId="4" applyNumberFormat="1" applyFont="1" applyFill="1" applyBorder="1" applyAlignment="1">
      <alignment horizontal="center"/>
    </xf>
    <xf numFmtId="37" fontId="21" fillId="0" borderId="0" xfId="4" applyNumberFormat="1" applyFont="1" applyFill="1" applyBorder="1" applyAlignment="1">
      <alignment horizontal="center"/>
    </xf>
    <xf numFmtId="37" fontId="21" fillId="0" borderId="0" xfId="4" applyNumberFormat="1" applyFont="1" applyFill="1" applyBorder="1"/>
    <xf numFmtId="3" fontId="16" fillId="0" borderId="0" xfId="10" applyFont="1" applyBorder="1"/>
    <xf numFmtId="10" fontId="11" fillId="0" borderId="11" xfId="5" applyNumberFormat="1" applyFont="1" applyFill="1" applyBorder="1" applyAlignment="1">
      <alignment horizontal="center"/>
    </xf>
    <xf numFmtId="37" fontId="16" fillId="0" borderId="10" xfId="4" applyNumberFormat="1" applyFont="1" applyBorder="1"/>
    <xf numFmtId="9" fontId="16" fillId="0" borderId="11" xfId="3" applyFont="1" applyBorder="1" applyAlignment="1">
      <alignment horizontal="center"/>
    </xf>
    <xf numFmtId="166" fontId="10" fillId="0" borderId="7" xfId="4" applyNumberFormat="1" applyFont="1" applyBorder="1" applyAlignment="1">
      <alignment horizontal="center"/>
    </xf>
    <xf numFmtId="167" fontId="10" fillId="0" borderId="7" xfId="4" applyNumberFormat="1" applyFont="1" applyBorder="1" applyAlignment="1">
      <alignment horizontal="center"/>
    </xf>
    <xf numFmtId="37" fontId="21" fillId="0" borderId="0" xfId="4" applyNumberFormat="1" applyFont="1" applyBorder="1"/>
    <xf numFmtId="10" fontId="18" fillId="0" borderId="22" xfId="3" applyNumberFormat="1" applyFont="1" applyBorder="1" applyAlignment="1">
      <alignment horizontal="center"/>
    </xf>
    <xf numFmtId="37" fontId="16" fillId="0" borderId="2" xfId="4" applyNumberFormat="1" applyFont="1" applyBorder="1"/>
    <xf numFmtId="37" fontId="16" fillId="0" borderId="3" xfId="4" applyNumberFormat="1" applyFont="1" applyBorder="1"/>
    <xf numFmtId="9" fontId="18" fillId="0" borderId="4" xfId="3" applyFont="1" applyBorder="1" applyAlignment="1">
      <alignment horizontal="center"/>
    </xf>
    <xf numFmtId="37" fontId="9" fillId="0" borderId="0" xfId="4" applyNumberFormat="1" applyFont="1" applyBorder="1"/>
    <xf numFmtId="10" fontId="11" fillId="0" borderId="0" xfId="5" applyNumberFormat="1" applyFont="1" applyFill="1" applyBorder="1" applyAlignment="1">
      <alignment horizontal="center"/>
    </xf>
    <xf numFmtId="37" fontId="11" fillId="0" borderId="0" xfId="4" applyNumberFormat="1" applyFont="1" applyBorder="1" applyAlignment="1">
      <alignment horizontal="center"/>
    </xf>
    <xf numFmtId="37" fontId="11" fillId="0" borderId="22" xfId="4" applyNumberFormat="1" applyFont="1" applyBorder="1" applyAlignment="1">
      <alignment horizontal="center"/>
    </xf>
    <xf numFmtId="37" fontId="18" fillId="0" borderId="12" xfId="4" applyNumberFormat="1" applyFont="1" applyBorder="1" applyAlignment="1">
      <alignment horizontal="center"/>
    </xf>
    <xf numFmtId="37" fontId="10" fillId="0" borderId="23" xfId="4" applyNumberFormat="1" applyFont="1" applyBorder="1" applyAlignment="1">
      <alignment horizontal="center"/>
    </xf>
    <xf numFmtId="37" fontId="10" fillId="0" borderId="5" xfId="4" applyNumberFormat="1" applyFont="1" applyFill="1" applyBorder="1"/>
    <xf numFmtId="37" fontId="21" fillId="0" borderId="6" xfId="7" applyNumberFormat="1" applyFont="1" applyBorder="1"/>
    <xf numFmtId="37" fontId="21" fillId="0" borderId="5" xfId="7" applyNumberFormat="1" applyFont="1" applyBorder="1"/>
    <xf numFmtId="39" fontId="21" fillId="0" borderId="5" xfId="7" applyNumberFormat="1" applyFont="1" applyBorder="1"/>
    <xf numFmtId="37" fontId="21" fillId="0" borderId="7" xfId="7" applyNumberFormat="1" applyFont="1" applyBorder="1"/>
    <xf numFmtId="37" fontId="27" fillId="0" borderId="7" xfId="7" applyNumberFormat="1" applyFont="1" applyBorder="1"/>
    <xf numFmtId="37" fontId="27" fillId="0" borderId="6" xfId="7" applyNumberFormat="1" applyFont="1" applyBorder="1"/>
    <xf numFmtId="37" fontId="27" fillId="0" borderId="5" xfId="7" applyNumberFormat="1" applyFont="1" applyBorder="1"/>
    <xf numFmtId="37" fontId="10" fillId="0" borderId="1" xfId="7" applyNumberFormat="1" applyFont="1" applyBorder="1"/>
    <xf numFmtId="9" fontId="19" fillId="0" borderId="22" xfId="4" applyNumberFormat="1" applyFont="1" applyBorder="1" applyAlignment="1">
      <alignment horizontal="center"/>
    </xf>
    <xf numFmtId="167" fontId="21" fillId="0" borderId="0" xfId="4" applyNumberFormat="1" applyFont="1" applyBorder="1" applyAlignment="1">
      <alignment horizontal="center"/>
    </xf>
    <xf numFmtId="167" fontId="10" fillId="0" borderId="16" xfId="4" applyNumberFormat="1" applyFont="1" applyBorder="1" applyAlignment="1">
      <alignment horizontal="center"/>
    </xf>
    <xf numFmtId="9" fontId="18" fillId="0" borderId="0" xfId="3" applyFont="1" applyBorder="1" applyAlignment="1">
      <alignment horizontal="center"/>
    </xf>
    <xf numFmtId="10" fontId="18" fillId="0" borderId="0" xfId="3" applyNumberFormat="1" applyFont="1" applyBorder="1" applyAlignment="1">
      <alignment horizontal="center"/>
    </xf>
    <xf numFmtId="37" fontId="18" fillId="0" borderId="0" xfId="4" applyNumberFormat="1" applyFont="1" applyBorder="1" applyAlignment="1">
      <alignment horizontal="center"/>
    </xf>
    <xf numFmtId="9" fontId="10" fillId="0" borderId="0" xfId="5" applyNumberFormat="1" applyFont="1" applyFill="1" applyBorder="1" applyAlignment="1">
      <alignment horizontal="center"/>
    </xf>
    <xf numFmtId="39" fontId="11" fillId="0" borderId="0" xfId="4" applyNumberFormat="1" applyFont="1" applyBorder="1" applyAlignment="1">
      <alignment horizontal="center"/>
    </xf>
    <xf numFmtId="37" fontId="10" fillId="0" borderId="0" xfId="4" applyNumberFormat="1" applyFont="1" applyBorder="1" applyAlignment="1">
      <alignment horizontal="center"/>
    </xf>
    <xf numFmtId="37" fontId="8" fillId="0" borderId="0" xfId="4" applyNumberFormat="1" applyFont="1" applyBorder="1"/>
    <xf numFmtId="9" fontId="8" fillId="0" borderId="0" xfId="3" applyFont="1" applyBorder="1"/>
    <xf numFmtId="188" fontId="10" fillId="0" borderId="0" xfId="5" applyNumberFormat="1" applyFont="1" applyFill="1" applyBorder="1" applyAlignment="1">
      <alignment horizontal="center"/>
    </xf>
    <xf numFmtId="0" fontId="56" fillId="0" borderId="0" xfId="0" applyFont="1"/>
    <xf numFmtId="0" fontId="55" fillId="0" borderId="0" xfId="0" applyFont="1"/>
    <xf numFmtId="37" fontId="14" fillId="0" borderId="0" xfId="4" applyNumberFormat="1" applyFont="1"/>
    <xf numFmtId="10" fontId="18" fillId="0" borderId="7" xfId="3" applyNumberFormat="1" applyFont="1" applyBorder="1" applyAlignment="1">
      <alignment horizontal="center"/>
    </xf>
    <xf numFmtId="37" fontId="18" fillId="0" borderId="7" xfId="4" applyNumberFormat="1" applyFont="1" applyBorder="1" applyAlignment="1">
      <alignment horizontal="center"/>
    </xf>
    <xf numFmtId="43" fontId="5" fillId="0" borderId="0" xfId="1" applyFont="1"/>
    <xf numFmtId="37" fontId="57" fillId="0" borderId="0" xfId="4" applyNumberFormat="1" applyFont="1" applyBorder="1"/>
    <xf numFmtId="10" fontId="57" fillId="0" borderId="0" xfId="5" applyNumberFormat="1" applyFont="1" applyFill="1" applyBorder="1"/>
    <xf numFmtId="0" fontId="58" fillId="0" borderId="0" xfId="0" applyFont="1" applyBorder="1"/>
    <xf numFmtId="37" fontId="57" fillId="0" borderId="0" xfId="7" applyNumberFormat="1" applyFont="1" applyBorder="1" applyAlignment="1">
      <alignment horizontal="left"/>
    </xf>
    <xf numFmtId="37" fontId="59" fillId="0" borderId="0" xfId="7" applyNumberFormat="1" applyFont="1" applyBorder="1"/>
    <xf numFmtId="37" fontId="59" fillId="0" borderId="0" xfId="7" applyNumberFormat="1" applyFont="1"/>
    <xf numFmtId="37" fontId="59" fillId="0" borderId="0" xfId="7" applyNumberFormat="1" applyFont="1" applyBorder="1" applyAlignment="1">
      <alignment horizontal="right"/>
    </xf>
    <xf numFmtId="9" fontId="59" fillId="0" borderId="0" xfId="5" applyFont="1" applyBorder="1"/>
    <xf numFmtId="9" fontId="59" fillId="0" borderId="0" xfId="3" applyFont="1" applyBorder="1"/>
    <xf numFmtId="37" fontId="57" fillId="0" borderId="2" xfId="4" applyNumberFormat="1" applyFont="1" applyBorder="1"/>
    <xf numFmtId="37" fontId="57" fillId="0" borderId="3" xfId="4" applyNumberFormat="1" applyFont="1" applyBorder="1"/>
    <xf numFmtId="37" fontId="57" fillId="0" borderId="3" xfId="4" applyNumberFormat="1" applyFont="1" applyBorder="1" applyAlignment="1">
      <alignment horizontal="center"/>
    </xf>
    <xf numFmtId="37" fontId="18" fillId="0" borderId="18" xfId="4" applyNumberFormat="1" applyFont="1" applyBorder="1" applyAlignment="1">
      <alignment horizontal="center"/>
    </xf>
    <xf numFmtId="169" fontId="17" fillId="0" borderId="0" xfId="1" applyNumberFormat="1" applyFont="1"/>
    <xf numFmtId="37" fontId="10" fillId="0" borderId="2" xfId="7" applyNumberFormat="1" applyFont="1" applyBorder="1"/>
    <xf numFmtId="37" fontId="5" fillId="0" borderId="3" xfId="7" applyNumberFormat="1" applyFont="1" applyBorder="1"/>
    <xf numFmtId="37" fontId="10" fillId="0" borderId="4" xfId="7" applyNumberFormat="1" applyFont="1" applyBorder="1"/>
    <xf numFmtId="39" fontId="11" fillId="0" borderId="22" xfId="4" applyNumberFormat="1" applyFont="1" applyBorder="1" applyAlignment="1">
      <alignment horizontal="center"/>
    </xf>
    <xf numFmtId="3" fontId="17" fillId="0" borderId="0" xfId="9" applyFont="1" applyBorder="1"/>
    <xf numFmtId="9" fontId="17" fillId="0" borderId="5" xfId="3" applyFont="1" applyBorder="1"/>
    <xf numFmtId="37" fontId="17" fillId="0" borderId="0" xfId="7" applyNumberFormat="1" applyFill="1"/>
    <xf numFmtId="169" fontId="17" fillId="0" borderId="7" xfId="1" applyNumberFormat="1" applyFont="1" applyBorder="1"/>
    <xf numFmtId="9" fontId="5" fillId="0" borderId="0" xfId="5" applyFont="1" applyBorder="1" applyAlignment="1">
      <alignment horizontal="left"/>
    </xf>
    <xf numFmtId="4" fontId="27" fillId="0" borderId="5" xfId="9" applyNumberFormat="1" applyFont="1" applyBorder="1"/>
    <xf numFmtId="37" fontId="16" fillId="0" borderId="0" xfId="7" applyNumberFormat="1" applyFont="1" applyBorder="1"/>
    <xf numFmtId="10" fontId="10" fillId="0" borderId="0" xfId="8" applyNumberFormat="1" applyFont="1" applyBorder="1"/>
    <xf numFmtId="0" fontId="61" fillId="0" borderId="61" xfId="0" applyFont="1" applyBorder="1"/>
    <xf numFmtId="0" fontId="61" fillId="0" borderId="12" xfId="0" applyFont="1" applyBorder="1"/>
    <xf numFmtId="0" fontId="61" fillId="0" borderId="62" xfId="0" applyFont="1" applyBorder="1"/>
    <xf numFmtId="0" fontId="61" fillId="0" borderId="37" xfId="0" applyFont="1" applyBorder="1"/>
    <xf numFmtId="189" fontId="61" fillId="0" borderId="0" xfId="0" applyNumberFormat="1" applyFont="1" applyBorder="1"/>
    <xf numFmtId="3" fontId="61" fillId="0" borderId="0" xfId="0" applyNumberFormat="1" applyFont="1" applyBorder="1"/>
    <xf numFmtId="190" fontId="61" fillId="0" borderId="0" xfId="0" applyNumberFormat="1" applyFont="1" applyBorder="1"/>
    <xf numFmtId="0" fontId="61" fillId="0" borderId="0" xfId="0" applyFont="1" applyBorder="1"/>
    <xf numFmtId="191" fontId="61" fillId="0" borderId="0" xfId="0" applyNumberFormat="1" applyFont="1" applyBorder="1"/>
    <xf numFmtId="192" fontId="61" fillId="0" borderId="0" xfId="0" applyNumberFormat="1" applyFont="1" applyBorder="1"/>
    <xf numFmtId="192" fontId="61" fillId="0" borderId="63" xfId="0" applyNumberFormat="1" applyFont="1" applyBorder="1"/>
    <xf numFmtId="0" fontId="61" fillId="0" borderId="63" xfId="0" applyFont="1" applyBorder="1"/>
    <xf numFmtId="0" fontId="61" fillId="0" borderId="48" xfId="0" applyFont="1" applyBorder="1"/>
    <xf numFmtId="0" fontId="61" fillId="0" borderId="1" xfId="0" applyFont="1" applyBorder="1"/>
    <xf numFmtId="3" fontId="61" fillId="0" borderId="1" xfId="0" applyNumberFormat="1" applyFont="1" applyBorder="1"/>
    <xf numFmtId="190" fontId="61" fillId="0" borderId="1" xfId="0" applyNumberFormat="1" applyFont="1" applyBorder="1"/>
    <xf numFmtId="191" fontId="61" fillId="0" borderId="1" xfId="0" applyNumberFormat="1" applyFont="1" applyBorder="1"/>
    <xf numFmtId="192" fontId="61" fillId="0" borderId="1" xfId="0" applyNumberFormat="1" applyFont="1" applyBorder="1"/>
    <xf numFmtId="192" fontId="61" fillId="0" borderId="49" xfId="0" applyNumberFormat="1" applyFont="1" applyBorder="1"/>
    <xf numFmtId="0" fontId="62" fillId="0" borderId="0" xfId="0" applyFont="1" applyFill="1" applyBorder="1"/>
    <xf numFmtId="0" fontId="0" fillId="0" borderId="61" xfId="0" applyBorder="1"/>
    <xf numFmtId="0" fontId="0" fillId="0" borderId="12" xfId="0" applyBorder="1"/>
    <xf numFmtId="0" fontId="0" fillId="0" borderId="62" xfId="0" applyBorder="1"/>
    <xf numFmtId="0" fontId="0" fillId="0" borderId="37" xfId="0" applyBorder="1"/>
    <xf numFmtId="189" fontId="0" fillId="0" borderId="0" xfId="0" applyNumberFormat="1" applyBorder="1"/>
    <xf numFmtId="3" fontId="0" fillId="0" borderId="0" xfId="0" applyNumberFormat="1" applyBorder="1"/>
    <xf numFmtId="190" fontId="0" fillId="0" borderId="0" xfId="0" applyNumberFormat="1" applyBorder="1"/>
    <xf numFmtId="191" fontId="0" fillId="0" borderId="0" xfId="0" applyNumberFormat="1" applyBorder="1"/>
    <xf numFmtId="192" fontId="0" fillId="0" borderId="0" xfId="0" applyNumberFormat="1" applyBorder="1"/>
    <xf numFmtId="192" fontId="0" fillId="0" borderId="63" xfId="0" applyNumberFormat="1" applyBorder="1"/>
    <xf numFmtId="0" fontId="0" fillId="0" borderId="0" xfId="0" applyBorder="1"/>
    <xf numFmtId="0" fontId="0" fillId="0" borderId="63" xfId="0" applyBorder="1"/>
    <xf numFmtId="0" fontId="0" fillId="0" borderId="48" xfId="0" applyBorder="1"/>
    <xf numFmtId="3" fontId="0" fillId="0" borderId="1" xfId="0" applyNumberFormat="1" applyBorder="1"/>
    <xf numFmtId="190" fontId="0" fillId="0" borderId="1" xfId="0" applyNumberFormat="1" applyBorder="1"/>
    <xf numFmtId="191" fontId="0" fillId="0" borderId="1" xfId="0" applyNumberFormat="1" applyBorder="1"/>
    <xf numFmtId="192" fontId="0" fillId="0" borderId="1" xfId="0" applyNumberFormat="1" applyBorder="1"/>
    <xf numFmtId="192" fontId="0" fillId="0" borderId="49" xfId="0" applyNumberFormat="1" applyBorder="1"/>
    <xf numFmtId="0" fontId="2" fillId="10" borderId="8" xfId="0" applyFont="1" applyFill="1" applyBorder="1"/>
    <xf numFmtId="0" fontId="2" fillId="10" borderId="25" xfId="0" applyFont="1" applyFill="1" applyBorder="1"/>
    <xf numFmtId="0" fontId="2" fillId="10" borderId="9" xfId="0" applyFont="1" applyFill="1" applyBorder="1"/>
    <xf numFmtId="37" fontId="0" fillId="0" borderId="13" xfId="0" applyNumberFormat="1" applyBorder="1"/>
    <xf numFmtId="37" fontId="0" fillId="0" borderId="0" xfId="0" applyNumberFormat="1" applyBorder="1"/>
    <xf numFmtId="2" fontId="0" fillId="0" borderId="0" xfId="0" applyNumberFormat="1" applyBorder="1"/>
    <xf numFmtId="2" fontId="0" fillId="0" borderId="14" xfId="0" applyNumberFormat="1" applyBorder="1"/>
    <xf numFmtId="37" fontId="0" fillId="0" borderId="20" xfId="0" applyNumberFormat="1" applyBorder="1"/>
    <xf numFmtId="37" fontId="0" fillId="0" borderId="21" xfId="0" applyNumberFormat="1" applyBorder="1"/>
    <xf numFmtId="0" fontId="0" fillId="0" borderId="21" xfId="0" applyBorder="1"/>
    <xf numFmtId="3" fontId="0" fillId="0" borderId="21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0" fontId="63" fillId="0" borderId="0" xfId="0" applyFont="1"/>
    <xf numFmtId="0" fontId="0" fillId="0" borderId="0" xfId="0" applyFill="1"/>
    <xf numFmtId="10" fontId="66" fillId="0" borderId="0" xfId="0" applyNumberFormat="1" applyFont="1" applyFill="1" applyBorder="1" applyAlignment="1">
      <alignment horizontal="center" vertical="center"/>
    </xf>
    <xf numFmtId="184" fontId="66" fillId="0" borderId="0" xfId="0" applyNumberFormat="1" applyFont="1" applyFill="1" applyBorder="1" applyAlignment="1">
      <alignment horizontal="center" vertical="center"/>
    </xf>
    <xf numFmtId="10" fontId="65" fillId="0" borderId="0" xfId="12" applyNumberFormat="1" applyFont="1" applyFill="1" applyBorder="1" applyAlignment="1">
      <alignment horizontal="center" vertical="center"/>
    </xf>
    <xf numFmtId="184" fontId="65" fillId="0" borderId="0" xfId="12" applyNumberFormat="1" applyFont="1" applyFill="1" applyBorder="1" applyAlignment="1">
      <alignment horizontal="center" vertical="center"/>
    </xf>
    <xf numFmtId="0" fontId="65" fillId="0" borderId="0" xfId="0" applyFont="1" applyFill="1" applyBorder="1" applyAlignment="1">
      <alignment vertical="center"/>
    </xf>
    <xf numFmtId="0" fontId="66" fillId="0" borderId="0" xfId="0" applyFont="1" applyFill="1" applyBorder="1" applyAlignment="1">
      <alignment horizontal="center" vertical="center"/>
    </xf>
    <xf numFmtId="185" fontId="66" fillId="0" borderId="0" xfId="0" applyNumberFormat="1" applyFont="1" applyFill="1" applyBorder="1" applyAlignment="1">
      <alignment horizontal="center" vertical="center"/>
    </xf>
    <xf numFmtId="193" fontId="65" fillId="0" borderId="0" xfId="0" applyNumberFormat="1" applyFont="1" applyFill="1" applyBorder="1" applyAlignment="1">
      <alignment horizontal="center" vertical="center"/>
    </xf>
    <xf numFmtId="0" fontId="65" fillId="0" borderId="0" xfId="12" applyFont="1" applyFill="1" applyBorder="1" applyAlignment="1">
      <alignment vertical="center"/>
    </xf>
    <xf numFmtId="0" fontId="65" fillId="0" borderId="0" xfId="12" applyFont="1" applyFill="1" applyBorder="1" applyAlignment="1">
      <alignment horizontal="center" vertical="center"/>
    </xf>
    <xf numFmtId="185" fontId="65" fillId="0" borderId="0" xfId="12" applyNumberFormat="1" applyFont="1" applyFill="1" applyBorder="1" applyAlignment="1">
      <alignment horizontal="center" vertical="center"/>
    </xf>
    <xf numFmtId="193" fontId="65" fillId="0" borderId="0" xfId="12" applyNumberFormat="1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vertical="center"/>
    </xf>
    <xf numFmtId="193" fontId="66" fillId="0" borderId="0" xfId="0" applyNumberFormat="1" applyFont="1" applyFill="1" applyBorder="1" applyAlignment="1">
      <alignment horizontal="center" vertical="center"/>
    </xf>
    <xf numFmtId="10" fontId="17" fillId="0" borderId="0" xfId="3" applyNumberFormat="1" applyFont="1"/>
    <xf numFmtId="194" fontId="17" fillId="0" borderId="25" xfId="10" applyNumberFormat="1" applyBorder="1"/>
    <xf numFmtId="3" fontId="17" fillId="0" borderId="9" xfId="10" applyBorder="1" applyAlignment="1">
      <alignment horizontal="right"/>
    </xf>
    <xf numFmtId="10" fontId="17" fillId="0" borderId="0" xfId="3" applyNumberFormat="1" applyFont="1" applyBorder="1"/>
    <xf numFmtId="37" fontId="10" fillId="0" borderId="23" xfId="4" applyNumberFormat="1" applyFont="1" applyBorder="1"/>
    <xf numFmtId="9" fontId="5" fillId="0" borderId="12" xfId="5" applyFont="1" applyBorder="1"/>
    <xf numFmtId="10" fontId="10" fillId="0" borderId="12" xfId="5" applyNumberFormat="1" applyFont="1" applyFill="1" applyBorder="1"/>
    <xf numFmtId="37" fontId="10" fillId="0" borderId="64" xfId="4" applyNumberFormat="1" applyFont="1" applyBorder="1"/>
    <xf numFmtId="9" fontId="0" fillId="0" borderId="0" xfId="3" applyFont="1"/>
    <xf numFmtId="195" fontId="0" fillId="0" borderId="0" xfId="0" applyNumberFormat="1"/>
    <xf numFmtId="0" fontId="0" fillId="0" borderId="0" xfId="0" applyFill="1" applyBorder="1" applyAlignment="1"/>
    <xf numFmtId="37" fontId="0" fillId="0" borderId="0" xfId="0" applyNumberFormat="1" applyFill="1" applyBorder="1" applyAlignment="1"/>
    <xf numFmtId="37" fontId="0" fillId="0" borderId="21" xfId="0" applyNumberFormat="1" applyFill="1" applyBorder="1" applyAlignment="1"/>
    <xf numFmtId="0" fontId="68" fillId="11" borderId="1" xfId="0" applyFont="1" applyFill="1" applyBorder="1" applyAlignment="1">
      <alignment horizontal="left"/>
    </xf>
    <xf numFmtId="0" fontId="68" fillId="11" borderId="25" xfId="0" applyFont="1" applyFill="1" applyBorder="1" applyAlignment="1">
      <alignment horizontal="left"/>
    </xf>
    <xf numFmtId="0" fontId="0" fillId="0" borderId="5" xfId="0" applyFill="1" applyBorder="1" applyAlignment="1"/>
    <xf numFmtId="0" fontId="69" fillId="12" borderId="0" xfId="0" applyFont="1" applyFill="1" applyBorder="1" applyAlignment="1">
      <alignment horizontal="left"/>
    </xf>
    <xf numFmtId="0" fontId="70" fillId="12" borderId="5" xfId="0" applyFont="1" applyFill="1" applyBorder="1" applyAlignment="1">
      <alignment horizontal="left"/>
    </xf>
    <xf numFmtId="0" fontId="69" fillId="12" borderId="21" xfId="0" applyFont="1" applyFill="1" applyBorder="1" applyAlignment="1">
      <alignment horizontal="left"/>
    </xf>
    <xf numFmtId="0" fontId="71" fillId="11" borderId="25" xfId="0" applyFont="1" applyFill="1" applyBorder="1" applyAlignment="1">
      <alignment horizontal="right"/>
    </xf>
    <xf numFmtId="0" fontId="71" fillId="11" borderId="1" xfId="0" applyFont="1" applyFill="1" applyBorder="1" applyAlignment="1">
      <alignment horizontal="right"/>
    </xf>
    <xf numFmtId="37" fontId="0" fillId="13" borderId="0" xfId="0" applyNumberFormat="1" applyFill="1" applyBorder="1" applyAlignment="1"/>
    <xf numFmtId="0" fontId="72" fillId="0" borderId="0" xfId="0" applyFont="1" applyFill="1" applyBorder="1" applyAlignment="1">
      <alignment vertical="top" wrapText="1"/>
    </xf>
    <xf numFmtId="10" fontId="73" fillId="0" borderId="0" xfId="5" applyNumberFormat="1" applyFont="1"/>
    <xf numFmtId="37" fontId="10" fillId="0" borderId="12" xfId="4" applyNumberFormat="1" applyFont="1" applyBorder="1" applyAlignment="1">
      <alignment horizontal="center"/>
    </xf>
    <xf numFmtId="37" fontId="27" fillId="0" borderId="0" xfId="7" applyNumberFormat="1" applyFont="1" applyFill="1"/>
    <xf numFmtId="3" fontId="17" fillId="0" borderId="0" xfId="9" applyFont="1" applyFill="1"/>
    <xf numFmtId="3" fontId="17" fillId="0" borderId="5" xfId="9" applyFont="1" applyFill="1" applyBorder="1"/>
    <xf numFmtId="0" fontId="53" fillId="0" borderId="57" xfId="0" applyFont="1" applyBorder="1" applyAlignment="1">
      <alignment horizontal="left" vertical="top" wrapText="1" indent="3"/>
    </xf>
    <xf numFmtId="0" fontId="53" fillId="0" borderId="58" xfId="0" applyFont="1" applyBorder="1" applyAlignment="1">
      <alignment horizontal="left" vertical="top" wrapText="1" indent="3"/>
    </xf>
    <xf numFmtId="0" fontId="53" fillId="0" borderId="59" xfId="0" applyFont="1" applyBorder="1" applyAlignment="1">
      <alignment horizontal="left" vertical="top" wrapText="1" indent="3"/>
    </xf>
    <xf numFmtId="0" fontId="53" fillId="0" borderId="57" xfId="0" applyFont="1" applyBorder="1" applyAlignment="1">
      <alignment horizontal="left" vertical="top" wrapText="1" indent="2"/>
    </xf>
    <xf numFmtId="0" fontId="53" fillId="0" borderId="59" xfId="0" applyFont="1" applyBorder="1" applyAlignment="1">
      <alignment horizontal="left" vertical="top" wrapText="1" indent="2"/>
    </xf>
  </cellXfs>
  <cellStyles count="13">
    <cellStyle name="Comma" xfId="1" builtinId="3"/>
    <cellStyle name="Comma 2" xfId="6" xr:uid="{9D5CEC03-8D66-684D-B8B9-68C91AE95982}"/>
    <cellStyle name="Currency" xfId="2" builtinId="4"/>
    <cellStyle name="Hyperlink" xfId="11" builtinId="8"/>
    <cellStyle name="Normal" xfId="0" builtinId="0"/>
    <cellStyle name="Normal 2" xfId="4" xr:uid="{94ED0FE3-7666-9447-AA64-56D80E2C7FD4}"/>
    <cellStyle name="Normal 2 3" xfId="7" xr:uid="{1FA9C1AC-BC74-2C4C-B0E4-02D532E4BDF8}"/>
    <cellStyle name="Normal 3" xfId="12" xr:uid="{D4583807-3C0B-7747-956C-852BC84BA538}"/>
    <cellStyle name="Normal_Chris Sanchez Financial Model" xfId="10" xr:uid="{8689D78B-9C63-E34E-BE2B-3037BD5FE6AC}"/>
    <cellStyle name="Normal_Market Street 8-6-08 V2" xfId="9" xr:uid="{86832385-EC86-5144-A90B-73C8470D576A}"/>
    <cellStyle name="Percent" xfId="3" builtinId="5"/>
    <cellStyle name="Percent 2" xfId="5" xr:uid="{FF52A8AD-A015-754A-9B44-69B0418DCFD2}"/>
    <cellStyle name="Percent 2 2" xfId="8" xr:uid="{D12EBE90-072A-A849-AB33-8C2151822494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9" Type="http://schemas.openxmlformats.org/officeDocument/2006/relationships/externalLink" Target="externalLinks/externalLink25.xml"/><Relationship Id="rId21" Type="http://schemas.openxmlformats.org/officeDocument/2006/relationships/externalLink" Target="externalLinks/externalLink7.xml"/><Relationship Id="rId34" Type="http://schemas.openxmlformats.org/officeDocument/2006/relationships/externalLink" Target="externalLinks/externalLink20.xml"/><Relationship Id="rId42" Type="http://schemas.openxmlformats.org/officeDocument/2006/relationships/externalLink" Target="externalLinks/externalLink28.xml"/><Relationship Id="rId47" Type="http://schemas.openxmlformats.org/officeDocument/2006/relationships/externalLink" Target="externalLinks/externalLink33.xml"/><Relationship Id="rId50" Type="http://schemas.openxmlformats.org/officeDocument/2006/relationships/externalLink" Target="externalLinks/externalLink36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5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externalLink" Target="externalLinks/externalLink18.xml"/><Relationship Id="rId37" Type="http://schemas.openxmlformats.org/officeDocument/2006/relationships/externalLink" Target="externalLinks/externalLink23.xml"/><Relationship Id="rId40" Type="http://schemas.openxmlformats.org/officeDocument/2006/relationships/externalLink" Target="externalLinks/externalLink26.xml"/><Relationship Id="rId45" Type="http://schemas.openxmlformats.org/officeDocument/2006/relationships/externalLink" Target="externalLinks/externalLink31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externalLink" Target="externalLinks/externalLink17.xml"/><Relationship Id="rId44" Type="http://schemas.openxmlformats.org/officeDocument/2006/relationships/externalLink" Target="externalLinks/externalLink30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externalLink" Target="externalLinks/externalLink16.xml"/><Relationship Id="rId35" Type="http://schemas.openxmlformats.org/officeDocument/2006/relationships/externalLink" Target="externalLinks/externalLink21.xml"/><Relationship Id="rId43" Type="http://schemas.openxmlformats.org/officeDocument/2006/relationships/externalLink" Target="externalLinks/externalLink29.xml"/><Relationship Id="rId48" Type="http://schemas.openxmlformats.org/officeDocument/2006/relationships/externalLink" Target="externalLinks/externalLink34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externalLink" Target="externalLinks/externalLink19.xml"/><Relationship Id="rId38" Type="http://schemas.openxmlformats.org/officeDocument/2006/relationships/externalLink" Target="externalLinks/externalLink24.xml"/><Relationship Id="rId46" Type="http://schemas.openxmlformats.org/officeDocument/2006/relationships/externalLink" Target="externalLinks/externalLink32.xml"/><Relationship Id="rId20" Type="http://schemas.openxmlformats.org/officeDocument/2006/relationships/externalLink" Target="externalLinks/externalLink6.xml"/><Relationship Id="rId41" Type="http://schemas.openxmlformats.org/officeDocument/2006/relationships/externalLink" Target="externalLinks/externalLink27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externalLink" Target="externalLinks/externalLink22.xml"/><Relationship Id="rId49" Type="http://schemas.openxmlformats.org/officeDocument/2006/relationships/externalLink" Target="externalLinks/externalLink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Construction Cost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848622047244093"/>
          <c:y val="0.19483814523184603"/>
          <c:w val="0.82706933508311464"/>
          <c:h val="0.72094889180519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'Grand Prairie Const Sched (3)'!$F$9:$AE$9</c:f>
              <c:numCache>
                <c:formatCode>#,##0</c:formatCode>
                <c:ptCount val="26"/>
                <c:pt idx="0">
                  <c:v>1174275.7188422885</c:v>
                </c:pt>
                <c:pt idx="1">
                  <c:v>1448678.1906756649</c:v>
                </c:pt>
                <c:pt idx="2">
                  <c:v>1751813.5192093821</c:v>
                </c:pt>
                <c:pt idx="3">
                  <c:v>2076433.0629274829</c:v>
                </c:pt>
                <c:pt idx="4">
                  <c:v>2412471.035242321</c:v>
                </c:pt>
                <c:pt idx="5">
                  <c:v>2747390.488882489</c:v>
                </c:pt>
                <c:pt idx="6">
                  <c:v>3066851.7537267995</c:v>
                </c:pt>
                <c:pt idx="7">
                  <c:v>3355670.3208640893</c:v>
                </c:pt>
                <c:pt idx="8">
                  <c:v>3598983.8727186965</c:v>
                </c:pt>
                <c:pt idx="9">
                  <c:v>3783507.7217126135</c:v>
                </c:pt>
                <c:pt idx="10">
                  <c:v>3898732.6860869033</c:v>
                </c:pt>
                <c:pt idx="11">
                  <c:v>3937915.6009985842</c:v>
                </c:pt>
                <c:pt idx="12">
                  <c:v>3898732.6860869033</c:v>
                </c:pt>
                <c:pt idx="13">
                  <c:v>3783507.7217126135</c:v>
                </c:pt>
                <c:pt idx="14">
                  <c:v>3598983.8727186965</c:v>
                </c:pt>
                <c:pt idx="15">
                  <c:v>3355670.3208640888</c:v>
                </c:pt>
                <c:pt idx="16">
                  <c:v>3066851.753726799</c:v>
                </c:pt>
                <c:pt idx="17">
                  <c:v>2747390.488882489</c:v>
                </c:pt>
                <c:pt idx="18">
                  <c:v>2412471.0352423205</c:v>
                </c:pt>
                <c:pt idx="19">
                  <c:v>2076433.062927482</c:v>
                </c:pt>
                <c:pt idx="20">
                  <c:v>1751813.5192093821</c:v>
                </c:pt>
                <c:pt idx="21">
                  <c:v>1448678.1906756638</c:v>
                </c:pt>
                <c:pt idx="22">
                  <c:v>1174275.7188422878</c:v>
                </c:pt>
                <c:pt idx="23">
                  <c:v>933001.51722395571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7-7444-B15E-E508339F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919"/>
        <c:axId val="481551"/>
      </c:lineChart>
      <c:catAx>
        <c:axId val="479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51"/>
        <c:crosses val="autoZero"/>
        <c:auto val="1"/>
        <c:lblAlgn val="ctr"/>
        <c:lblOffset val="100"/>
        <c:noMultiLvlLbl val="0"/>
      </c:catAx>
      <c:valAx>
        <c:axId val="48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Knoxville HUD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'Grand Prairie Const Sched (3)'!$E$73:$X$73</c:f>
              <c:numCache>
                <c:formatCode>#,##0.00</c:formatCode>
                <c:ptCount val="20"/>
                <c:pt idx="0">
                  <c:v>1.24</c:v>
                </c:pt>
                <c:pt idx="1">
                  <c:v>2.1900000000000004</c:v>
                </c:pt>
                <c:pt idx="2">
                  <c:v>3.6199999999999997</c:v>
                </c:pt>
                <c:pt idx="3">
                  <c:v>4.5699999999999994</c:v>
                </c:pt>
                <c:pt idx="4">
                  <c:v>5.0600000000000005</c:v>
                </c:pt>
                <c:pt idx="5">
                  <c:v>5.7899999999999991</c:v>
                </c:pt>
                <c:pt idx="6">
                  <c:v>6.0100000000000016</c:v>
                </c:pt>
                <c:pt idx="7">
                  <c:v>6.860000000000003</c:v>
                </c:pt>
                <c:pt idx="8">
                  <c:v>6.9899999999999949</c:v>
                </c:pt>
                <c:pt idx="9">
                  <c:v>7.07</c:v>
                </c:pt>
                <c:pt idx="10">
                  <c:v>7.1400000000000006</c:v>
                </c:pt>
                <c:pt idx="11">
                  <c:v>7.259999999999998</c:v>
                </c:pt>
                <c:pt idx="12">
                  <c:v>7.1099999999999994</c:v>
                </c:pt>
                <c:pt idx="13">
                  <c:v>6.8500000000000085</c:v>
                </c:pt>
                <c:pt idx="14">
                  <c:v>6.4599999999999937</c:v>
                </c:pt>
                <c:pt idx="15">
                  <c:v>5.7600000000000051</c:v>
                </c:pt>
                <c:pt idx="16">
                  <c:v>4.8299999999999983</c:v>
                </c:pt>
                <c:pt idx="17">
                  <c:v>3.0799999999999983</c:v>
                </c:pt>
                <c:pt idx="18">
                  <c:v>1.4500000000000028</c:v>
                </c:pt>
                <c:pt idx="19">
                  <c:v>0.65999999999999659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9-6D41-926A-9CC05A56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8979536"/>
        <c:axId val="2138981168"/>
      </c:lineChart>
      <c:catAx>
        <c:axId val="213897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981168"/>
        <c:crosses val="autoZero"/>
        <c:auto val="1"/>
        <c:lblAlgn val="ctr"/>
        <c:lblOffset val="100"/>
        <c:noMultiLvlLbl val="0"/>
      </c:catAx>
      <c:valAx>
        <c:axId val="213898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97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 Curve Lakeland 20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75"/>
          <c:y val="0.19483814523184603"/>
          <c:w val="0.86602777777777773"/>
          <c:h val="0.7209488918051910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'Grand Prairie Const Sched (3)'!$F$38:$Y$38</c:f>
              <c:numCache>
                <c:formatCode>0.00%</c:formatCode>
                <c:ptCount val="20"/>
                <c:pt idx="0">
                  <c:v>2.3341265754813847E-2</c:v>
                </c:pt>
                <c:pt idx="1">
                  <c:v>2.9757464241191585E-2</c:v>
                </c:pt>
                <c:pt idx="2">
                  <c:v>3.6868801797010776E-2</c:v>
                </c:pt>
                <c:pt idx="3">
                  <c:v>4.439292009418655E-2</c:v>
                </c:pt>
                <c:pt idx="4">
                  <c:v>5.194694226015785E-2</c:v>
                </c:pt>
                <c:pt idx="5">
                  <c:v>5.9074200249639594E-2</c:v>
                </c:pt>
                <c:pt idx="6">
                  <c:v>6.5287088124478851E-2</c:v>
                </c:pt>
                <c:pt idx="7">
                  <c:v>7.0121037536516148E-2</c:v>
                </c:pt>
                <c:pt idx="8">
                  <c:v>7.3191551627776505E-2</c:v>
                </c:pt>
                <c:pt idx="9">
                  <c:v>7.424464943992283E-2</c:v>
                </c:pt>
                <c:pt idx="10">
                  <c:v>7.3191551627776505E-2</c:v>
                </c:pt>
                <c:pt idx="11">
                  <c:v>7.0121037536516148E-2</c:v>
                </c:pt>
                <c:pt idx="12">
                  <c:v>6.5287088124478851E-2</c:v>
                </c:pt>
                <c:pt idx="13">
                  <c:v>5.9074200249639594E-2</c:v>
                </c:pt>
                <c:pt idx="14">
                  <c:v>5.194694226015785E-2</c:v>
                </c:pt>
                <c:pt idx="15">
                  <c:v>4.439292009418655E-2</c:v>
                </c:pt>
                <c:pt idx="16">
                  <c:v>3.6868801797010776E-2</c:v>
                </c:pt>
                <c:pt idx="17">
                  <c:v>2.9757464241191585E-2</c:v>
                </c:pt>
                <c:pt idx="18">
                  <c:v>2.3341265754813847E-2</c:v>
                </c:pt>
                <c:pt idx="19">
                  <c:v>1.7792807188533814E-2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1-F047-B103-4A178F3FF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9052496"/>
        <c:axId val="2138496864"/>
      </c:lineChart>
      <c:catAx>
        <c:axId val="213905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8496864"/>
        <c:crosses val="autoZero"/>
        <c:auto val="1"/>
        <c:lblAlgn val="ctr"/>
        <c:lblOffset val="100"/>
        <c:noMultiLvlLbl val="0"/>
      </c:catAx>
      <c:valAx>
        <c:axId val="213849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05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41</xdr:row>
      <xdr:rowOff>114300</xdr:rowOff>
    </xdr:from>
    <xdr:to>
      <xdr:col>9</xdr:col>
      <xdr:colOff>698500</xdr:colOff>
      <xdr:row>50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18BFF-44C4-2544-9B50-01A568AF3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120650</xdr:colOff>
      <xdr:row>75</xdr:row>
      <xdr:rowOff>107950</xdr:rowOff>
    </xdr:from>
    <xdr:to>
      <xdr:col>10</xdr:col>
      <xdr:colOff>679450</xdr:colOff>
      <xdr:row>92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8B0B85-9DA3-3243-AB53-A8037ADFD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82550</xdr:colOff>
      <xdr:row>75</xdr:row>
      <xdr:rowOff>158750</xdr:rowOff>
    </xdr:from>
    <xdr:to>
      <xdr:col>16</xdr:col>
      <xdr:colOff>336550</xdr:colOff>
      <xdr:row>92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6F58BE-35EE-4C48-9C6C-A80C99BE1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520700</xdr:colOff>
      <xdr:row>9</xdr:row>
      <xdr:rowOff>190500</xdr:rowOff>
    </xdr:from>
    <xdr:to>
      <xdr:col>17</xdr:col>
      <xdr:colOff>800100</xdr:colOff>
      <xdr:row>16</xdr:row>
      <xdr:rowOff>162123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0F1C3E-9212-8B4F-8F46-DB28E52AC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9700" y="6324600"/>
          <a:ext cx="7772400" cy="14067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482600</xdr:colOff>
      <xdr:row>2</xdr:row>
      <xdr:rowOff>114300</xdr:rowOff>
    </xdr:from>
    <xdr:to>
      <xdr:col>22</xdr:col>
      <xdr:colOff>2760</xdr:colOff>
      <xdr:row>38</xdr:row>
      <xdr:rowOff>147342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40DE8A-9592-4146-BC26-CEAD951C6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98200" y="520700"/>
          <a:ext cx="7775160" cy="7348242"/>
        </a:xfrm>
        <a:prstGeom prst="rect">
          <a:avLst/>
        </a:prstGeom>
      </xdr:spPr>
    </xdr:pic>
    <xdr:clientData/>
  </xdr:twoCellAnchor>
  <xdr:twoCellAnchor editAs="oneCell">
    <xdr:from>
      <xdr:col>22</xdr:col>
      <xdr:colOff>114300</xdr:colOff>
      <xdr:row>2</xdr:row>
      <xdr:rowOff>101600</xdr:rowOff>
    </xdr:from>
    <xdr:to>
      <xdr:col>31</xdr:col>
      <xdr:colOff>457200</xdr:colOff>
      <xdr:row>26</xdr:row>
      <xdr:rowOff>24719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5E8461-B746-6B49-8234-C7D7BFD98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84900" y="508000"/>
          <a:ext cx="7772400" cy="4799919"/>
        </a:xfrm>
        <a:prstGeom prst="rect">
          <a:avLst/>
        </a:prstGeom>
      </xdr:spPr>
    </xdr:pic>
    <xdr:clientData/>
  </xdr:twoCellAnchor>
  <xdr:twoCellAnchor editAs="oneCell">
    <xdr:from>
      <xdr:col>12</xdr:col>
      <xdr:colOff>723900</xdr:colOff>
      <xdr:row>40</xdr:row>
      <xdr:rowOff>12700</xdr:rowOff>
    </xdr:from>
    <xdr:to>
      <xdr:col>22</xdr:col>
      <xdr:colOff>241300</xdr:colOff>
      <xdr:row>51</xdr:row>
      <xdr:rowOff>181840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F2D13F-6B76-2C4D-B57C-3DBCBC3F9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0" y="8140700"/>
          <a:ext cx="7772400" cy="2404340"/>
        </a:xfrm>
        <a:prstGeom prst="rect">
          <a:avLst/>
        </a:prstGeom>
      </xdr:spPr>
    </xdr:pic>
    <xdr:clientData/>
  </xdr:twoCellAnchor>
  <xdr:twoCellAnchor editAs="oneCell">
    <xdr:from>
      <xdr:col>22</xdr:col>
      <xdr:colOff>622300</xdr:colOff>
      <xdr:row>28</xdr:row>
      <xdr:rowOff>152400</xdr:rowOff>
    </xdr:from>
    <xdr:to>
      <xdr:col>32</xdr:col>
      <xdr:colOff>139700</xdr:colOff>
      <xdr:row>60</xdr:row>
      <xdr:rowOff>198175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4C8CF8-7BD7-0B4D-9EDB-3C694660C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92900" y="5842000"/>
          <a:ext cx="7772400" cy="65481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207673</xdr:colOff>
      <xdr:row>1</xdr:row>
      <xdr:rowOff>47924</xdr:rowOff>
    </xdr:from>
    <xdr:to>
      <xdr:col>15</xdr:col>
      <xdr:colOff>524511</xdr:colOff>
      <xdr:row>51</xdr:row>
      <xdr:rowOff>122048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F3D5C0-0F1C-A24A-B4FC-9DED08631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899" y="247610"/>
          <a:ext cx="7721178" cy="10058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622300</xdr:colOff>
      <xdr:row>0</xdr:row>
      <xdr:rowOff>0</xdr:rowOff>
    </xdr:from>
    <xdr:to>
      <xdr:col>10</xdr:col>
      <xdr:colOff>139700</xdr:colOff>
      <xdr:row>49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310AF2-547D-8F4C-A509-8EBA7686E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300" y="0"/>
          <a:ext cx="7772400" cy="10058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23</xdr:row>
      <xdr:rowOff>12700</xdr:rowOff>
    </xdr:from>
    <xdr:to>
      <xdr:col>28</xdr:col>
      <xdr:colOff>762000</xdr:colOff>
      <xdr:row>72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2C8F8AE-42C2-3147-A594-1C0EA978C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03600" y="4686300"/>
          <a:ext cx="7772400" cy="10058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s2/Thompson/FtMeade/Fort%20Meade%20Final%20CDMP%20Pro%20Forma%20Revision%208-15-0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/Users/kwagner/R3%20-%20Christina%20Landing/Condo-Apartment%20Investment/Proformas/Analysis%20w.%20Rob%2003-10-22/Documents%20and%20Settings/fsmall/Local%20Settings/Temporary%20Internet%20Files/OLK13/Redevelopment%20Proforma%20-%20Offering%2000-11-261.xls?DC8B3935" TargetMode="External"/><Relationship Id="rId1" Type="http://schemas.openxmlformats.org/officeDocument/2006/relationships/externalLinkPath" Target="file:///DC8B3935/Redevelopment%20Proforma%20-%20Offering%2000-11-26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ublic/C.%20Buccini/Buccini-Pollin/Blue%20Hens/Model/BPG%20Buyout/BPG%20Brandywine-Parking%20Proforma%2002-02-2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Folder/ymcmurray/Home/WEEKLY%20REPORTS/2007%20WEEKLY%20REPORTS/ESC12-0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Rockhall%20Funding%20Corp/DALLAS%20OFFICE/Ralph%20Deals/CincoRanch/Valuation%20and%20Market%20Study/Excel%20No%20Garage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Herron.PLACE/Local%20Settings/Temporary%20Internet%20Files/OLK2A/NittanyCrossing-2003%20Budget%209-24-0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99116%20320%20Jackson%20Hill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Applications/Microsoft%20Office%202011/Microsoft%20Excel.app/Contents/MacOS/00029%20Excel%20LIHT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F:/Market%20Studies/Rent%20Studies/00218%20Windcrest%20West%20Rd/Excel/Conventional%20Study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1-Silverado%20Apt.%20Model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weinstein/Desktop/Final%20EB5/Riverview%20Phase%20II/Westchase%20Forest%20%20Apt.Model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TEEL1/TIM/My%20Documents/99138%20Denton%20Student%20Housing/99138%20Excel/99138%20Student%20Housing%20-%20Dento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99259%20Club%20at%20Emeraldlake%20Exce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Shared%20drives/WB%20Book%20keeping/Consolidated%20-%20RW/Worksheet%20in%203-1%20-%20Analytical%20Review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D:/Office%20Buildings/99015%20Overland%20Park%20Medical/99015%20excel/99015%20Overland%20Park%20Medical%20Exce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s2/Shaw/Army%20NE/AmEagle%20Army%20Northeast%20v3A%20BAK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LIHTC%20Conversion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D:/AWork%20in%20Progress/02005%20Lamar%20Ph%20II/Excel/Lamar%20Valuation%20Model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Forms/Loan%20Amortization%20Schedule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No%20Garag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%2021%2014%20Northshore%20LnEst%20REVIS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Team%20Drives/WB%20Principal%20Drive/WB%20FINAL%20COMPANY%20DOCS/Consolidated%2010%20Year%20Projection%20-%20JW/Finished%20JW.%20Consol%20-%20Important/TIFFINI-97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D:/My%20Documents/HUD%20Forms/Apartment%20Projects/01185%20Greens%20Road%20for%20ARCs/Excel/01185%20Excel%20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HUD%20Forms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erry/Local%20Settings/Temporary%20Internet%20Files/Content.Outlook/WGOKXE2L/FT%20Bragg%202%20-%20Doornbos%20Proforma%20-%20B%20of%20A%20-%20July%2016%202008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phillips1/Desktop/2003%20-%20MLCRE/Apartments/TCR%20Apartment%20Program/Wynhaven%20at%20Hafer/Underwritten%20Model%20-%20Wynhaven%20at%20Hafer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F:/Apartment%20Projects/Sacramento%20Apts/The%20Grove%20Apts.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Volumes/GoogleDrive/My%20Drive/Developments/Ithaca/Cayuga%20Orchard/99065%20Club%20at%20Silverlake%20Excel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%2019%2014%20Northshore%20LnEst%20w%20Apprsl%20%20FDC%20versn%208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PathMissing" Target="# 02 Raintree Village Final 2013 Transaction only 9-22-03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G:/C:/Applications/Microsoft%20Office%202011/Microsoft%20Excel.app/Contents/MacOS/99114%203800%20Washington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3%20-%20Locked%20GERL's,%20FWD's%20and%20Bridge/Marcrum%20Portfolio%20-%20Various%20Cities,%20AL/Underwriting/Washington%20Plaza/Washington%20Plaza%20v11%20GR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wagner/Justison/Proforma/New%20SF%2006-05-15/Justison%20Landing%20Consolidated%20Proforma%2006-06-29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traeger/Local%20Settings/Temporary%20Internet%20Files/OLK8A2/265399165362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kalani/Downloads/Lakeland%20HUD%20Refi%20V1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an/Downloads/Lewisville%20Grandy's%20Lane%20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00"/>
      <sheetName val="Index"/>
      <sheetName val="Fin Sum"/>
      <sheetName val="Development Budget"/>
      <sheetName val="Proforma 1-10"/>
      <sheetName val="Proforma 11-50"/>
      <sheetName val="Const Phase"/>
      <sheetName val="Const Bud"/>
      <sheetName val="Drawdown"/>
      <sheetName val="Debt Analysis"/>
      <sheetName val="Amortization Schedule"/>
      <sheetName val="Invest Eqty"/>
      <sheetName val="Utility Reserve"/>
      <sheetName val="Enviromental Reserve"/>
      <sheetName val="Operating Deficit Reserve"/>
      <sheetName val="Capital Reserve"/>
      <sheetName val="Residual Reserve"/>
      <sheetName val="Property Insurance"/>
      <sheetName val="PrTranMeade"/>
      <sheetName val="Tax Analysis"/>
      <sheetName val="Annual Project Cash Flow"/>
      <sheetName val="Project Sources and Uses"/>
      <sheetName val="2002 Operating Budget"/>
      <sheetName val="Proj Sum"/>
      <sheetName val="Business Terms Analysis"/>
      <sheetName val="Final Position"/>
      <sheetName val="COLA Analysis"/>
      <sheetName val="Profroma 01-12 COLA FY02"/>
      <sheetName val="Proforma 01-12 COLA FY02-03"/>
      <sheetName val="ProForma 01-12 COLA FY02-04"/>
      <sheetName val="Proforma 01-12 w COLA Plus"/>
      <sheetName val="Const Scheme"/>
      <sheetName val="Unit Production"/>
      <sheetName val="Flow of Funds"/>
      <sheetName val="COLA PLus Reserve"/>
      <sheetName val="2nd Generation"/>
      <sheetName val="Revenue"/>
      <sheetName val="Caps Exp"/>
      <sheetName val="Depreciation"/>
      <sheetName val="Chart1"/>
      <sheetName val="Sewer &amp; Water"/>
      <sheetName val="Util Informatio"/>
      <sheetName val="GIC Ivest Data"/>
      <sheetName val="Ft. Mea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 Assumps"/>
      <sheetName val="Acq &amp; Redev"/>
      <sheetName val="Residential Assumps"/>
      <sheetName val="Consolidated"/>
      <sheetName val="Office-Annual"/>
      <sheetName val="Office-Monthly"/>
      <sheetName val="Office-Argus"/>
      <sheetName val="Apt-Annual"/>
      <sheetName val="Apt-Monthly"/>
      <sheetName val="Apt-Argus"/>
      <sheetName val="Parking-Annual"/>
      <sheetName val="1 Loan cash flows"/>
      <sheetName val="2 NOI's"/>
      <sheetName val="3 Office VI - in place calcs"/>
      <sheetName val="4 Office VI comments"/>
      <sheetName val="5 Wharf - in place calc"/>
      <sheetName val="6 Nemours - in place calc"/>
      <sheetName val="7 detailed actual in place NOI"/>
      <sheetName val="8 upside in place NOI w leaseup"/>
    </sheetNames>
    <sheetDataSet>
      <sheetData sheetId="0"/>
      <sheetData sheetId="1">
        <row r="32">
          <cell r="K32">
            <v>4203471.8475930085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Acq &amp; Redev"/>
      <sheetName val="Consolidated"/>
      <sheetName val="Brandywine"/>
      <sheetName val="Brandywine-Argus"/>
      <sheetName val="CityParking"/>
      <sheetName val="CityParking-Transient Rev"/>
      <sheetName val="CityParking-Monthly Rev"/>
    </sheetNames>
    <sheetDataSet>
      <sheetData sheetId="0" refreshError="1">
        <row r="96">
          <cell r="I96">
            <v>409514</v>
          </cell>
        </row>
      </sheetData>
      <sheetData sheetId="1" refreshError="1">
        <row r="29">
          <cell r="H29">
            <v>13843289.977099232</v>
          </cell>
          <cell r="L29">
            <v>2808187.0229007639</v>
          </cell>
        </row>
      </sheetData>
      <sheetData sheetId="2" refreshError="1"/>
      <sheetData sheetId="3" refreshError="1"/>
      <sheetData sheetId="4" refreshError="1"/>
      <sheetData sheetId="5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cal Info"/>
      <sheetName val="Owner Recap"/>
      <sheetName val="Boxscore"/>
      <sheetName val="Weekly Leasing Report"/>
      <sheetName val="Rent Schedule"/>
      <sheetName val="Rent Recomendation"/>
      <sheetName val="Market Study"/>
      <sheetName val="Floorplan Comparisons"/>
      <sheetName val="ACTUAL"/>
      <sheetName val="IDEAL"/>
      <sheetName val="GRAPHS"/>
    </sheetNames>
    <sheetDataSet>
      <sheetData sheetId="0" refreshError="1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Description "/>
      <sheetName val="Summary"/>
      <sheetName val="County Demos"/>
      <sheetName val="Micro Market Charts"/>
      <sheetName val="Misc. Calcs."/>
      <sheetName val="Med. Incomes Restricted Rents"/>
      <sheetName val="Income Bands "/>
      <sheetName val="Appropriatness of Unit Mix"/>
      <sheetName val="Neighborhood demos "/>
      <sheetName val="92264 Input Assumptions"/>
      <sheetName val="Page 1"/>
      <sheetName val="Page 2"/>
      <sheetName val="Page 3"/>
      <sheetName val="Page 4"/>
      <sheetName val="Page 5"/>
      <sheetName val="Page 6"/>
      <sheetName val="Page 7"/>
      <sheetName val="Page 7b"/>
      <sheetName val="Page 8"/>
      <sheetName val="Age Adjustments"/>
      <sheetName val="Size Adjustments"/>
      <sheetName val="Adj. Grid Eff "/>
      <sheetName val="Adj. Grid 1-1(A)    "/>
      <sheetName val="Adj. Grid 1-1(A)  (2)"/>
      <sheetName val="Adj. Grid1-1(B)   "/>
      <sheetName val="Adj. Grid 1-1(B)  (2)"/>
      <sheetName val="Adj. Grid 1-1(C)"/>
      <sheetName val="Adj. Grid 1-1(C)  (2)"/>
      <sheetName val="Adj. Grid 2-2(A)"/>
      <sheetName val="Adj. Grid 2-2(A)  (2)"/>
      <sheetName val="Adj. Grid 2-2(B)"/>
      <sheetName val="Adj. Grid 2-2(B)  (2)"/>
      <sheetName val="Adj. Grid 2-2(C) "/>
      <sheetName val="Adj. Grid 2-2(C)  (2)"/>
      <sheetName val="Ad Valorem Taxes "/>
      <sheetName val="92274 Expense "/>
      <sheetName val="Expense Grids for Narrative"/>
      <sheetName val="Ancillary Income"/>
      <sheetName val="Market Rents and NOI"/>
      <sheetName val="Mkt Rents and Alt. Reserves"/>
      <sheetName val="DCF"/>
      <sheetName val="GATCO Imp. Sales"/>
      <sheetName val="92264-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2">
          <cell r="B2" t="str">
            <v>Legends at Cinco Ranch</v>
          </cell>
        </row>
        <row r="3">
          <cell r="B3" t="str">
            <v xml:space="preserve"> </v>
          </cell>
        </row>
        <row r="4">
          <cell r="B4" t="str">
            <v>Unk</v>
          </cell>
        </row>
        <row r="5">
          <cell r="B5" t="str">
            <v>Fry and Mason</v>
          </cell>
        </row>
        <row r="6">
          <cell r="B6" t="str">
            <v>Katy</v>
          </cell>
        </row>
        <row r="7">
          <cell r="B7" t="str">
            <v>Fort Bend</v>
          </cell>
        </row>
        <row r="8">
          <cell r="B8" t="str">
            <v>TX</v>
          </cell>
        </row>
        <row r="9">
          <cell r="B9">
            <v>77450</v>
          </cell>
        </row>
        <row r="10">
          <cell r="B10" t="str">
            <v xml:space="preserve"> </v>
          </cell>
        </row>
        <row r="11">
          <cell r="B11">
            <v>39569</v>
          </cell>
        </row>
        <row r="12">
          <cell r="B12" t="str">
            <v>WU 2&amp;3</v>
          </cell>
        </row>
        <row r="13">
          <cell r="B13">
            <v>260</v>
          </cell>
        </row>
        <row r="14">
          <cell r="B14">
            <v>0</v>
          </cell>
        </row>
        <row r="15">
          <cell r="B15">
            <v>27</v>
          </cell>
        </row>
        <row r="16">
          <cell r="B16" t="str">
            <v>Office/Clubhouse</v>
          </cell>
        </row>
        <row r="22">
          <cell r="B22" t="str">
            <v>Pool</v>
          </cell>
        </row>
        <row r="24">
          <cell r="B24" t="str">
            <v>XXXXX</v>
          </cell>
        </row>
        <row r="26">
          <cell r="B26" t="str">
            <v>XXXXX</v>
          </cell>
        </row>
        <row r="28">
          <cell r="B28" t="str">
            <v>N/A</v>
          </cell>
        </row>
        <row r="29">
          <cell r="B29" t="str">
            <v>N/A</v>
          </cell>
        </row>
        <row r="30">
          <cell r="B30">
            <v>660796.48800000001</v>
          </cell>
        </row>
        <row r="31">
          <cell r="B31" t="str">
            <v>N/A</v>
          </cell>
        </row>
        <row r="32">
          <cell r="B32" t="str">
            <v xml:space="preserve"> </v>
          </cell>
        </row>
        <row r="33">
          <cell r="B33">
            <v>1</v>
          </cell>
        </row>
        <row r="34">
          <cell r="B34" t="str">
            <v>Proposed</v>
          </cell>
        </row>
        <row r="35">
          <cell r="B35" t="str">
            <v>Wood Frame</v>
          </cell>
        </row>
        <row r="36">
          <cell r="B36" t="str">
            <v>Concrete</v>
          </cell>
        </row>
        <row r="37">
          <cell r="B37" t="str">
            <v xml:space="preserve">BV / Wood Siding </v>
          </cell>
        </row>
        <row r="38">
          <cell r="B38" t="str">
            <v>Master Meter</v>
          </cell>
        </row>
        <row r="39">
          <cell r="B39" t="str">
            <v>Under Contract</v>
          </cell>
        </row>
        <row r="40">
          <cell r="B40" t="str">
            <v>Unk</v>
          </cell>
        </row>
        <row r="41">
          <cell r="B41" t="str">
            <v>N/A</v>
          </cell>
        </row>
        <row r="42">
          <cell r="B42">
            <v>0</v>
          </cell>
        </row>
        <row r="43">
          <cell r="B43" t="str">
            <v>N/A</v>
          </cell>
        </row>
        <row r="44">
          <cell r="B44">
            <v>0</v>
          </cell>
        </row>
        <row r="45">
          <cell r="B45" t="str">
            <v>Business</v>
          </cell>
        </row>
        <row r="46">
          <cell r="B46">
            <v>260</v>
          </cell>
        </row>
        <row r="47">
          <cell r="B47">
            <v>1</v>
          </cell>
        </row>
        <row r="48">
          <cell r="B48">
            <v>0.93</v>
          </cell>
        </row>
        <row r="49">
          <cell r="B49">
            <v>0</v>
          </cell>
        </row>
        <row r="50">
          <cell r="B50">
            <v>0.8</v>
          </cell>
        </row>
        <row r="51">
          <cell r="B51">
            <v>0</v>
          </cell>
        </row>
        <row r="54">
          <cell r="B54">
            <v>33983.869863013693</v>
          </cell>
        </row>
        <row r="55">
          <cell r="B55">
            <v>91119.73000000001</v>
          </cell>
        </row>
        <row r="56">
          <cell r="B56">
            <v>54374.191780821915</v>
          </cell>
        </row>
        <row r="57">
          <cell r="B57">
            <v>179477.7916438356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43499.353424657529</v>
          </cell>
        </row>
        <row r="61">
          <cell r="B61">
            <v>17671.612328767122</v>
          </cell>
        </row>
        <row r="63">
          <cell r="B63">
            <v>12234.193150684931</v>
          </cell>
        </row>
        <row r="65">
          <cell r="B65">
            <v>0</v>
          </cell>
        </row>
        <row r="66">
          <cell r="B66">
            <v>304495.47397260275</v>
          </cell>
        </row>
        <row r="67">
          <cell r="B67">
            <v>33983.869863013693</v>
          </cell>
        </row>
        <row r="68">
          <cell r="B68">
            <v>33983.869863013693</v>
          </cell>
        </row>
        <row r="69">
          <cell r="B69">
            <v>4078.0643835616434</v>
          </cell>
        </row>
        <row r="71">
          <cell r="B71">
            <v>40780.643835616436</v>
          </cell>
        </row>
        <row r="72">
          <cell r="B72">
            <v>0</v>
          </cell>
        </row>
        <row r="73">
          <cell r="B73">
            <v>188950.31643835615</v>
          </cell>
        </row>
        <row r="74">
          <cell r="B74">
            <v>78000</v>
          </cell>
        </row>
        <row r="75">
          <cell r="B75">
            <v>750923.58205479453</v>
          </cell>
        </row>
        <row r="76">
          <cell r="B76">
            <v>17420000</v>
          </cell>
        </row>
        <row r="77">
          <cell r="B77">
            <v>2.8683399999999998E-2</v>
          </cell>
        </row>
        <row r="78">
          <cell r="B78">
            <v>499664.82799999998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54374.191780821915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554039.01978082187</v>
          </cell>
        </row>
        <row r="87">
          <cell r="B87">
            <v>2.75E-2</v>
          </cell>
        </row>
        <row r="88">
          <cell r="B88">
            <v>39596</v>
          </cell>
        </row>
        <row r="89">
          <cell r="B89">
            <v>4.5657534246575343E-2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6">
          <cell r="B96">
            <v>7653525</v>
          </cell>
        </row>
        <row r="97">
          <cell r="B97">
            <v>100000</v>
          </cell>
        </row>
        <row r="98">
          <cell r="B98">
            <v>0</v>
          </cell>
        </row>
        <row r="99">
          <cell r="B99">
            <v>100000</v>
          </cell>
        </row>
        <row r="100">
          <cell r="B100">
            <v>7853525</v>
          </cell>
        </row>
        <row r="101">
          <cell r="B101">
            <v>628282</v>
          </cell>
        </row>
        <row r="103">
          <cell r="B103">
            <v>157070.5</v>
          </cell>
        </row>
        <row r="104">
          <cell r="B104">
            <v>392676.25</v>
          </cell>
        </row>
        <row r="105">
          <cell r="B105">
            <v>392676</v>
          </cell>
        </row>
        <row r="106">
          <cell r="B106">
            <v>157071</v>
          </cell>
        </row>
        <row r="107">
          <cell r="B107">
            <v>157071</v>
          </cell>
        </row>
        <row r="108">
          <cell r="B108">
            <v>6500</v>
          </cell>
        </row>
        <row r="109">
          <cell r="B109">
            <v>0</v>
          </cell>
        </row>
        <row r="110">
          <cell r="B110">
            <v>1263064.75</v>
          </cell>
        </row>
        <row r="111">
          <cell r="B111">
            <v>9744871.75</v>
          </cell>
        </row>
        <row r="112">
          <cell r="B112">
            <v>13</v>
          </cell>
        </row>
        <row r="114">
          <cell r="B114">
            <v>6145500</v>
          </cell>
        </row>
        <row r="116">
          <cell r="B116">
            <v>30</v>
          </cell>
        </row>
        <row r="117">
          <cell r="B117">
            <v>230456</v>
          </cell>
        </row>
        <row r="119">
          <cell r="B119">
            <v>5000</v>
          </cell>
        </row>
        <row r="120">
          <cell r="B120">
            <v>61455</v>
          </cell>
        </row>
        <row r="121">
          <cell r="B121">
            <v>18437</v>
          </cell>
        </row>
        <row r="122">
          <cell r="B122">
            <v>7498</v>
          </cell>
        </row>
        <row r="123">
          <cell r="B123">
            <v>122910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25500</v>
          </cell>
        </row>
        <row r="127">
          <cell r="B127">
            <v>40000</v>
          </cell>
        </row>
        <row r="128">
          <cell r="B128">
            <v>543149</v>
          </cell>
        </row>
        <row r="130">
          <cell r="B130">
            <v>20000</v>
          </cell>
        </row>
        <row r="131">
          <cell r="B131">
            <v>19500</v>
          </cell>
        </row>
        <row r="132">
          <cell r="B132">
            <v>0</v>
          </cell>
        </row>
        <row r="133">
          <cell r="B133">
            <v>39500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50000</v>
          </cell>
        </row>
        <row r="139">
          <cell r="B139">
            <v>10377520.75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 t="e">
            <v>#REF!</v>
          </cell>
        </row>
      </sheetData>
      <sheetData sheetId="10" refreshError="1"/>
      <sheetData sheetId="11" refreshError="1"/>
      <sheetData sheetId="12" refreshError="1">
        <row r="82">
          <cell r="AQ82">
            <v>1304962.6018356164</v>
          </cell>
        </row>
      </sheetData>
      <sheetData sheetId="13" refreshError="1">
        <row r="6">
          <cell r="S6">
            <v>3426389.2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25">
          <cell r="H25" t="e">
            <v>#REF!</v>
          </cell>
        </row>
      </sheetData>
      <sheetData sheetId="40" refreshError="1"/>
      <sheetData sheetId="41" refreshError="1"/>
      <sheetData sheetId="4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ates by Plan"/>
      <sheetName val="Gross Potential"/>
      <sheetName val="Payroll Expense"/>
      <sheetName val="Home Office Data"/>
      <sheetName val="FS-STAT"/>
      <sheetName val="FS- FOOD"/>
      <sheetName val="Contract Services Summary"/>
      <sheetName val="Summer Transient"/>
      <sheetName val="Revenue Assumptions"/>
      <sheetName val="Account Detail"/>
      <sheetName val="Summary by GL"/>
      <sheetName val="Budget Summary"/>
      <sheetName val="Monthly Budget"/>
      <sheetName val="MRI Account Numbers"/>
      <sheetName val="MRI Format"/>
      <sheetName val="Room_Food Revenue"/>
      <sheetName val="Budget"/>
      <sheetName val="Actual"/>
      <sheetName val="All GL Codes"/>
      <sheetName val="Module2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2">
          <cell r="A2" t="str">
            <v>MR03010000</v>
          </cell>
          <cell r="B2" t="str">
            <v>Gross Potential Income</v>
          </cell>
          <cell r="C2">
            <v>-261324</v>
          </cell>
          <cell r="D2">
            <v>-261324</v>
          </cell>
          <cell r="E2">
            <v>-261324</v>
          </cell>
          <cell r="F2">
            <v>-261324</v>
          </cell>
          <cell r="G2">
            <v>-261324</v>
          </cell>
          <cell r="H2">
            <v>-261324</v>
          </cell>
          <cell r="I2">
            <v>-261324</v>
          </cell>
          <cell r="J2">
            <v>-263414</v>
          </cell>
          <cell r="K2">
            <v>-264564</v>
          </cell>
          <cell r="L2">
            <v>-264564</v>
          </cell>
          <cell r="M2">
            <v>-264564</v>
          </cell>
          <cell r="N2">
            <v>-264564</v>
          </cell>
          <cell r="O2">
            <v>3150938</v>
          </cell>
        </row>
        <row r="3">
          <cell r="A3" t="str">
            <v>MR03020000</v>
          </cell>
          <cell r="B3" t="str">
            <v>Vacancy Loss</v>
          </cell>
          <cell r="C3">
            <v>382</v>
          </cell>
          <cell r="D3">
            <v>382</v>
          </cell>
          <cell r="E3">
            <v>382</v>
          </cell>
          <cell r="F3">
            <v>382</v>
          </cell>
          <cell r="G3">
            <v>382</v>
          </cell>
          <cell r="H3">
            <v>382</v>
          </cell>
          <cell r="I3">
            <v>382</v>
          </cell>
          <cell r="J3">
            <v>5102</v>
          </cell>
          <cell r="K3">
            <v>7736</v>
          </cell>
          <cell r="L3">
            <v>7736</v>
          </cell>
          <cell r="M3">
            <v>7736</v>
          </cell>
          <cell r="N3">
            <v>7736</v>
          </cell>
          <cell r="O3">
            <v>-38720</v>
          </cell>
        </row>
        <row r="4">
          <cell r="A4" t="str">
            <v>MR03030000</v>
          </cell>
          <cell r="B4" t="str">
            <v>Gain/Loss to Lease</v>
          </cell>
          <cell r="C4">
            <v>35</v>
          </cell>
          <cell r="D4">
            <v>35</v>
          </cell>
          <cell r="E4">
            <v>35</v>
          </cell>
          <cell r="F4">
            <v>35</v>
          </cell>
          <cell r="G4">
            <v>35</v>
          </cell>
          <cell r="H4">
            <v>35</v>
          </cell>
          <cell r="I4">
            <v>35</v>
          </cell>
          <cell r="J4">
            <v>646</v>
          </cell>
          <cell r="K4">
            <v>986</v>
          </cell>
          <cell r="L4">
            <v>986</v>
          </cell>
          <cell r="M4">
            <v>986</v>
          </cell>
          <cell r="N4">
            <v>986</v>
          </cell>
          <cell r="O4">
            <v>-4835</v>
          </cell>
        </row>
        <row r="5">
          <cell r="A5" t="str">
            <v>MR03040000</v>
          </cell>
          <cell r="B5" t="str">
            <v>Non-Revenue Units</v>
          </cell>
          <cell r="C5">
            <v>2633</v>
          </cell>
          <cell r="D5">
            <v>2633</v>
          </cell>
          <cell r="E5">
            <v>2633</v>
          </cell>
          <cell r="F5">
            <v>2633</v>
          </cell>
          <cell r="G5">
            <v>2633</v>
          </cell>
          <cell r="H5">
            <v>2633</v>
          </cell>
          <cell r="I5">
            <v>2633</v>
          </cell>
          <cell r="J5">
            <v>2656</v>
          </cell>
          <cell r="K5">
            <v>2669</v>
          </cell>
          <cell r="L5">
            <v>2669</v>
          </cell>
          <cell r="M5">
            <v>2669</v>
          </cell>
          <cell r="N5">
            <v>2669</v>
          </cell>
          <cell r="O5">
            <v>-31763</v>
          </cell>
        </row>
        <row r="6">
          <cell r="A6" t="str">
            <v>MR03110000</v>
          </cell>
          <cell r="B6" t="str">
            <v>Parking Income-Residents</v>
          </cell>
          <cell r="C6">
            <v>-200</v>
          </cell>
          <cell r="D6">
            <v>-200</v>
          </cell>
          <cell r="E6">
            <v>-200</v>
          </cell>
          <cell r="F6">
            <v>-200</v>
          </cell>
          <cell r="G6">
            <v>-200</v>
          </cell>
          <cell r="H6">
            <v>-200</v>
          </cell>
          <cell r="I6">
            <v>-200</v>
          </cell>
          <cell r="J6">
            <v>-200</v>
          </cell>
          <cell r="K6">
            <v>-200</v>
          </cell>
          <cell r="L6">
            <v>-200</v>
          </cell>
          <cell r="M6">
            <v>-200</v>
          </cell>
          <cell r="N6">
            <v>-200</v>
          </cell>
          <cell r="O6">
            <v>2400</v>
          </cell>
        </row>
        <row r="7">
          <cell r="A7" t="str">
            <v>MR03140000</v>
          </cell>
          <cell r="B7" t="str">
            <v>Vending Machine Income</v>
          </cell>
          <cell r="C7">
            <v>-35</v>
          </cell>
          <cell r="D7">
            <v>-35</v>
          </cell>
          <cell r="E7">
            <v>-35</v>
          </cell>
          <cell r="F7">
            <v>-35</v>
          </cell>
          <cell r="G7">
            <v>-35</v>
          </cell>
          <cell r="H7">
            <v>-35</v>
          </cell>
          <cell r="I7">
            <v>-35</v>
          </cell>
          <cell r="J7">
            <v>-35</v>
          </cell>
          <cell r="K7">
            <v>-35</v>
          </cell>
          <cell r="L7">
            <v>-35</v>
          </cell>
          <cell r="M7">
            <v>-35</v>
          </cell>
          <cell r="N7">
            <v>-35</v>
          </cell>
          <cell r="O7">
            <v>420</v>
          </cell>
        </row>
        <row r="8">
          <cell r="A8" t="str">
            <v>MR03310000</v>
          </cell>
          <cell r="B8" t="str">
            <v>Lease Processing Fees</v>
          </cell>
          <cell r="C8">
            <v>-4000</v>
          </cell>
          <cell r="D8">
            <v>-3000</v>
          </cell>
          <cell r="E8">
            <v>-2000</v>
          </cell>
          <cell r="F8">
            <v>-2000</v>
          </cell>
          <cell r="G8">
            <v>-1140</v>
          </cell>
          <cell r="H8">
            <v>-120</v>
          </cell>
          <cell r="I8">
            <v>-120</v>
          </cell>
          <cell r="J8">
            <v>-120</v>
          </cell>
          <cell r="K8">
            <v>0</v>
          </cell>
          <cell r="L8">
            <v>0</v>
          </cell>
          <cell r="M8">
            <v>-2000</v>
          </cell>
          <cell r="N8">
            <v>-2000</v>
          </cell>
          <cell r="O8">
            <v>16500</v>
          </cell>
        </row>
        <row r="9">
          <cell r="A9" t="str">
            <v>MR03315000</v>
          </cell>
          <cell r="B9" t="str">
            <v>Administrative Fees</v>
          </cell>
          <cell r="C9">
            <v>-1500</v>
          </cell>
          <cell r="D9">
            <v>-300</v>
          </cell>
          <cell r="E9">
            <v>-300</v>
          </cell>
          <cell r="F9">
            <v>-300</v>
          </cell>
          <cell r="G9">
            <v>-100</v>
          </cell>
          <cell r="H9">
            <v>-500</v>
          </cell>
          <cell r="I9">
            <v>-50</v>
          </cell>
          <cell r="J9">
            <v>-50</v>
          </cell>
          <cell r="K9">
            <v>-50</v>
          </cell>
          <cell r="L9">
            <v>-50</v>
          </cell>
          <cell r="M9">
            <v>-1500</v>
          </cell>
          <cell r="N9">
            <v>-500</v>
          </cell>
          <cell r="O9">
            <v>5200</v>
          </cell>
        </row>
        <row r="10">
          <cell r="A10" t="str">
            <v>MR03325000</v>
          </cell>
          <cell r="B10" t="str">
            <v>Late Charges</v>
          </cell>
          <cell r="C10">
            <v>-2000</v>
          </cell>
          <cell r="D10">
            <v>-2000</v>
          </cell>
          <cell r="E10">
            <v>-2000</v>
          </cell>
          <cell r="F10">
            <v>-2000</v>
          </cell>
          <cell r="G10">
            <v>-2000</v>
          </cell>
          <cell r="H10">
            <v>-2000</v>
          </cell>
          <cell r="I10">
            <v>-2000</v>
          </cell>
          <cell r="J10">
            <v>-2000</v>
          </cell>
          <cell r="K10">
            <v>-2000</v>
          </cell>
          <cell r="L10">
            <v>-2000</v>
          </cell>
          <cell r="M10">
            <v>-2000</v>
          </cell>
          <cell r="N10">
            <v>-2000</v>
          </cell>
          <cell r="O10">
            <v>24000</v>
          </cell>
        </row>
        <row r="11">
          <cell r="A11" t="str">
            <v>MR03330000</v>
          </cell>
          <cell r="B11" t="str">
            <v>NSF Fees</v>
          </cell>
          <cell r="C11">
            <v>-175</v>
          </cell>
          <cell r="D11">
            <v>-125</v>
          </cell>
          <cell r="E11">
            <v>-175</v>
          </cell>
          <cell r="F11">
            <v>-125</v>
          </cell>
          <cell r="G11">
            <v>-125</v>
          </cell>
          <cell r="H11">
            <v>-125</v>
          </cell>
          <cell r="I11">
            <v>-175</v>
          </cell>
          <cell r="J11">
            <v>-125</v>
          </cell>
          <cell r="K11">
            <v>-125</v>
          </cell>
          <cell r="L11">
            <v>-125</v>
          </cell>
          <cell r="M11">
            <v>-125</v>
          </cell>
          <cell r="N11">
            <v>-175</v>
          </cell>
          <cell r="O11">
            <v>1700</v>
          </cell>
        </row>
        <row r="12">
          <cell r="A12" t="str">
            <v>MR03335000</v>
          </cell>
          <cell r="B12" t="str">
            <v>Security Deposit Forfeits</v>
          </cell>
          <cell r="C12">
            <v>-300</v>
          </cell>
          <cell r="D12">
            <v>-300</v>
          </cell>
          <cell r="E12">
            <v>-300</v>
          </cell>
          <cell r="F12">
            <v>-300</v>
          </cell>
          <cell r="G12">
            <v>-300</v>
          </cell>
          <cell r="H12">
            <v>-300</v>
          </cell>
          <cell r="I12">
            <v>-300</v>
          </cell>
          <cell r="J12">
            <v>-300</v>
          </cell>
          <cell r="K12">
            <v>-300</v>
          </cell>
          <cell r="L12">
            <v>-300</v>
          </cell>
          <cell r="M12">
            <v>-300</v>
          </cell>
          <cell r="N12">
            <v>-300</v>
          </cell>
          <cell r="O12">
            <v>3600</v>
          </cell>
        </row>
        <row r="13">
          <cell r="A13" t="str">
            <v>MR03340000</v>
          </cell>
          <cell r="B13" t="str">
            <v>Pet Fines</v>
          </cell>
          <cell r="C13">
            <v>-50</v>
          </cell>
          <cell r="D13">
            <v>-50</v>
          </cell>
          <cell r="E13">
            <v>-50</v>
          </cell>
          <cell r="F13">
            <v>-50</v>
          </cell>
          <cell r="G13">
            <v>-50</v>
          </cell>
          <cell r="H13">
            <v>-50</v>
          </cell>
          <cell r="I13">
            <v>-50</v>
          </cell>
          <cell r="J13">
            <v>-50</v>
          </cell>
          <cell r="K13">
            <v>-50</v>
          </cell>
          <cell r="L13">
            <v>-50</v>
          </cell>
          <cell r="M13">
            <v>-50</v>
          </cell>
          <cell r="N13">
            <v>-50</v>
          </cell>
          <cell r="O13">
            <v>600</v>
          </cell>
        </row>
        <row r="14">
          <cell r="A14" t="str">
            <v>MR03385000</v>
          </cell>
          <cell r="B14" t="str">
            <v>Interest Income</v>
          </cell>
          <cell r="C14">
            <v>-1500</v>
          </cell>
          <cell r="D14">
            <v>-1500</v>
          </cell>
          <cell r="E14">
            <v>-1500</v>
          </cell>
          <cell r="F14">
            <v>-1500</v>
          </cell>
          <cell r="G14">
            <v>-1500</v>
          </cell>
          <cell r="H14">
            <v>-1500</v>
          </cell>
          <cell r="I14">
            <v>-1500</v>
          </cell>
          <cell r="J14">
            <v>-1500</v>
          </cell>
          <cell r="K14">
            <v>-1500</v>
          </cell>
          <cell r="L14">
            <v>-1500</v>
          </cell>
          <cell r="M14">
            <v>-1500</v>
          </cell>
          <cell r="N14">
            <v>-1500</v>
          </cell>
          <cell r="O14">
            <v>18000</v>
          </cell>
        </row>
        <row r="15">
          <cell r="A15" t="str">
            <v>MR03390000</v>
          </cell>
          <cell r="B15" t="str">
            <v>Bad Debt Expense</v>
          </cell>
          <cell r="C15">
            <v>268</v>
          </cell>
          <cell r="D15">
            <v>266</v>
          </cell>
          <cell r="E15">
            <v>265</v>
          </cell>
          <cell r="F15">
            <v>265</v>
          </cell>
          <cell r="G15">
            <v>264</v>
          </cell>
          <cell r="H15">
            <v>263</v>
          </cell>
          <cell r="I15">
            <v>263</v>
          </cell>
          <cell r="J15">
            <v>259</v>
          </cell>
          <cell r="K15">
            <v>257</v>
          </cell>
          <cell r="L15">
            <v>257</v>
          </cell>
          <cell r="M15">
            <v>261</v>
          </cell>
          <cell r="N15">
            <v>260</v>
          </cell>
          <cell r="O15">
            <v>-3148</v>
          </cell>
        </row>
        <row r="16">
          <cell r="A16" t="str">
            <v>MR06005001</v>
          </cell>
          <cell r="B16" t="str">
            <v>Brochures-Postage/Distribution</v>
          </cell>
          <cell r="C16">
            <v>3500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1000</v>
          </cell>
          <cell r="N16">
            <v>0</v>
          </cell>
          <cell r="O16">
            <v>4500</v>
          </cell>
        </row>
        <row r="17">
          <cell r="A17" t="str">
            <v>MR06010002</v>
          </cell>
          <cell r="B17" t="str">
            <v>Flyers-Postage/Distribution</v>
          </cell>
          <cell r="C17">
            <v>0</v>
          </cell>
          <cell r="D17">
            <v>75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75</v>
          </cell>
          <cell r="N17">
            <v>0</v>
          </cell>
          <cell r="O17">
            <v>150</v>
          </cell>
        </row>
        <row r="18">
          <cell r="A18" t="str">
            <v>MR06015001</v>
          </cell>
          <cell r="B18" t="str">
            <v>Miscellaneous Collateral-Production</v>
          </cell>
          <cell r="C18">
            <v>200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50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250</v>
          </cell>
        </row>
        <row r="19">
          <cell r="A19" t="str">
            <v>MR06020001</v>
          </cell>
          <cell r="B19" t="str">
            <v>Print Ads-Placement</v>
          </cell>
          <cell r="C19">
            <v>1800</v>
          </cell>
          <cell r="D19">
            <v>1600</v>
          </cell>
          <cell r="E19">
            <v>1500</v>
          </cell>
          <cell r="F19">
            <v>1500</v>
          </cell>
          <cell r="G19">
            <v>1400</v>
          </cell>
          <cell r="H19">
            <v>1200</v>
          </cell>
          <cell r="I19">
            <v>1200</v>
          </cell>
          <cell r="J19">
            <v>1200</v>
          </cell>
          <cell r="K19">
            <v>1800</v>
          </cell>
          <cell r="L19">
            <v>870</v>
          </cell>
          <cell r="M19">
            <v>870</v>
          </cell>
          <cell r="N19">
            <v>1800</v>
          </cell>
          <cell r="O19">
            <v>16740</v>
          </cell>
        </row>
        <row r="20">
          <cell r="A20" t="str">
            <v>MR06025002</v>
          </cell>
          <cell r="B20" t="str">
            <v>Radio-Placement</v>
          </cell>
          <cell r="C20">
            <v>0</v>
          </cell>
          <cell r="D20">
            <v>350</v>
          </cell>
          <cell r="E20">
            <v>0</v>
          </cell>
          <cell r="F20">
            <v>500</v>
          </cell>
          <cell r="G20">
            <v>0</v>
          </cell>
          <cell r="H20">
            <v>0</v>
          </cell>
          <cell r="I20">
            <v>350</v>
          </cell>
          <cell r="J20">
            <v>0</v>
          </cell>
          <cell r="K20">
            <v>500</v>
          </cell>
          <cell r="L20">
            <v>0</v>
          </cell>
          <cell r="M20">
            <v>0</v>
          </cell>
          <cell r="N20">
            <v>0</v>
          </cell>
          <cell r="O20">
            <v>1700</v>
          </cell>
        </row>
        <row r="21">
          <cell r="A21" t="str">
            <v>MR06040001</v>
          </cell>
          <cell r="B21" t="str">
            <v>Internet Ads-Placement</v>
          </cell>
          <cell r="C21">
            <v>160</v>
          </cell>
          <cell r="D21">
            <v>160</v>
          </cell>
          <cell r="E21">
            <v>160</v>
          </cell>
          <cell r="F21">
            <v>160</v>
          </cell>
          <cell r="G21">
            <v>160</v>
          </cell>
          <cell r="H21">
            <v>160</v>
          </cell>
          <cell r="I21">
            <v>160</v>
          </cell>
          <cell r="J21">
            <v>160</v>
          </cell>
          <cell r="K21">
            <v>160</v>
          </cell>
          <cell r="L21">
            <v>160</v>
          </cell>
          <cell r="M21">
            <v>160</v>
          </cell>
          <cell r="N21">
            <v>160</v>
          </cell>
          <cell r="O21">
            <v>1920</v>
          </cell>
        </row>
        <row r="22">
          <cell r="A22" t="str">
            <v>MR06045001</v>
          </cell>
          <cell r="B22" t="str">
            <v>Resident Promotions-Production</v>
          </cell>
          <cell r="C22">
            <v>500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600</v>
          </cell>
          <cell r="L22">
            <v>0</v>
          </cell>
          <cell r="M22">
            <v>0</v>
          </cell>
          <cell r="N22">
            <v>0</v>
          </cell>
          <cell r="O22">
            <v>1100</v>
          </cell>
        </row>
        <row r="23">
          <cell r="A23" t="str">
            <v>MR06045003</v>
          </cell>
          <cell r="B23" t="str">
            <v>Resident Promotions-Food</v>
          </cell>
          <cell r="C23">
            <v>300</v>
          </cell>
          <cell r="D23">
            <v>300</v>
          </cell>
          <cell r="E23">
            <v>300</v>
          </cell>
          <cell r="F23">
            <v>300</v>
          </cell>
          <cell r="G23">
            <v>300</v>
          </cell>
          <cell r="H23">
            <v>250</v>
          </cell>
          <cell r="I23">
            <v>250</v>
          </cell>
          <cell r="J23">
            <v>300</v>
          </cell>
          <cell r="K23">
            <v>300</v>
          </cell>
          <cell r="L23">
            <v>300</v>
          </cell>
          <cell r="M23">
            <v>300</v>
          </cell>
          <cell r="N23">
            <v>500</v>
          </cell>
          <cell r="O23">
            <v>3700</v>
          </cell>
        </row>
        <row r="24">
          <cell r="A24" t="str">
            <v>MR06045004</v>
          </cell>
          <cell r="B24" t="str">
            <v>Resident Promotions-Entertainment</v>
          </cell>
          <cell r="C24">
            <v>220</v>
          </cell>
          <cell r="D24">
            <v>220</v>
          </cell>
          <cell r="E24">
            <v>220</v>
          </cell>
          <cell r="F24">
            <v>220</v>
          </cell>
          <cell r="G24">
            <v>220</v>
          </cell>
          <cell r="H24">
            <v>220</v>
          </cell>
          <cell r="I24">
            <v>220</v>
          </cell>
          <cell r="J24">
            <v>220</v>
          </cell>
          <cell r="K24">
            <v>220</v>
          </cell>
          <cell r="L24">
            <v>220</v>
          </cell>
          <cell r="M24">
            <v>220</v>
          </cell>
          <cell r="N24">
            <v>220</v>
          </cell>
          <cell r="O24">
            <v>2640</v>
          </cell>
        </row>
        <row r="25">
          <cell r="A25" t="str">
            <v>MR06045006</v>
          </cell>
          <cell r="B25" t="str">
            <v>Resident Promotions-Incentives</v>
          </cell>
          <cell r="C25">
            <v>2500</v>
          </cell>
          <cell r="D25">
            <v>500</v>
          </cell>
          <cell r="E25">
            <v>200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5000</v>
          </cell>
          <cell r="K25">
            <v>0</v>
          </cell>
          <cell r="L25">
            <v>0</v>
          </cell>
          <cell r="M25">
            <v>0</v>
          </cell>
          <cell r="N25">
            <v>100</v>
          </cell>
          <cell r="O25">
            <v>8300</v>
          </cell>
        </row>
        <row r="26">
          <cell r="A26" t="str">
            <v>MR06065001</v>
          </cell>
          <cell r="B26" t="str">
            <v>Co-op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-500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-500</v>
          </cell>
          <cell r="M26">
            <v>0</v>
          </cell>
          <cell r="N26">
            <v>0</v>
          </cell>
          <cell r="O26">
            <v>-1000</v>
          </cell>
        </row>
        <row r="27">
          <cell r="A27" t="str">
            <v>MR06070001</v>
          </cell>
          <cell r="B27" t="str">
            <v>National Advertising</v>
          </cell>
          <cell r="C27">
            <v>1150</v>
          </cell>
          <cell r="D27">
            <v>125</v>
          </cell>
          <cell r="E27">
            <v>300</v>
          </cell>
          <cell r="F27">
            <v>0</v>
          </cell>
          <cell r="G27">
            <v>125</v>
          </cell>
          <cell r="H27">
            <v>0</v>
          </cell>
          <cell r="I27">
            <v>0</v>
          </cell>
          <cell r="J27">
            <v>125</v>
          </cell>
          <cell r="K27">
            <v>0</v>
          </cell>
          <cell r="L27">
            <v>0</v>
          </cell>
          <cell r="M27">
            <v>125</v>
          </cell>
          <cell r="N27">
            <v>50</v>
          </cell>
          <cell r="O27">
            <v>2000</v>
          </cell>
        </row>
        <row r="28">
          <cell r="A28" t="str">
            <v>MR06070002</v>
          </cell>
          <cell r="B28" t="str">
            <v>National Resident Promotions</v>
          </cell>
          <cell r="C28">
            <v>325</v>
          </cell>
          <cell r="D28">
            <v>0</v>
          </cell>
          <cell r="E28">
            <v>450</v>
          </cell>
          <cell r="F28">
            <v>0</v>
          </cell>
          <cell r="G28">
            <v>300</v>
          </cell>
          <cell r="H28">
            <v>450</v>
          </cell>
          <cell r="I28">
            <v>0</v>
          </cell>
          <cell r="J28">
            <v>0</v>
          </cell>
          <cell r="K28">
            <v>450</v>
          </cell>
          <cell r="L28">
            <v>0</v>
          </cell>
          <cell r="M28">
            <v>0</v>
          </cell>
          <cell r="N28">
            <v>450</v>
          </cell>
          <cell r="O28">
            <v>2425</v>
          </cell>
        </row>
        <row r="29">
          <cell r="A29" t="str">
            <v>MR06070005</v>
          </cell>
          <cell r="B29" t="str">
            <v>National Miscellaneous</v>
          </cell>
          <cell r="C29">
            <v>100</v>
          </cell>
          <cell r="D29">
            <v>100</v>
          </cell>
          <cell r="E29">
            <v>100</v>
          </cell>
          <cell r="F29">
            <v>100</v>
          </cell>
          <cell r="G29">
            <v>100</v>
          </cell>
          <cell r="H29">
            <v>100</v>
          </cell>
          <cell r="I29">
            <v>100</v>
          </cell>
          <cell r="J29">
            <v>100</v>
          </cell>
          <cell r="K29">
            <v>100</v>
          </cell>
          <cell r="L29">
            <v>100</v>
          </cell>
          <cell r="M29">
            <v>100</v>
          </cell>
          <cell r="N29">
            <v>100</v>
          </cell>
          <cell r="O29">
            <v>1200</v>
          </cell>
        </row>
        <row r="30">
          <cell r="A30" t="str">
            <v>MR06080003</v>
          </cell>
          <cell r="B30" t="str">
            <v>Signs</v>
          </cell>
          <cell r="C30">
            <v>100</v>
          </cell>
          <cell r="D30">
            <v>0</v>
          </cell>
          <cell r="E30">
            <v>0</v>
          </cell>
          <cell r="F30">
            <v>0</v>
          </cell>
          <cell r="G30">
            <v>100</v>
          </cell>
          <cell r="H30">
            <v>100</v>
          </cell>
          <cell r="I30">
            <v>0</v>
          </cell>
          <cell r="J30">
            <v>150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450</v>
          </cell>
        </row>
        <row r="31">
          <cell r="A31" t="str">
            <v>MR06105000</v>
          </cell>
          <cell r="B31" t="str">
            <v>Salary Payroll</v>
          </cell>
          <cell r="C31">
            <v>15831</v>
          </cell>
          <cell r="D31">
            <v>20012</v>
          </cell>
          <cell r="E31">
            <v>15908</v>
          </cell>
          <cell r="F31">
            <v>15908</v>
          </cell>
          <cell r="G31">
            <v>25635</v>
          </cell>
          <cell r="H31">
            <v>19408</v>
          </cell>
          <cell r="I31">
            <v>19408</v>
          </cell>
          <cell r="J31">
            <v>22012</v>
          </cell>
          <cell r="K31">
            <v>19499</v>
          </cell>
          <cell r="L31">
            <v>15395</v>
          </cell>
          <cell r="M31">
            <v>23122</v>
          </cell>
          <cell r="N31">
            <v>15395</v>
          </cell>
          <cell r="O31">
            <v>227533</v>
          </cell>
        </row>
        <row r="32">
          <cell r="A32" t="str">
            <v>MR06110000</v>
          </cell>
          <cell r="B32" t="str">
            <v>Payroll Taxes</v>
          </cell>
          <cell r="C32">
            <v>1615</v>
          </cell>
          <cell r="D32">
            <v>2041</v>
          </cell>
          <cell r="E32">
            <v>1623</v>
          </cell>
          <cell r="F32">
            <v>1623</v>
          </cell>
          <cell r="G32">
            <v>2615</v>
          </cell>
          <cell r="H32">
            <v>1980</v>
          </cell>
          <cell r="I32">
            <v>1980</v>
          </cell>
          <cell r="J32">
            <v>2245</v>
          </cell>
          <cell r="K32">
            <v>1989</v>
          </cell>
          <cell r="L32">
            <v>1570</v>
          </cell>
          <cell r="M32">
            <v>2358</v>
          </cell>
          <cell r="N32">
            <v>1570</v>
          </cell>
          <cell r="O32">
            <v>23209</v>
          </cell>
        </row>
        <row r="33">
          <cell r="A33" t="str">
            <v>MR06115000</v>
          </cell>
          <cell r="B33" t="str">
            <v>401(k) Contributions</v>
          </cell>
          <cell r="C33">
            <v>99</v>
          </cell>
          <cell r="D33">
            <v>125</v>
          </cell>
          <cell r="E33">
            <v>99</v>
          </cell>
          <cell r="F33">
            <v>99</v>
          </cell>
          <cell r="G33">
            <v>160</v>
          </cell>
          <cell r="H33">
            <v>121</v>
          </cell>
          <cell r="I33">
            <v>121</v>
          </cell>
          <cell r="J33">
            <v>138</v>
          </cell>
          <cell r="K33">
            <v>122</v>
          </cell>
          <cell r="L33">
            <v>96</v>
          </cell>
          <cell r="M33">
            <v>145</v>
          </cell>
          <cell r="N33">
            <v>96</v>
          </cell>
          <cell r="O33">
            <v>1421</v>
          </cell>
        </row>
        <row r="34">
          <cell r="A34" t="str">
            <v>MR06120000</v>
          </cell>
          <cell r="B34" t="str">
            <v>Group Health Insurance</v>
          </cell>
          <cell r="C34">
            <v>1260</v>
          </cell>
          <cell r="D34">
            <v>1260</v>
          </cell>
          <cell r="E34">
            <v>1260</v>
          </cell>
          <cell r="F34">
            <v>1260</v>
          </cell>
          <cell r="G34">
            <v>1260</v>
          </cell>
          <cell r="H34">
            <v>1260</v>
          </cell>
          <cell r="I34">
            <v>1260</v>
          </cell>
          <cell r="J34">
            <v>1260</v>
          </cell>
          <cell r="K34">
            <v>1260</v>
          </cell>
          <cell r="L34">
            <v>1260</v>
          </cell>
          <cell r="M34">
            <v>1260</v>
          </cell>
          <cell r="N34">
            <v>1260</v>
          </cell>
          <cell r="O34">
            <v>15120</v>
          </cell>
        </row>
        <row r="35">
          <cell r="A35" t="str">
            <v>MR06125000</v>
          </cell>
          <cell r="B35" t="str">
            <v>Workers' Compensation</v>
          </cell>
          <cell r="C35">
            <v>944</v>
          </cell>
          <cell r="D35">
            <v>944</v>
          </cell>
          <cell r="E35">
            <v>944</v>
          </cell>
          <cell r="F35">
            <v>944</v>
          </cell>
          <cell r="G35">
            <v>944</v>
          </cell>
          <cell r="H35">
            <v>0</v>
          </cell>
          <cell r="I35">
            <v>0</v>
          </cell>
          <cell r="J35">
            <v>3030</v>
          </cell>
          <cell r="K35">
            <v>1001</v>
          </cell>
          <cell r="L35">
            <v>1001</v>
          </cell>
          <cell r="M35">
            <v>1001</v>
          </cell>
          <cell r="N35">
            <v>1706</v>
          </cell>
          <cell r="O35">
            <v>12459</v>
          </cell>
        </row>
        <row r="36">
          <cell r="A36" t="str">
            <v>MR06155000</v>
          </cell>
          <cell r="B36" t="str">
            <v>Employee Education</v>
          </cell>
          <cell r="C36">
            <v>0</v>
          </cell>
          <cell r="D36">
            <v>300</v>
          </cell>
          <cell r="E36">
            <v>0</v>
          </cell>
          <cell r="F36">
            <v>100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100</v>
          </cell>
          <cell r="L36">
            <v>0</v>
          </cell>
          <cell r="M36">
            <v>100</v>
          </cell>
          <cell r="N36">
            <v>0</v>
          </cell>
          <cell r="O36">
            <v>600</v>
          </cell>
        </row>
        <row r="37">
          <cell r="A37" t="str">
            <v>MR06160000</v>
          </cell>
          <cell r="B37" t="str">
            <v>Pre-Employment Screening</v>
          </cell>
          <cell r="C37">
            <v>25</v>
          </cell>
          <cell r="D37">
            <v>25</v>
          </cell>
          <cell r="E37">
            <v>25</v>
          </cell>
          <cell r="F37">
            <v>25</v>
          </cell>
          <cell r="G37">
            <v>25</v>
          </cell>
          <cell r="H37">
            <v>25</v>
          </cell>
          <cell r="I37">
            <v>25</v>
          </cell>
          <cell r="J37">
            <v>25</v>
          </cell>
          <cell r="K37">
            <v>25</v>
          </cell>
          <cell r="L37">
            <v>25</v>
          </cell>
          <cell r="M37">
            <v>25</v>
          </cell>
          <cell r="N37">
            <v>25</v>
          </cell>
          <cell r="O37">
            <v>300</v>
          </cell>
        </row>
        <row r="38">
          <cell r="A38" t="str">
            <v>MR06170000</v>
          </cell>
          <cell r="B38" t="str">
            <v>Payroll Processing</v>
          </cell>
          <cell r="C38">
            <v>87</v>
          </cell>
          <cell r="D38">
            <v>87</v>
          </cell>
          <cell r="E38">
            <v>87</v>
          </cell>
          <cell r="F38">
            <v>87</v>
          </cell>
          <cell r="G38">
            <v>87</v>
          </cell>
          <cell r="H38">
            <v>87</v>
          </cell>
          <cell r="I38">
            <v>87</v>
          </cell>
          <cell r="J38">
            <v>87</v>
          </cell>
          <cell r="K38">
            <v>87</v>
          </cell>
          <cell r="L38">
            <v>87</v>
          </cell>
          <cell r="M38">
            <v>87</v>
          </cell>
          <cell r="N38">
            <v>87</v>
          </cell>
          <cell r="O38">
            <v>1044</v>
          </cell>
        </row>
        <row r="39">
          <cell r="A39" t="str">
            <v>MR06205000</v>
          </cell>
          <cell r="B39" t="str">
            <v>Bank Charges</v>
          </cell>
          <cell r="C39">
            <v>300</v>
          </cell>
          <cell r="D39">
            <v>300</v>
          </cell>
          <cell r="E39">
            <v>300</v>
          </cell>
          <cell r="F39">
            <v>300</v>
          </cell>
          <cell r="G39">
            <v>300</v>
          </cell>
          <cell r="H39">
            <v>300</v>
          </cell>
          <cell r="I39">
            <v>300</v>
          </cell>
          <cell r="J39">
            <v>300</v>
          </cell>
          <cell r="K39">
            <v>300</v>
          </cell>
          <cell r="L39">
            <v>300</v>
          </cell>
          <cell r="M39">
            <v>300</v>
          </cell>
          <cell r="N39">
            <v>300</v>
          </cell>
          <cell r="O39">
            <v>3600</v>
          </cell>
        </row>
        <row r="40">
          <cell r="A40" t="str">
            <v>MR06210000</v>
          </cell>
          <cell r="B40" t="str">
            <v>Credit Card Fees</v>
          </cell>
          <cell r="C40">
            <v>400</v>
          </cell>
          <cell r="D40">
            <v>400</v>
          </cell>
          <cell r="E40">
            <v>400</v>
          </cell>
          <cell r="F40">
            <v>400</v>
          </cell>
          <cell r="G40">
            <v>400</v>
          </cell>
          <cell r="H40">
            <v>400</v>
          </cell>
          <cell r="I40">
            <v>400</v>
          </cell>
          <cell r="J40">
            <v>400</v>
          </cell>
          <cell r="K40">
            <v>400</v>
          </cell>
          <cell r="L40">
            <v>400</v>
          </cell>
          <cell r="M40">
            <v>400</v>
          </cell>
          <cell r="N40">
            <v>400</v>
          </cell>
          <cell r="O40">
            <v>4800</v>
          </cell>
        </row>
        <row r="41">
          <cell r="A41" t="str">
            <v>MR06220000</v>
          </cell>
          <cell r="B41" t="str">
            <v>Dues &amp; Subscriptions</v>
          </cell>
          <cell r="C41">
            <v>200</v>
          </cell>
          <cell r="D41">
            <v>0</v>
          </cell>
          <cell r="E41">
            <v>50</v>
          </cell>
          <cell r="F41">
            <v>50</v>
          </cell>
          <cell r="G41">
            <v>50</v>
          </cell>
          <cell r="H41">
            <v>20</v>
          </cell>
          <cell r="I41">
            <v>200</v>
          </cell>
          <cell r="J41">
            <v>0</v>
          </cell>
          <cell r="K41">
            <v>0</v>
          </cell>
          <cell r="L41">
            <v>200</v>
          </cell>
          <cell r="M41">
            <v>0</v>
          </cell>
          <cell r="N41">
            <v>0</v>
          </cell>
          <cell r="O41">
            <v>770</v>
          </cell>
        </row>
        <row r="42">
          <cell r="A42" t="str">
            <v>MR06225000</v>
          </cell>
          <cell r="B42" t="str">
            <v>Legal Expense</v>
          </cell>
          <cell r="C42">
            <v>1500</v>
          </cell>
          <cell r="D42">
            <v>500</v>
          </cell>
          <cell r="E42">
            <v>1000</v>
          </cell>
          <cell r="F42">
            <v>500</v>
          </cell>
          <cell r="G42">
            <v>750</v>
          </cell>
          <cell r="H42">
            <v>1500</v>
          </cell>
          <cell r="I42">
            <v>500</v>
          </cell>
          <cell r="J42">
            <v>500</v>
          </cell>
          <cell r="K42">
            <v>500</v>
          </cell>
          <cell r="L42">
            <v>500</v>
          </cell>
          <cell r="M42">
            <v>500</v>
          </cell>
          <cell r="N42">
            <v>500</v>
          </cell>
          <cell r="O42">
            <v>8750</v>
          </cell>
        </row>
        <row r="43">
          <cell r="A43" t="str">
            <v>MR06228000</v>
          </cell>
          <cell r="B43" t="str">
            <v>Licenses/Fees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4500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4500</v>
          </cell>
        </row>
        <row r="44">
          <cell r="A44" t="str">
            <v>MR06230000</v>
          </cell>
          <cell r="B44" t="str">
            <v>Office Expenses</v>
          </cell>
          <cell r="C44">
            <v>500</v>
          </cell>
          <cell r="D44">
            <v>300</v>
          </cell>
          <cell r="E44">
            <v>300</v>
          </cell>
          <cell r="F44">
            <v>100</v>
          </cell>
          <cell r="G44">
            <v>200</v>
          </cell>
          <cell r="H44">
            <v>300</v>
          </cell>
          <cell r="I44">
            <v>200</v>
          </cell>
          <cell r="J44">
            <v>200</v>
          </cell>
          <cell r="K44">
            <v>200</v>
          </cell>
          <cell r="L44">
            <v>200</v>
          </cell>
          <cell r="M44">
            <v>200</v>
          </cell>
          <cell r="N44">
            <v>200</v>
          </cell>
          <cell r="O44">
            <v>2900</v>
          </cell>
        </row>
        <row r="45">
          <cell r="A45" t="str">
            <v>MR06232000</v>
          </cell>
          <cell r="B45" t="str">
            <v>Office Supplies</v>
          </cell>
          <cell r="C45">
            <v>300</v>
          </cell>
          <cell r="D45">
            <v>600</v>
          </cell>
          <cell r="E45">
            <v>500</v>
          </cell>
          <cell r="F45">
            <v>600</v>
          </cell>
          <cell r="G45">
            <v>600</v>
          </cell>
          <cell r="H45">
            <v>400</v>
          </cell>
          <cell r="I45">
            <v>400</v>
          </cell>
          <cell r="J45">
            <v>700</v>
          </cell>
          <cell r="K45">
            <v>400</v>
          </cell>
          <cell r="L45">
            <v>300</v>
          </cell>
          <cell r="M45">
            <v>300</v>
          </cell>
          <cell r="N45">
            <v>500</v>
          </cell>
          <cell r="O45">
            <v>5600</v>
          </cell>
        </row>
        <row r="46">
          <cell r="A46" t="str">
            <v>MR06234000</v>
          </cell>
          <cell r="B46" t="str">
            <v>Office Equipment</v>
          </cell>
          <cell r="C46">
            <v>150</v>
          </cell>
          <cell r="D46">
            <v>300</v>
          </cell>
          <cell r="E46">
            <v>150</v>
          </cell>
          <cell r="F46">
            <v>300</v>
          </cell>
          <cell r="G46">
            <v>150</v>
          </cell>
          <cell r="H46">
            <v>100</v>
          </cell>
          <cell r="I46">
            <v>100</v>
          </cell>
          <cell r="J46">
            <v>200</v>
          </cell>
          <cell r="K46">
            <v>150</v>
          </cell>
          <cell r="L46">
            <v>100</v>
          </cell>
          <cell r="M46">
            <v>100</v>
          </cell>
          <cell r="N46">
            <v>100</v>
          </cell>
          <cell r="O46">
            <v>1900</v>
          </cell>
        </row>
        <row r="47">
          <cell r="A47" t="str">
            <v>MR06235000</v>
          </cell>
          <cell r="B47" t="str">
            <v>Postage/Overnight Mail</v>
          </cell>
          <cell r="C47">
            <v>400</v>
          </cell>
          <cell r="D47">
            <v>300</v>
          </cell>
          <cell r="E47">
            <v>550</v>
          </cell>
          <cell r="F47">
            <v>250</v>
          </cell>
          <cell r="G47">
            <v>250</v>
          </cell>
          <cell r="H47">
            <v>250</v>
          </cell>
          <cell r="I47">
            <v>500</v>
          </cell>
          <cell r="J47">
            <v>250</v>
          </cell>
          <cell r="K47">
            <v>250</v>
          </cell>
          <cell r="L47">
            <v>250</v>
          </cell>
          <cell r="M47">
            <v>300</v>
          </cell>
          <cell r="N47">
            <v>300</v>
          </cell>
          <cell r="O47">
            <v>3850</v>
          </cell>
        </row>
        <row r="48">
          <cell r="A48" t="str">
            <v>MR06240000</v>
          </cell>
          <cell r="B48" t="str">
            <v>Professional Development</v>
          </cell>
          <cell r="C48">
            <v>0</v>
          </cell>
          <cell r="D48">
            <v>4000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250</v>
          </cell>
          <cell r="L48">
            <v>0</v>
          </cell>
          <cell r="M48">
            <v>1000</v>
          </cell>
          <cell r="N48">
            <v>0</v>
          </cell>
          <cell r="O48">
            <v>5250</v>
          </cell>
        </row>
        <row r="49">
          <cell r="A49" t="str">
            <v>MR06255001</v>
          </cell>
          <cell r="B49" t="str">
            <v>Telephone/Local</v>
          </cell>
          <cell r="C49">
            <v>1000</v>
          </cell>
          <cell r="D49">
            <v>1000</v>
          </cell>
          <cell r="E49">
            <v>1000</v>
          </cell>
          <cell r="F49">
            <v>1000</v>
          </cell>
          <cell r="G49">
            <v>1000</v>
          </cell>
          <cell r="H49">
            <v>1000</v>
          </cell>
          <cell r="I49">
            <v>1000</v>
          </cell>
          <cell r="J49">
            <v>1000</v>
          </cell>
          <cell r="K49">
            <v>1000</v>
          </cell>
          <cell r="L49">
            <v>1000</v>
          </cell>
          <cell r="M49">
            <v>1000</v>
          </cell>
          <cell r="N49">
            <v>1000</v>
          </cell>
          <cell r="O49">
            <v>12000</v>
          </cell>
        </row>
        <row r="50">
          <cell r="A50" t="str">
            <v>MR06255002</v>
          </cell>
          <cell r="B50" t="str">
            <v>Telephone/Long Distance</v>
          </cell>
          <cell r="C50">
            <v>500</v>
          </cell>
          <cell r="D50">
            <v>300</v>
          </cell>
          <cell r="E50">
            <v>300</v>
          </cell>
          <cell r="F50">
            <v>300</v>
          </cell>
          <cell r="G50">
            <v>300</v>
          </cell>
          <cell r="H50">
            <v>300</v>
          </cell>
          <cell r="I50">
            <v>300</v>
          </cell>
          <cell r="J50">
            <v>300</v>
          </cell>
          <cell r="K50">
            <v>300</v>
          </cell>
          <cell r="L50">
            <v>300</v>
          </cell>
          <cell r="M50">
            <v>300</v>
          </cell>
          <cell r="N50">
            <v>300</v>
          </cell>
          <cell r="O50">
            <v>3800</v>
          </cell>
        </row>
        <row r="51">
          <cell r="A51" t="str">
            <v>MR06258000</v>
          </cell>
          <cell r="B51" t="str">
            <v>Internet Service Expense</v>
          </cell>
          <cell r="C51">
            <v>200</v>
          </cell>
          <cell r="D51">
            <v>200</v>
          </cell>
          <cell r="E51">
            <v>200</v>
          </cell>
          <cell r="F51">
            <v>200</v>
          </cell>
          <cell r="G51">
            <v>200</v>
          </cell>
          <cell r="H51">
            <v>200</v>
          </cell>
          <cell r="I51">
            <v>200</v>
          </cell>
          <cell r="J51">
            <v>200</v>
          </cell>
          <cell r="K51">
            <v>200</v>
          </cell>
          <cell r="L51">
            <v>200</v>
          </cell>
          <cell r="M51">
            <v>200</v>
          </cell>
          <cell r="N51">
            <v>200</v>
          </cell>
          <cell r="O51">
            <v>2400</v>
          </cell>
        </row>
        <row r="52">
          <cell r="A52" t="str">
            <v>MR06260000</v>
          </cell>
          <cell r="B52" t="str">
            <v>Answering Service</v>
          </cell>
          <cell r="C52">
            <v>140</v>
          </cell>
          <cell r="D52">
            <v>140</v>
          </cell>
          <cell r="E52">
            <v>140</v>
          </cell>
          <cell r="F52">
            <v>140</v>
          </cell>
          <cell r="G52">
            <v>140</v>
          </cell>
          <cell r="H52">
            <v>140</v>
          </cell>
          <cell r="I52">
            <v>140</v>
          </cell>
          <cell r="J52">
            <v>140</v>
          </cell>
          <cell r="K52">
            <v>140</v>
          </cell>
          <cell r="L52">
            <v>140</v>
          </cell>
          <cell r="M52">
            <v>140</v>
          </cell>
          <cell r="N52">
            <v>140</v>
          </cell>
          <cell r="O52">
            <v>1680</v>
          </cell>
        </row>
        <row r="53">
          <cell r="A53" t="str">
            <v>MR06263000</v>
          </cell>
          <cell r="B53" t="str">
            <v>Mobile Telephone Service</v>
          </cell>
          <cell r="C53">
            <v>20</v>
          </cell>
          <cell r="D53">
            <v>20</v>
          </cell>
          <cell r="E53">
            <v>20</v>
          </cell>
          <cell r="F53">
            <v>20</v>
          </cell>
          <cell r="G53">
            <v>20</v>
          </cell>
          <cell r="H53">
            <v>20</v>
          </cell>
          <cell r="I53">
            <v>20</v>
          </cell>
          <cell r="J53">
            <v>20</v>
          </cell>
          <cell r="K53">
            <v>20</v>
          </cell>
          <cell r="L53">
            <v>20</v>
          </cell>
          <cell r="M53">
            <v>20</v>
          </cell>
          <cell r="N53">
            <v>20</v>
          </cell>
          <cell r="O53">
            <v>240</v>
          </cell>
        </row>
        <row r="54">
          <cell r="A54" t="str">
            <v>MR06265000</v>
          </cell>
          <cell r="B54" t="str">
            <v>Paging Systems</v>
          </cell>
          <cell r="C54">
            <v>35</v>
          </cell>
          <cell r="D54">
            <v>35</v>
          </cell>
          <cell r="E54">
            <v>35</v>
          </cell>
          <cell r="F54">
            <v>35</v>
          </cell>
          <cell r="G54">
            <v>35</v>
          </cell>
          <cell r="H54">
            <v>35</v>
          </cell>
          <cell r="I54">
            <v>35</v>
          </cell>
          <cell r="J54">
            <v>35</v>
          </cell>
          <cell r="K54">
            <v>35</v>
          </cell>
          <cell r="L54">
            <v>35</v>
          </cell>
          <cell r="M54">
            <v>35</v>
          </cell>
          <cell r="N54">
            <v>35</v>
          </cell>
          <cell r="O54">
            <v>420</v>
          </cell>
        </row>
        <row r="55">
          <cell r="A55" t="str">
            <v>MR06270000</v>
          </cell>
          <cell r="B55" t="str">
            <v>Meals &amp; Entertainment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400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400</v>
          </cell>
        </row>
        <row r="56">
          <cell r="A56" t="str">
            <v>MR06275000</v>
          </cell>
          <cell r="B56" t="str">
            <v>Travel/Vehicle Expense</v>
          </cell>
          <cell r="C56">
            <v>25</v>
          </cell>
          <cell r="D56">
            <v>25</v>
          </cell>
          <cell r="E56">
            <v>25</v>
          </cell>
          <cell r="F56">
            <v>25</v>
          </cell>
          <cell r="G56">
            <v>25</v>
          </cell>
          <cell r="H56">
            <v>25</v>
          </cell>
          <cell r="I56">
            <v>25</v>
          </cell>
          <cell r="J56">
            <v>25</v>
          </cell>
          <cell r="K56">
            <v>25</v>
          </cell>
          <cell r="L56">
            <v>25</v>
          </cell>
          <cell r="M56">
            <v>25</v>
          </cell>
          <cell r="N56">
            <v>25</v>
          </cell>
          <cell r="O56">
            <v>300</v>
          </cell>
        </row>
        <row r="57">
          <cell r="A57" t="str">
            <v>MR06280000</v>
          </cell>
          <cell r="B57" t="str">
            <v>Travel/Other</v>
          </cell>
          <cell r="C57">
            <v>200</v>
          </cell>
          <cell r="D57">
            <v>200</v>
          </cell>
          <cell r="E57">
            <v>200</v>
          </cell>
          <cell r="F57">
            <v>200</v>
          </cell>
          <cell r="G57">
            <v>200</v>
          </cell>
          <cell r="H57">
            <v>200</v>
          </cell>
          <cell r="I57">
            <v>200</v>
          </cell>
          <cell r="J57">
            <v>200</v>
          </cell>
          <cell r="K57">
            <v>200</v>
          </cell>
          <cell r="L57">
            <v>200</v>
          </cell>
          <cell r="M57">
            <v>200</v>
          </cell>
          <cell r="N57">
            <v>200</v>
          </cell>
          <cell r="O57">
            <v>2400</v>
          </cell>
        </row>
        <row r="58">
          <cell r="A58" t="str">
            <v>MR06285000</v>
          </cell>
          <cell r="B58" t="str">
            <v>Income/Activity Fee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-99180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-99180</v>
          </cell>
        </row>
        <row r="59">
          <cell r="A59" t="str">
            <v>MR06286000</v>
          </cell>
          <cell r="B59" t="str">
            <v>Bus/Truck Expense</v>
          </cell>
          <cell r="C59">
            <v>6050</v>
          </cell>
          <cell r="D59">
            <v>6050</v>
          </cell>
          <cell r="E59">
            <v>6050</v>
          </cell>
          <cell r="F59">
            <v>6050</v>
          </cell>
          <cell r="G59">
            <v>6050</v>
          </cell>
          <cell r="H59">
            <v>6050</v>
          </cell>
          <cell r="I59">
            <v>6050</v>
          </cell>
          <cell r="J59">
            <v>6050</v>
          </cell>
          <cell r="K59">
            <v>6050</v>
          </cell>
          <cell r="L59">
            <v>6050</v>
          </cell>
          <cell r="M59">
            <v>6050</v>
          </cell>
          <cell r="N59">
            <v>6050</v>
          </cell>
          <cell r="O59">
            <v>72600</v>
          </cell>
        </row>
        <row r="60">
          <cell r="A60" t="str">
            <v>MR06290000</v>
          </cell>
          <cell r="B60" t="str">
            <v>Management Fees</v>
          </cell>
          <cell r="C60">
            <v>10711</v>
          </cell>
          <cell r="D60">
            <v>10621</v>
          </cell>
          <cell r="E60">
            <v>10583</v>
          </cell>
          <cell r="F60">
            <v>10581</v>
          </cell>
          <cell r="G60">
            <v>10538</v>
          </cell>
          <cell r="H60">
            <v>10514</v>
          </cell>
          <cell r="I60">
            <v>10498</v>
          </cell>
          <cell r="J60">
            <v>10365</v>
          </cell>
          <cell r="K60">
            <v>10287</v>
          </cell>
          <cell r="L60">
            <v>10287</v>
          </cell>
          <cell r="M60">
            <v>10425</v>
          </cell>
          <cell r="N60">
            <v>10387</v>
          </cell>
          <cell r="O60">
            <v>125797</v>
          </cell>
        </row>
        <row r="61">
          <cell r="A61" t="str">
            <v>MR06291000</v>
          </cell>
          <cell r="B61" t="str">
            <v>Other Administrative</v>
          </cell>
          <cell r="C61">
            <v>100</v>
          </cell>
          <cell r="D61">
            <v>100</v>
          </cell>
          <cell r="E61">
            <v>50</v>
          </cell>
          <cell r="F61">
            <v>100</v>
          </cell>
          <cell r="G61">
            <v>100</v>
          </cell>
          <cell r="H61">
            <v>100</v>
          </cell>
          <cell r="I61">
            <v>50</v>
          </cell>
          <cell r="J61">
            <v>50</v>
          </cell>
          <cell r="K61">
            <v>50</v>
          </cell>
          <cell r="L61">
            <v>100</v>
          </cell>
          <cell r="M61">
            <v>100</v>
          </cell>
          <cell r="N61">
            <v>100</v>
          </cell>
          <cell r="O61">
            <v>1000</v>
          </cell>
        </row>
        <row r="62">
          <cell r="A62" t="str">
            <v>MR06295000</v>
          </cell>
          <cell r="B62" t="str">
            <v>Reimbursed Expense</v>
          </cell>
          <cell r="C62">
            <v>100</v>
          </cell>
          <cell r="D62">
            <v>100</v>
          </cell>
          <cell r="E62">
            <v>100</v>
          </cell>
          <cell r="F62">
            <v>100</v>
          </cell>
          <cell r="G62">
            <v>100</v>
          </cell>
          <cell r="H62">
            <v>100</v>
          </cell>
          <cell r="I62">
            <v>100</v>
          </cell>
          <cell r="J62">
            <v>100</v>
          </cell>
          <cell r="K62">
            <v>100</v>
          </cell>
          <cell r="L62">
            <v>100</v>
          </cell>
          <cell r="M62">
            <v>100</v>
          </cell>
          <cell r="N62">
            <v>100</v>
          </cell>
          <cell r="O62">
            <v>1200</v>
          </cell>
        </row>
        <row r="63">
          <cell r="A63" t="str">
            <v>MR06296000</v>
          </cell>
          <cell r="B63" t="str">
            <v>Temporary Help-Consulting</v>
          </cell>
          <cell r="C63">
            <v>125</v>
          </cell>
          <cell r="D63">
            <v>125</v>
          </cell>
          <cell r="E63">
            <v>125</v>
          </cell>
          <cell r="F63">
            <v>125</v>
          </cell>
          <cell r="G63">
            <v>125</v>
          </cell>
          <cell r="H63">
            <v>125</v>
          </cell>
          <cell r="I63">
            <v>125</v>
          </cell>
          <cell r="J63">
            <v>125</v>
          </cell>
          <cell r="K63">
            <v>125</v>
          </cell>
          <cell r="L63">
            <v>125</v>
          </cell>
          <cell r="M63">
            <v>125</v>
          </cell>
          <cell r="N63">
            <v>125</v>
          </cell>
          <cell r="O63">
            <v>1500</v>
          </cell>
        </row>
        <row r="64">
          <cell r="A64" t="str">
            <v>MR06310000</v>
          </cell>
          <cell r="B64" t="str">
            <v>Cable TV</v>
          </cell>
          <cell r="C64">
            <v>4755</v>
          </cell>
          <cell r="D64">
            <v>4755</v>
          </cell>
          <cell r="E64">
            <v>4755</v>
          </cell>
          <cell r="F64">
            <v>4755</v>
          </cell>
          <cell r="G64">
            <v>4755</v>
          </cell>
          <cell r="H64">
            <v>4755</v>
          </cell>
          <cell r="I64">
            <v>4755</v>
          </cell>
          <cell r="J64">
            <v>4755</v>
          </cell>
          <cell r="K64">
            <v>4755</v>
          </cell>
          <cell r="L64">
            <v>4755</v>
          </cell>
          <cell r="M64">
            <v>4755</v>
          </cell>
          <cell r="N64">
            <v>4755</v>
          </cell>
          <cell r="O64">
            <v>57060</v>
          </cell>
        </row>
        <row r="65">
          <cell r="A65" t="str">
            <v>MR06320000</v>
          </cell>
          <cell r="B65" t="str">
            <v>Pool/Hot Tub</v>
          </cell>
          <cell r="C65">
            <v>150</v>
          </cell>
          <cell r="D65">
            <v>150</v>
          </cell>
          <cell r="E65">
            <v>150</v>
          </cell>
          <cell r="F65">
            <v>150</v>
          </cell>
          <cell r="G65">
            <v>2000</v>
          </cell>
          <cell r="H65">
            <v>700</v>
          </cell>
          <cell r="I65">
            <v>500</v>
          </cell>
          <cell r="J65">
            <v>500</v>
          </cell>
          <cell r="K65">
            <v>700</v>
          </cell>
          <cell r="L65">
            <v>150</v>
          </cell>
          <cell r="M65">
            <v>150</v>
          </cell>
          <cell r="N65">
            <v>150</v>
          </cell>
          <cell r="O65">
            <v>5450</v>
          </cell>
        </row>
        <row r="66">
          <cell r="A66" t="str">
            <v>MR06325000</v>
          </cell>
          <cell r="B66" t="str">
            <v>Recreational Courts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200</v>
          </cell>
          <cell r="H66">
            <v>200</v>
          </cell>
          <cell r="I66">
            <v>200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600</v>
          </cell>
        </row>
        <row r="67">
          <cell r="A67" t="str">
            <v>MR06330000</v>
          </cell>
          <cell r="B67" t="str">
            <v>Parking Lot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300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300</v>
          </cell>
        </row>
        <row r="68">
          <cell r="A68" t="str">
            <v>MR06340000</v>
          </cell>
          <cell r="B68" t="str">
            <v>Exterminating</v>
          </cell>
          <cell r="C68">
            <v>260</v>
          </cell>
          <cell r="D68">
            <v>260</v>
          </cell>
          <cell r="E68">
            <v>260</v>
          </cell>
          <cell r="F68">
            <v>260</v>
          </cell>
          <cell r="G68">
            <v>260</v>
          </cell>
          <cell r="H68">
            <v>260</v>
          </cell>
          <cell r="I68">
            <v>260</v>
          </cell>
          <cell r="J68">
            <v>260</v>
          </cell>
          <cell r="K68">
            <v>260</v>
          </cell>
          <cell r="L68">
            <v>260</v>
          </cell>
          <cell r="M68">
            <v>260</v>
          </cell>
          <cell r="N68">
            <v>260</v>
          </cell>
          <cell r="O68">
            <v>3120</v>
          </cell>
        </row>
        <row r="69">
          <cell r="A69" t="str">
            <v>MR06350000</v>
          </cell>
          <cell r="B69" t="str">
            <v>Garbage</v>
          </cell>
          <cell r="C69">
            <v>1700</v>
          </cell>
          <cell r="D69">
            <v>2038</v>
          </cell>
          <cell r="E69">
            <v>1700</v>
          </cell>
          <cell r="F69">
            <v>2038</v>
          </cell>
          <cell r="G69">
            <v>1700</v>
          </cell>
          <cell r="H69">
            <v>2038</v>
          </cell>
          <cell r="I69">
            <v>1700</v>
          </cell>
          <cell r="J69">
            <v>2038</v>
          </cell>
          <cell r="K69">
            <v>4200</v>
          </cell>
          <cell r="L69">
            <v>2038</v>
          </cell>
          <cell r="M69">
            <v>1700</v>
          </cell>
          <cell r="N69">
            <v>2038</v>
          </cell>
          <cell r="O69">
            <v>24928</v>
          </cell>
        </row>
        <row r="70">
          <cell r="A70" t="str">
            <v>MR06360000</v>
          </cell>
          <cell r="B70" t="str">
            <v>General Cleaning</v>
          </cell>
          <cell r="C70">
            <v>450</v>
          </cell>
          <cell r="D70">
            <v>450</v>
          </cell>
          <cell r="E70">
            <v>450</v>
          </cell>
          <cell r="F70">
            <v>450</v>
          </cell>
          <cell r="G70">
            <v>450</v>
          </cell>
          <cell r="H70">
            <v>450</v>
          </cell>
          <cell r="I70">
            <v>450</v>
          </cell>
          <cell r="J70">
            <v>450</v>
          </cell>
          <cell r="K70">
            <v>450</v>
          </cell>
          <cell r="L70">
            <v>450</v>
          </cell>
          <cell r="M70">
            <v>450</v>
          </cell>
          <cell r="N70">
            <v>450</v>
          </cell>
          <cell r="O70">
            <v>5400</v>
          </cell>
        </row>
        <row r="71">
          <cell r="A71" t="str">
            <v>MR06365000</v>
          </cell>
          <cell r="B71" t="str">
            <v>Uniforms</v>
          </cell>
          <cell r="C71">
            <v>3000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3000</v>
          </cell>
        </row>
        <row r="72">
          <cell r="A72" t="str">
            <v>MR06375000</v>
          </cell>
          <cell r="B72" t="str">
            <v>C/A Equipment</v>
          </cell>
          <cell r="C72">
            <v>0</v>
          </cell>
          <cell r="D72">
            <v>350</v>
          </cell>
          <cell r="E72">
            <v>0</v>
          </cell>
          <cell r="F72">
            <v>0</v>
          </cell>
          <cell r="G72">
            <v>100</v>
          </cell>
          <cell r="H72">
            <v>100</v>
          </cell>
          <cell r="I72">
            <v>100</v>
          </cell>
          <cell r="J72">
            <v>0</v>
          </cell>
          <cell r="K72">
            <v>300</v>
          </cell>
          <cell r="L72">
            <v>0</v>
          </cell>
          <cell r="M72">
            <v>50</v>
          </cell>
          <cell r="N72">
            <v>100</v>
          </cell>
          <cell r="O72">
            <v>1100</v>
          </cell>
        </row>
        <row r="73">
          <cell r="A73" t="str">
            <v>MR06385000</v>
          </cell>
          <cell r="B73" t="str">
            <v>Security Systems</v>
          </cell>
          <cell r="C73">
            <v>45</v>
          </cell>
          <cell r="D73">
            <v>45</v>
          </cell>
          <cell r="E73">
            <v>45</v>
          </cell>
          <cell r="F73">
            <v>45</v>
          </cell>
          <cell r="G73">
            <v>45</v>
          </cell>
          <cell r="H73">
            <v>45</v>
          </cell>
          <cell r="I73">
            <v>45</v>
          </cell>
          <cell r="J73">
            <v>45</v>
          </cell>
          <cell r="K73">
            <v>45</v>
          </cell>
          <cell r="L73">
            <v>45</v>
          </cell>
          <cell r="M73">
            <v>45</v>
          </cell>
          <cell r="N73">
            <v>45</v>
          </cell>
          <cell r="O73">
            <v>540</v>
          </cell>
        </row>
        <row r="74">
          <cell r="A74" t="str">
            <v>MR06415000</v>
          </cell>
          <cell r="B74" t="str">
            <v>Landscaping Maintenance</v>
          </cell>
          <cell r="C74">
            <v>0</v>
          </cell>
          <cell r="D74">
            <v>0</v>
          </cell>
          <cell r="E74">
            <v>3560</v>
          </cell>
          <cell r="F74">
            <v>3560</v>
          </cell>
          <cell r="G74">
            <v>3560</v>
          </cell>
          <cell r="H74">
            <v>3560</v>
          </cell>
          <cell r="I74">
            <v>3560</v>
          </cell>
          <cell r="J74">
            <v>3560</v>
          </cell>
          <cell r="K74">
            <v>3560</v>
          </cell>
          <cell r="L74">
            <v>3560</v>
          </cell>
          <cell r="M74">
            <v>3560</v>
          </cell>
          <cell r="N74">
            <v>0</v>
          </cell>
          <cell r="O74">
            <v>32040</v>
          </cell>
        </row>
        <row r="75">
          <cell r="A75" t="str">
            <v>MR06420000</v>
          </cell>
          <cell r="B75" t="str">
            <v>Snow Removal</v>
          </cell>
          <cell r="C75">
            <v>3875</v>
          </cell>
          <cell r="D75">
            <v>3875</v>
          </cell>
          <cell r="E75">
            <v>3875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3875</v>
          </cell>
          <cell r="N75">
            <v>3875</v>
          </cell>
          <cell r="O75">
            <v>19375</v>
          </cell>
        </row>
        <row r="76">
          <cell r="A76" t="str">
            <v>MR06425000</v>
          </cell>
          <cell r="B76" t="str">
            <v>Tree/Shrub Replacement</v>
          </cell>
          <cell r="C76">
            <v>0</v>
          </cell>
          <cell r="D76">
            <v>0</v>
          </cell>
          <cell r="E76">
            <v>0</v>
          </cell>
          <cell r="F76">
            <v>300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300</v>
          </cell>
          <cell r="M76">
            <v>0</v>
          </cell>
          <cell r="N76">
            <v>0</v>
          </cell>
          <cell r="O76">
            <v>600</v>
          </cell>
        </row>
        <row r="77">
          <cell r="A77" t="str">
            <v>MR06490000</v>
          </cell>
          <cell r="B77" t="str">
            <v>Miscellaneous</v>
          </cell>
          <cell r="C77">
            <v>50</v>
          </cell>
          <cell r="D77">
            <v>50</v>
          </cell>
          <cell r="E77">
            <v>50</v>
          </cell>
          <cell r="F77">
            <v>50</v>
          </cell>
          <cell r="G77">
            <v>50</v>
          </cell>
          <cell r="H77">
            <v>50</v>
          </cell>
          <cell r="I77">
            <v>50</v>
          </cell>
          <cell r="J77">
            <v>50</v>
          </cell>
          <cell r="K77">
            <v>50</v>
          </cell>
          <cell r="L77">
            <v>50</v>
          </cell>
          <cell r="M77">
            <v>50</v>
          </cell>
          <cell r="N77">
            <v>50</v>
          </cell>
          <cell r="O77">
            <v>600</v>
          </cell>
        </row>
        <row r="78">
          <cell r="A78" t="str">
            <v>MR06510001</v>
          </cell>
          <cell r="B78" t="str">
            <v>Electricity Common Area</v>
          </cell>
          <cell r="C78">
            <v>2560</v>
          </cell>
          <cell r="D78">
            <v>2360</v>
          </cell>
          <cell r="E78">
            <v>2360</v>
          </cell>
          <cell r="F78">
            <v>2560</v>
          </cell>
          <cell r="G78">
            <v>2360</v>
          </cell>
          <cell r="H78">
            <v>2360</v>
          </cell>
          <cell r="I78">
            <v>2800</v>
          </cell>
          <cell r="J78">
            <v>2800</v>
          </cell>
          <cell r="K78">
            <v>2800</v>
          </cell>
          <cell r="L78">
            <v>2360</v>
          </cell>
          <cell r="M78">
            <v>2360</v>
          </cell>
          <cell r="N78">
            <v>2360</v>
          </cell>
          <cell r="O78">
            <v>30040</v>
          </cell>
        </row>
        <row r="79">
          <cell r="A79" t="str">
            <v>MR06510003</v>
          </cell>
          <cell r="B79" t="str">
            <v>Electricity/Vacant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3000</v>
          </cell>
          <cell r="K79">
            <v>2000</v>
          </cell>
          <cell r="L79">
            <v>0</v>
          </cell>
          <cell r="M79">
            <v>0</v>
          </cell>
          <cell r="N79">
            <v>0</v>
          </cell>
          <cell r="O79">
            <v>5000</v>
          </cell>
        </row>
        <row r="80">
          <cell r="A80" t="str">
            <v>MR06520000</v>
          </cell>
          <cell r="B80" t="str">
            <v>Water</v>
          </cell>
          <cell r="C80">
            <v>0</v>
          </cell>
          <cell r="D80">
            <v>0</v>
          </cell>
          <cell r="E80">
            <v>14000</v>
          </cell>
          <cell r="F80">
            <v>0</v>
          </cell>
          <cell r="G80">
            <v>0</v>
          </cell>
          <cell r="H80">
            <v>14000</v>
          </cell>
          <cell r="I80">
            <v>0</v>
          </cell>
          <cell r="J80">
            <v>0</v>
          </cell>
          <cell r="K80">
            <v>14000</v>
          </cell>
          <cell r="L80">
            <v>0</v>
          </cell>
          <cell r="M80">
            <v>0</v>
          </cell>
          <cell r="N80">
            <v>14000</v>
          </cell>
          <cell r="O80">
            <v>56000</v>
          </cell>
        </row>
        <row r="81">
          <cell r="A81" t="str">
            <v>MR06530000</v>
          </cell>
          <cell r="B81" t="str">
            <v>Sewer</v>
          </cell>
          <cell r="C81">
            <v>0</v>
          </cell>
          <cell r="D81">
            <v>12978</v>
          </cell>
          <cell r="E81">
            <v>0</v>
          </cell>
          <cell r="F81">
            <v>0</v>
          </cell>
          <cell r="G81">
            <v>12978</v>
          </cell>
          <cell r="H81">
            <v>0</v>
          </cell>
          <cell r="I81">
            <v>0</v>
          </cell>
          <cell r="J81">
            <v>12978</v>
          </cell>
          <cell r="K81">
            <v>0</v>
          </cell>
          <cell r="L81">
            <v>0</v>
          </cell>
          <cell r="M81">
            <v>12978</v>
          </cell>
          <cell r="N81">
            <v>0</v>
          </cell>
          <cell r="O81">
            <v>51912</v>
          </cell>
        </row>
        <row r="82">
          <cell r="A82" t="str">
            <v>MR06540001</v>
          </cell>
          <cell r="B82" t="str">
            <v>Gas/Common Area</v>
          </cell>
          <cell r="C82">
            <v>1500</v>
          </cell>
          <cell r="D82">
            <v>1500</v>
          </cell>
          <cell r="E82">
            <v>1500</v>
          </cell>
          <cell r="F82">
            <v>1300</v>
          </cell>
          <cell r="G82">
            <v>700</v>
          </cell>
          <cell r="H82">
            <v>700</v>
          </cell>
          <cell r="I82">
            <v>600</v>
          </cell>
          <cell r="J82">
            <v>600</v>
          </cell>
          <cell r="K82">
            <v>600</v>
          </cell>
          <cell r="L82">
            <v>1200</v>
          </cell>
          <cell r="M82">
            <v>1300</v>
          </cell>
          <cell r="N82">
            <v>1500</v>
          </cell>
          <cell r="O82">
            <v>13000</v>
          </cell>
        </row>
        <row r="83">
          <cell r="A83" t="str">
            <v>MR06540003</v>
          </cell>
          <cell r="B83" t="str">
            <v>Gas/Vacant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3500</v>
          </cell>
          <cell r="L83">
            <v>0</v>
          </cell>
          <cell r="M83">
            <v>0</v>
          </cell>
          <cell r="N83">
            <v>0</v>
          </cell>
          <cell r="O83">
            <v>3500</v>
          </cell>
        </row>
        <row r="84">
          <cell r="A84" t="str">
            <v>MR06610001</v>
          </cell>
          <cell r="B84" t="str">
            <v>Interior Paint/Supplies</v>
          </cell>
          <cell r="C84">
            <v>100</v>
          </cell>
          <cell r="D84">
            <v>100</v>
          </cell>
          <cell r="E84">
            <v>200</v>
          </cell>
          <cell r="F84">
            <v>1300</v>
          </cell>
          <cell r="G84">
            <v>1300</v>
          </cell>
          <cell r="H84">
            <v>1300</v>
          </cell>
          <cell r="I84">
            <v>1300</v>
          </cell>
          <cell r="J84">
            <v>400</v>
          </cell>
          <cell r="K84">
            <v>400</v>
          </cell>
          <cell r="L84">
            <v>0</v>
          </cell>
          <cell r="M84">
            <v>0</v>
          </cell>
          <cell r="N84">
            <v>0</v>
          </cell>
          <cell r="O84">
            <v>6400</v>
          </cell>
        </row>
        <row r="85">
          <cell r="A85" t="str">
            <v>MR06620000</v>
          </cell>
          <cell r="B85" t="str">
            <v>Blinds/Drapes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5000</v>
          </cell>
          <cell r="L85">
            <v>0</v>
          </cell>
          <cell r="M85">
            <v>0</v>
          </cell>
          <cell r="N85">
            <v>0</v>
          </cell>
          <cell r="O85">
            <v>5000</v>
          </cell>
        </row>
        <row r="86">
          <cell r="A86" t="str">
            <v>MR06630001</v>
          </cell>
          <cell r="B86" t="str">
            <v>Carpet/Tile Clean-Repair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10500</v>
          </cell>
          <cell r="L86">
            <v>0</v>
          </cell>
          <cell r="M86">
            <v>0</v>
          </cell>
          <cell r="N86">
            <v>0</v>
          </cell>
          <cell r="O86">
            <v>10500</v>
          </cell>
        </row>
        <row r="87">
          <cell r="A87" t="str">
            <v>MR06640000</v>
          </cell>
          <cell r="B87" t="str">
            <v>Interior Repairs</v>
          </cell>
          <cell r="C87">
            <v>200</v>
          </cell>
          <cell r="D87">
            <v>0</v>
          </cell>
          <cell r="E87">
            <v>0</v>
          </cell>
          <cell r="F87">
            <v>300</v>
          </cell>
          <cell r="G87">
            <v>200</v>
          </cell>
          <cell r="H87">
            <v>1000</v>
          </cell>
          <cell r="I87">
            <v>0</v>
          </cell>
          <cell r="J87">
            <v>5000</v>
          </cell>
          <cell r="K87">
            <v>0</v>
          </cell>
          <cell r="L87">
            <v>0</v>
          </cell>
          <cell r="M87">
            <v>100</v>
          </cell>
          <cell r="N87">
            <v>0</v>
          </cell>
          <cell r="O87">
            <v>6800</v>
          </cell>
        </row>
        <row r="88">
          <cell r="A88" t="str">
            <v>MR06650001</v>
          </cell>
          <cell r="B88" t="str">
            <v>Interior Cleaning Contracts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35000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35000</v>
          </cell>
        </row>
        <row r="89">
          <cell r="A89" t="str">
            <v>MR06650002</v>
          </cell>
          <cell r="B89" t="str">
            <v>Interior Cleaning Supplies</v>
          </cell>
          <cell r="C89">
            <v>250</v>
          </cell>
          <cell r="D89">
            <v>100</v>
          </cell>
          <cell r="E89">
            <v>250</v>
          </cell>
          <cell r="F89">
            <v>250</v>
          </cell>
          <cell r="G89">
            <v>250</v>
          </cell>
          <cell r="H89">
            <v>300</v>
          </cell>
          <cell r="I89">
            <v>350</v>
          </cell>
          <cell r="J89">
            <v>300</v>
          </cell>
          <cell r="K89">
            <v>100</v>
          </cell>
          <cell r="L89">
            <v>100</v>
          </cell>
          <cell r="M89">
            <v>100</v>
          </cell>
          <cell r="N89">
            <v>250</v>
          </cell>
          <cell r="O89">
            <v>2600</v>
          </cell>
        </row>
        <row r="90">
          <cell r="A90" t="str">
            <v>MR06670000</v>
          </cell>
          <cell r="B90" t="str">
            <v>Income/Tenant Repair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-5000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-5000</v>
          </cell>
        </row>
        <row r="91">
          <cell r="A91" t="str">
            <v>MR06680000</v>
          </cell>
          <cell r="B91" t="str">
            <v>Income/Janitorial Service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-30000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-30000</v>
          </cell>
        </row>
        <row r="92">
          <cell r="A92" t="str">
            <v>MR06710000</v>
          </cell>
          <cell r="B92" t="str">
            <v>Building/Electrical</v>
          </cell>
          <cell r="C92">
            <v>225</v>
          </cell>
          <cell r="D92">
            <v>225</v>
          </cell>
          <cell r="E92">
            <v>225</v>
          </cell>
          <cell r="F92">
            <v>225</v>
          </cell>
          <cell r="G92">
            <v>225</v>
          </cell>
          <cell r="H92">
            <v>225</v>
          </cell>
          <cell r="I92">
            <v>225</v>
          </cell>
          <cell r="J92">
            <v>225</v>
          </cell>
          <cell r="K92">
            <v>225</v>
          </cell>
          <cell r="L92">
            <v>225</v>
          </cell>
          <cell r="M92">
            <v>225</v>
          </cell>
          <cell r="N92">
            <v>225</v>
          </cell>
          <cell r="O92">
            <v>2700</v>
          </cell>
        </row>
        <row r="93">
          <cell r="A93" t="str">
            <v>MR06715000</v>
          </cell>
          <cell r="B93" t="str">
            <v>Plumbing</v>
          </cell>
          <cell r="C93">
            <v>225</v>
          </cell>
          <cell r="D93">
            <v>225</v>
          </cell>
          <cell r="E93">
            <v>225</v>
          </cell>
          <cell r="F93">
            <v>225</v>
          </cell>
          <cell r="G93">
            <v>225</v>
          </cell>
          <cell r="H93">
            <v>225</v>
          </cell>
          <cell r="I93">
            <v>225</v>
          </cell>
          <cell r="J93">
            <v>225</v>
          </cell>
          <cell r="K93">
            <v>225</v>
          </cell>
          <cell r="L93">
            <v>225</v>
          </cell>
          <cell r="M93">
            <v>225</v>
          </cell>
          <cell r="N93">
            <v>225</v>
          </cell>
          <cell r="O93">
            <v>2700</v>
          </cell>
        </row>
        <row r="94">
          <cell r="A94" t="str">
            <v>MR06740000</v>
          </cell>
          <cell r="B94" t="str">
            <v>Keys and Locks</v>
          </cell>
          <cell r="C94">
            <v>100</v>
          </cell>
          <cell r="D94">
            <v>100</v>
          </cell>
          <cell r="E94">
            <v>100</v>
          </cell>
          <cell r="F94">
            <v>100</v>
          </cell>
          <cell r="G94">
            <v>100</v>
          </cell>
          <cell r="H94">
            <v>100</v>
          </cell>
          <cell r="I94">
            <v>500</v>
          </cell>
          <cell r="J94">
            <v>100</v>
          </cell>
          <cell r="K94">
            <v>100</v>
          </cell>
          <cell r="L94">
            <v>100</v>
          </cell>
          <cell r="M94">
            <v>100</v>
          </cell>
          <cell r="N94">
            <v>100</v>
          </cell>
          <cell r="O94">
            <v>1600</v>
          </cell>
        </row>
        <row r="95">
          <cell r="A95" t="str">
            <v>MR06745000</v>
          </cell>
          <cell r="B95" t="str">
            <v>HVAC Repair</v>
          </cell>
          <cell r="C95">
            <v>0</v>
          </cell>
          <cell r="D95">
            <v>0</v>
          </cell>
          <cell r="E95">
            <v>0</v>
          </cell>
          <cell r="F95">
            <v>250</v>
          </cell>
          <cell r="G95">
            <v>250</v>
          </cell>
          <cell r="H95">
            <v>350</v>
          </cell>
          <cell r="I95">
            <v>350</v>
          </cell>
          <cell r="J95">
            <v>350</v>
          </cell>
          <cell r="K95">
            <v>350</v>
          </cell>
          <cell r="L95">
            <v>0</v>
          </cell>
          <cell r="M95">
            <v>0</v>
          </cell>
          <cell r="N95">
            <v>0</v>
          </cell>
          <cell r="O95">
            <v>1900</v>
          </cell>
        </row>
        <row r="96">
          <cell r="A96" t="str">
            <v>MR06755000</v>
          </cell>
          <cell r="B96" t="str">
            <v>Appliance Repair</v>
          </cell>
          <cell r="C96">
            <v>240</v>
          </cell>
          <cell r="D96">
            <v>240</v>
          </cell>
          <cell r="E96">
            <v>240</v>
          </cell>
          <cell r="F96">
            <v>240</v>
          </cell>
          <cell r="G96">
            <v>240</v>
          </cell>
          <cell r="H96">
            <v>240</v>
          </cell>
          <cell r="I96">
            <v>240</v>
          </cell>
          <cell r="J96">
            <v>240</v>
          </cell>
          <cell r="K96">
            <v>240</v>
          </cell>
          <cell r="L96">
            <v>240</v>
          </cell>
          <cell r="M96">
            <v>240</v>
          </cell>
          <cell r="N96">
            <v>240</v>
          </cell>
          <cell r="O96">
            <v>2880</v>
          </cell>
        </row>
        <row r="97">
          <cell r="A97" t="str">
            <v>MR06760000</v>
          </cell>
          <cell r="B97" t="str">
            <v>Bldg./Exterior Cleaning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100</v>
          </cell>
          <cell r="H97">
            <v>100</v>
          </cell>
          <cell r="I97">
            <v>100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300</v>
          </cell>
        </row>
        <row r="98">
          <cell r="A98" t="str">
            <v>MR06765000</v>
          </cell>
          <cell r="B98" t="str">
            <v>Fire and Safety</v>
          </cell>
          <cell r="C98">
            <v>1800</v>
          </cell>
          <cell r="D98">
            <v>800</v>
          </cell>
          <cell r="E98">
            <v>50</v>
          </cell>
          <cell r="F98">
            <v>50</v>
          </cell>
          <cell r="G98">
            <v>50</v>
          </cell>
          <cell r="H98">
            <v>800</v>
          </cell>
          <cell r="I98">
            <v>50</v>
          </cell>
          <cell r="J98">
            <v>50</v>
          </cell>
          <cell r="K98">
            <v>50</v>
          </cell>
          <cell r="L98">
            <v>1000</v>
          </cell>
          <cell r="M98">
            <v>50</v>
          </cell>
          <cell r="N98">
            <v>50</v>
          </cell>
          <cell r="O98">
            <v>4800</v>
          </cell>
        </row>
        <row r="99">
          <cell r="A99" t="str">
            <v>MR06770000</v>
          </cell>
          <cell r="B99" t="str">
            <v>Light Bulbs</v>
          </cell>
          <cell r="C99">
            <v>100</v>
          </cell>
          <cell r="D99">
            <v>300</v>
          </cell>
          <cell r="E99">
            <v>0</v>
          </cell>
          <cell r="F99">
            <v>100</v>
          </cell>
          <cell r="G99">
            <v>0</v>
          </cell>
          <cell r="H99">
            <v>100</v>
          </cell>
          <cell r="I99">
            <v>400</v>
          </cell>
          <cell r="J99">
            <v>100</v>
          </cell>
          <cell r="K99">
            <v>300</v>
          </cell>
          <cell r="L99">
            <v>100</v>
          </cell>
          <cell r="M99">
            <v>0</v>
          </cell>
          <cell r="N99">
            <v>0</v>
          </cell>
          <cell r="O99">
            <v>1500</v>
          </cell>
        </row>
        <row r="100">
          <cell r="A100" t="str">
            <v>MR06775000</v>
          </cell>
          <cell r="B100" t="str">
            <v>Equipment Tools</v>
          </cell>
          <cell r="C100">
            <v>300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300</v>
          </cell>
        </row>
        <row r="101">
          <cell r="A101" t="str">
            <v>MR06780000</v>
          </cell>
          <cell r="B101" t="str">
            <v>Windows/Screens</v>
          </cell>
          <cell r="C101">
            <v>0</v>
          </cell>
          <cell r="D101">
            <v>0</v>
          </cell>
          <cell r="E101">
            <v>0</v>
          </cell>
          <cell r="F101">
            <v>100</v>
          </cell>
          <cell r="G101">
            <v>0</v>
          </cell>
          <cell r="H101">
            <v>300</v>
          </cell>
          <cell r="I101">
            <v>300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700</v>
          </cell>
        </row>
        <row r="102">
          <cell r="A102" t="str">
            <v>MR06795000</v>
          </cell>
          <cell r="B102" t="str">
            <v>Other Maintenance</v>
          </cell>
          <cell r="C102">
            <v>50</v>
          </cell>
          <cell r="D102">
            <v>50</v>
          </cell>
          <cell r="E102">
            <v>50</v>
          </cell>
          <cell r="F102">
            <v>50</v>
          </cell>
          <cell r="G102">
            <v>50</v>
          </cell>
          <cell r="H102">
            <v>50</v>
          </cell>
          <cell r="I102">
            <v>50</v>
          </cell>
          <cell r="J102">
            <v>50</v>
          </cell>
          <cell r="K102">
            <v>50</v>
          </cell>
          <cell r="L102">
            <v>50</v>
          </cell>
          <cell r="M102">
            <v>50</v>
          </cell>
          <cell r="N102">
            <v>50</v>
          </cell>
          <cell r="O102">
            <v>600</v>
          </cell>
        </row>
        <row r="103">
          <cell r="A103" t="str">
            <v>MR06810000</v>
          </cell>
          <cell r="B103" t="str">
            <v>Property Taxes</v>
          </cell>
          <cell r="C103">
            <v>17792</v>
          </cell>
          <cell r="D103">
            <v>17792</v>
          </cell>
          <cell r="E103">
            <v>17792</v>
          </cell>
          <cell r="F103">
            <v>17792</v>
          </cell>
          <cell r="G103">
            <v>17792</v>
          </cell>
          <cell r="H103">
            <v>17792</v>
          </cell>
          <cell r="I103">
            <v>17792</v>
          </cell>
          <cell r="J103">
            <v>17792</v>
          </cell>
          <cell r="K103">
            <v>17792</v>
          </cell>
          <cell r="L103">
            <v>17792</v>
          </cell>
          <cell r="M103">
            <v>17792</v>
          </cell>
          <cell r="N103">
            <v>17792</v>
          </cell>
          <cell r="O103">
            <v>213504</v>
          </cell>
        </row>
        <row r="104">
          <cell r="A104" t="str">
            <v>MR06820000</v>
          </cell>
          <cell r="B104" t="str">
            <v>Insurance</v>
          </cell>
          <cell r="C104">
            <v>3197</v>
          </cell>
          <cell r="D104">
            <v>3197</v>
          </cell>
          <cell r="E104">
            <v>3197</v>
          </cell>
          <cell r="F104">
            <v>3197</v>
          </cell>
          <cell r="G104">
            <v>3197</v>
          </cell>
          <cell r="H104">
            <v>3197</v>
          </cell>
          <cell r="I104">
            <v>4796</v>
          </cell>
          <cell r="J104">
            <v>4796</v>
          </cell>
          <cell r="K104">
            <v>4796</v>
          </cell>
          <cell r="L104">
            <v>4796</v>
          </cell>
          <cell r="M104">
            <v>4796</v>
          </cell>
          <cell r="N104">
            <v>4796</v>
          </cell>
          <cell r="O104">
            <v>47958</v>
          </cell>
        </row>
        <row r="105">
          <cell r="A105" t="str">
            <v>MR08010000</v>
          </cell>
          <cell r="B105" t="str">
            <v>PBX/Voicemail Lease</v>
          </cell>
          <cell r="C105">
            <v>3712</v>
          </cell>
          <cell r="D105">
            <v>3712</v>
          </cell>
          <cell r="E105">
            <v>3712</v>
          </cell>
          <cell r="F105">
            <v>3712</v>
          </cell>
          <cell r="G105">
            <v>3712</v>
          </cell>
          <cell r="H105">
            <v>3712</v>
          </cell>
          <cell r="I105">
            <v>3712</v>
          </cell>
          <cell r="J105">
            <v>3712</v>
          </cell>
          <cell r="K105">
            <v>3712</v>
          </cell>
          <cell r="L105">
            <v>3712</v>
          </cell>
          <cell r="M105">
            <v>3712</v>
          </cell>
          <cell r="N105">
            <v>3712</v>
          </cell>
          <cell r="O105">
            <v>44544</v>
          </cell>
        </row>
        <row r="106">
          <cell r="A106" t="str">
            <v>MR08020000</v>
          </cell>
          <cell r="B106" t="str">
            <v>Service Provider Contract Payments</v>
          </cell>
          <cell r="C106">
            <v>14820</v>
          </cell>
          <cell r="D106">
            <v>12061</v>
          </cell>
          <cell r="E106">
            <v>13371</v>
          </cell>
          <cell r="F106">
            <v>12461</v>
          </cell>
          <cell r="G106">
            <v>13420</v>
          </cell>
          <cell r="H106">
            <v>14069</v>
          </cell>
          <cell r="I106">
            <v>13783</v>
          </cell>
          <cell r="J106">
            <v>8327</v>
          </cell>
          <cell r="K106">
            <v>21447</v>
          </cell>
          <cell r="L106">
            <v>20510</v>
          </cell>
          <cell r="M106">
            <v>18720</v>
          </cell>
          <cell r="N106">
            <v>19407</v>
          </cell>
          <cell r="O106">
            <v>182396</v>
          </cell>
        </row>
        <row r="107">
          <cell r="A107" t="str">
            <v>MR99040000</v>
          </cell>
          <cell r="B107" t="str">
            <v>Capital Reserve Fundings</v>
          </cell>
          <cell r="C107">
            <v>6800</v>
          </cell>
          <cell r="D107">
            <v>6800</v>
          </cell>
          <cell r="E107">
            <v>6800</v>
          </cell>
          <cell r="F107">
            <v>6800</v>
          </cell>
          <cell r="G107">
            <v>6800</v>
          </cell>
          <cell r="H107">
            <v>6800</v>
          </cell>
          <cell r="I107">
            <v>6800</v>
          </cell>
          <cell r="J107">
            <v>6800</v>
          </cell>
          <cell r="K107">
            <v>6800</v>
          </cell>
          <cell r="L107">
            <v>6800</v>
          </cell>
          <cell r="M107">
            <v>6800</v>
          </cell>
          <cell r="N107">
            <v>6800</v>
          </cell>
          <cell r="O107">
            <v>81600</v>
          </cell>
        </row>
        <row r="108">
          <cell r="A108" t="str">
            <v>MR99110000</v>
          </cell>
          <cell r="B108" t="str">
            <v>Corporate Income Tax Expense</v>
          </cell>
          <cell r="C108">
            <v>0</v>
          </cell>
          <cell r="D108">
            <v>0</v>
          </cell>
          <cell r="E108">
            <v>200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200</v>
          </cell>
        </row>
        <row r="109">
          <cell r="A109" t="str">
            <v>MR99120000</v>
          </cell>
          <cell r="B109" t="str">
            <v>Audit and Tax Preparation Fees</v>
          </cell>
          <cell r="C109">
            <v>4995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4995</v>
          </cell>
          <cell r="O109">
            <v>9990</v>
          </cell>
        </row>
        <row r="110">
          <cell r="A110" t="str">
            <v>MR99130000</v>
          </cell>
          <cell r="B110" t="str">
            <v>Asset Management Fees</v>
          </cell>
          <cell r="C110">
            <v>8987</v>
          </cell>
          <cell r="D110">
            <v>8987</v>
          </cell>
          <cell r="E110">
            <v>8987</v>
          </cell>
          <cell r="F110">
            <v>8987</v>
          </cell>
          <cell r="G110">
            <v>8987</v>
          </cell>
          <cell r="H110">
            <v>8987</v>
          </cell>
          <cell r="I110">
            <v>8987</v>
          </cell>
          <cell r="J110">
            <v>8987</v>
          </cell>
          <cell r="K110">
            <v>8987</v>
          </cell>
          <cell r="L110">
            <v>8987</v>
          </cell>
          <cell r="M110">
            <v>8987</v>
          </cell>
          <cell r="N110">
            <v>8987</v>
          </cell>
          <cell r="O110">
            <v>107844</v>
          </cell>
        </row>
        <row r="111">
          <cell r="A111" t="str">
            <v>MR99210000</v>
          </cell>
          <cell r="B111" t="str">
            <v>Loan Principal Repayments</v>
          </cell>
          <cell r="C111">
            <v>19239</v>
          </cell>
          <cell r="D111">
            <v>19375</v>
          </cell>
          <cell r="E111">
            <v>19512</v>
          </cell>
          <cell r="F111">
            <v>19651</v>
          </cell>
          <cell r="G111">
            <v>19790</v>
          </cell>
          <cell r="H111">
            <v>19930</v>
          </cell>
          <cell r="I111">
            <v>20071</v>
          </cell>
          <cell r="J111">
            <v>20213</v>
          </cell>
          <cell r="K111">
            <v>20357</v>
          </cell>
          <cell r="L111">
            <v>20501</v>
          </cell>
          <cell r="M111">
            <v>20646</v>
          </cell>
          <cell r="N111">
            <v>20792</v>
          </cell>
          <cell r="O111">
            <v>240077</v>
          </cell>
        </row>
        <row r="112">
          <cell r="A112" t="str">
            <v>MR99220001</v>
          </cell>
          <cell r="B112" t="str">
            <v>Interest Expense</v>
          </cell>
          <cell r="C112">
            <v>85441</v>
          </cell>
          <cell r="D112">
            <v>85305</v>
          </cell>
          <cell r="E112">
            <v>85168</v>
          </cell>
          <cell r="F112">
            <v>85029</v>
          </cell>
          <cell r="G112">
            <v>84890</v>
          </cell>
          <cell r="H112">
            <v>84750</v>
          </cell>
          <cell r="I112">
            <v>84609</v>
          </cell>
          <cell r="J112">
            <v>84467</v>
          </cell>
          <cell r="K112">
            <v>84323</v>
          </cell>
          <cell r="L112">
            <v>84179</v>
          </cell>
          <cell r="M112">
            <v>84034</v>
          </cell>
          <cell r="N112">
            <v>83888</v>
          </cell>
          <cell r="O112">
            <v>1016083</v>
          </cell>
        </row>
        <row r="113">
          <cell r="A113" t="str">
            <v>MR99320000</v>
          </cell>
          <cell r="B113" t="str">
            <v>Asset Sale and Disposition Costs</v>
          </cell>
          <cell r="C113">
            <v>1250</v>
          </cell>
          <cell r="D113">
            <v>1250</v>
          </cell>
          <cell r="E113">
            <v>1250</v>
          </cell>
          <cell r="F113">
            <v>1250</v>
          </cell>
          <cell r="G113">
            <v>1250</v>
          </cell>
          <cell r="H113">
            <v>1250</v>
          </cell>
          <cell r="I113">
            <v>1250</v>
          </cell>
          <cell r="J113">
            <v>1250</v>
          </cell>
          <cell r="K113">
            <v>1250</v>
          </cell>
          <cell r="L113">
            <v>1250</v>
          </cell>
          <cell r="M113">
            <v>1250</v>
          </cell>
          <cell r="N113">
            <v>1250</v>
          </cell>
          <cell r="O113">
            <v>15000</v>
          </cell>
        </row>
        <row r="114">
          <cell r="A114" t="str">
            <v>MR99910000</v>
          </cell>
          <cell r="B114" t="str">
            <v>Depreciation</v>
          </cell>
          <cell r="C114">
            <v>53334</v>
          </cell>
          <cell r="D114">
            <v>53335</v>
          </cell>
          <cell r="E114">
            <v>55594</v>
          </cell>
          <cell r="F114">
            <v>54324</v>
          </cell>
          <cell r="G114">
            <v>49906</v>
          </cell>
          <cell r="H114">
            <v>54325</v>
          </cell>
          <cell r="I114">
            <v>54324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375142</v>
          </cell>
        </row>
        <row r="115">
          <cell r="A115" t="str">
            <v>MR99920000</v>
          </cell>
          <cell r="B115" t="str">
            <v>Amortization</v>
          </cell>
          <cell r="C115">
            <v>2213</v>
          </cell>
          <cell r="D115">
            <v>2214</v>
          </cell>
          <cell r="E115">
            <v>2361</v>
          </cell>
          <cell r="F115">
            <v>2213</v>
          </cell>
          <cell r="G115">
            <v>2214</v>
          </cell>
          <cell r="H115">
            <v>2213</v>
          </cell>
          <cell r="I115">
            <v>2213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15641</v>
          </cell>
        </row>
        <row r="116">
          <cell r="A116" t="str">
            <v>MR03010000</v>
          </cell>
        </row>
        <row r="117">
          <cell r="A117" t="str">
            <v>MR03020000</v>
          </cell>
        </row>
        <row r="118">
          <cell r="A118" t="str">
            <v>MR03030000</v>
          </cell>
        </row>
        <row r="119">
          <cell r="A119" t="str">
            <v>MR03040000</v>
          </cell>
        </row>
        <row r="120">
          <cell r="A120" t="str">
            <v>MR03060000</v>
          </cell>
        </row>
        <row r="121">
          <cell r="A121" t="str">
            <v>MR03070000</v>
          </cell>
        </row>
        <row r="122">
          <cell r="A122" t="str">
            <v>MR03080000</v>
          </cell>
        </row>
        <row r="123">
          <cell r="A123" t="str">
            <v>MR03080000</v>
          </cell>
        </row>
        <row r="124">
          <cell r="A124" t="str">
            <v>MR03090000</v>
          </cell>
        </row>
        <row r="125">
          <cell r="A125" t="str">
            <v>MR03110000</v>
          </cell>
        </row>
        <row r="126">
          <cell r="A126" t="str">
            <v>MR03115000</v>
          </cell>
        </row>
        <row r="127">
          <cell r="A127" t="str">
            <v>MR03120000</v>
          </cell>
        </row>
        <row r="128">
          <cell r="A128" t="str">
            <v>MR03130000</v>
          </cell>
        </row>
        <row r="129">
          <cell r="A129" t="str">
            <v>MR03140000</v>
          </cell>
        </row>
        <row r="130">
          <cell r="A130" t="str">
            <v>MR03150000</v>
          </cell>
        </row>
        <row r="131">
          <cell r="A131" t="str">
            <v>MR03160000</v>
          </cell>
        </row>
        <row r="132">
          <cell r="A132" t="str">
            <v>MR03210000</v>
          </cell>
        </row>
        <row r="133">
          <cell r="A133" t="str">
            <v>MR03220000</v>
          </cell>
        </row>
        <row r="134">
          <cell r="A134" t="str">
            <v>MR03230000</v>
          </cell>
        </row>
        <row r="135">
          <cell r="A135" t="str">
            <v>MR03240000</v>
          </cell>
        </row>
        <row r="136">
          <cell r="A136" t="str">
            <v>MR03250000</v>
          </cell>
        </row>
        <row r="137">
          <cell r="A137" t="str">
            <v>MR03295000</v>
          </cell>
        </row>
        <row r="138">
          <cell r="A138" t="str">
            <v>MR03305000</v>
          </cell>
        </row>
        <row r="139">
          <cell r="A139" t="str">
            <v>MR03310000</v>
          </cell>
        </row>
        <row r="140">
          <cell r="A140" t="str">
            <v>MR03315000</v>
          </cell>
        </row>
        <row r="141">
          <cell r="A141" t="str">
            <v>MR03325000</v>
          </cell>
        </row>
        <row r="142">
          <cell r="A142" t="str">
            <v>MR03330000</v>
          </cell>
        </row>
        <row r="143">
          <cell r="A143" t="str">
            <v>MR03335000</v>
          </cell>
        </row>
        <row r="144">
          <cell r="A144" t="str">
            <v>MR03340000</v>
          </cell>
        </row>
        <row r="145">
          <cell r="A145" t="str">
            <v>MR03350000</v>
          </cell>
        </row>
        <row r="146">
          <cell r="A146" t="str">
            <v>MR03385000</v>
          </cell>
        </row>
        <row r="147">
          <cell r="A147" t="str">
            <v>MR03390000</v>
          </cell>
        </row>
        <row r="148">
          <cell r="A148" t="str">
            <v>MR03395000</v>
          </cell>
        </row>
        <row r="149">
          <cell r="A149" t="str">
            <v>MR03410000</v>
          </cell>
        </row>
        <row r="150">
          <cell r="A150" t="str">
            <v>MR03415000</v>
          </cell>
        </row>
        <row r="151">
          <cell r="A151" t="str">
            <v>MR03420000</v>
          </cell>
        </row>
        <row r="152">
          <cell r="A152" t="str">
            <v>MR03425000</v>
          </cell>
        </row>
        <row r="153">
          <cell r="A153" t="str">
            <v>MR03430000</v>
          </cell>
        </row>
        <row r="154">
          <cell r="A154" t="str">
            <v>MR03435000</v>
          </cell>
        </row>
        <row r="155">
          <cell r="A155" t="str">
            <v>MR03440000</v>
          </cell>
        </row>
        <row r="156">
          <cell r="A156" t="str">
            <v>MR03445000</v>
          </cell>
        </row>
        <row r="157">
          <cell r="A157" t="str">
            <v>MR03450000</v>
          </cell>
        </row>
        <row r="158">
          <cell r="A158" t="str">
            <v>MR03495000</v>
          </cell>
        </row>
        <row r="159">
          <cell r="A159" t="str">
            <v>MR03995000</v>
          </cell>
        </row>
        <row r="160">
          <cell r="A160" t="str">
            <v>MR06005001</v>
          </cell>
        </row>
        <row r="161">
          <cell r="A161" t="str">
            <v>MR06010001</v>
          </cell>
        </row>
        <row r="162">
          <cell r="A162" t="str">
            <v>MR06010002</v>
          </cell>
        </row>
        <row r="163">
          <cell r="A163" t="str">
            <v>MR06015001</v>
          </cell>
        </row>
        <row r="164">
          <cell r="A164" t="str">
            <v>MR06015002</v>
          </cell>
        </row>
        <row r="165">
          <cell r="A165" t="str">
            <v>MR06020001</v>
          </cell>
        </row>
        <row r="166">
          <cell r="A166" t="str">
            <v>MR06025001</v>
          </cell>
        </row>
        <row r="167">
          <cell r="A167" t="str">
            <v>MR06025002</v>
          </cell>
        </row>
        <row r="168">
          <cell r="A168" t="str">
            <v>MR06030001</v>
          </cell>
        </row>
        <row r="169">
          <cell r="A169" t="str">
            <v>MR06030002</v>
          </cell>
        </row>
        <row r="170">
          <cell r="A170" t="str">
            <v>MR06035001</v>
          </cell>
        </row>
        <row r="171">
          <cell r="A171" t="str">
            <v>MR06040001</v>
          </cell>
        </row>
        <row r="172">
          <cell r="A172" t="str">
            <v>MR06045001</v>
          </cell>
        </row>
        <row r="173">
          <cell r="A173" t="str">
            <v>MR06045002</v>
          </cell>
        </row>
        <row r="174">
          <cell r="A174" t="str">
            <v>MR06045003</v>
          </cell>
        </row>
        <row r="175">
          <cell r="A175" t="str">
            <v>MR06045004</v>
          </cell>
        </row>
        <row r="176">
          <cell r="A176" t="str">
            <v>MR06045005</v>
          </cell>
        </row>
        <row r="177">
          <cell r="A177" t="str">
            <v>MR06045006</v>
          </cell>
        </row>
        <row r="178">
          <cell r="A178" t="str">
            <v>MR06045007</v>
          </cell>
        </row>
        <row r="179">
          <cell r="A179" t="str">
            <v>MR06050001</v>
          </cell>
        </row>
        <row r="180">
          <cell r="A180" t="str">
            <v>MR06055001</v>
          </cell>
        </row>
        <row r="181">
          <cell r="A181" t="str">
            <v>MR06060001</v>
          </cell>
        </row>
        <row r="182">
          <cell r="A182" t="str">
            <v>MR06065001</v>
          </cell>
        </row>
        <row r="183">
          <cell r="A183" t="str">
            <v>MR06070001</v>
          </cell>
        </row>
        <row r="184">
          <cell r="A184" t="str">
            <v>MR06070002</v>
          </cell>
        </row>
        <row r="185">
          <cell r="A185" t="str">
            <v>MR06070003</v>
          </cell>
        </row>
        <row r="186">
          <cell r="A186" t="str">
            <v>MR06070004</v>
          </cell>
        </row>
        <row r="187">
          <cell r="A187" t="str">
            <v>MR06070005</v>
          </cell>
        </row>
        <row r="188">
          <cell r="A188" t="str">
            <v>MR06070006</v>
          </cell>
        </row>
        <row r="189">
          <cell r="A189" t="str">
            <v>MR06080002</v>
          </cell>
        </row>
        <row r="190">
          <cell r="A190" t="str">
            <v>MR06080003</v>
          </cell>
        </row>
        <row r="191">
          <cell r="A191" t="str">
            <v>MR06080004</v>
          </cell>
        </row>
        <row r="192">
          <cell r="A192" t="str">
            <v>MR06080005</v>
          </cell>
        </row>
        <row r="193">
          <cell r="A193" t="str">
            <v>MR06090001</v>
          </cell>
        </row>
        <row r="194">
          <cell r="A194" t="str">
            <v>MR06090002</v>
          </cell>
        </row>
        <row r="195">
          <cell r="A195" t="str">
            <v>MR06090003</v>
          </cell>
        </row>
        <row r="196">
          <cell r="A196" t="str">
            <v>MR06090004</v>
          </cell>
        </row>
        <row r="197">
          <cell r="A197" t="str">
            <v>MR06105000</v>
          </cell>
        </row>
        <row r="198">
          <cell r="A198" t="str">
            <v>MR06110000</v>
          </cell>
        </row>
        <row r="199">
          <cell r="A199" t="str">
            <v>MR06115000</v>
          </cell>
        </row>
        <row r="200">
          <cell r="A200" t="str">
            <v>MR06120000</v>
          </cell>
        </row>
        <row r="201">
          <cell r="A201" t="str">
            <v>MR06125000</v>
          </cell>
        </row>
        <row r="202">
          <cell r="A202" t="str">
            <v>MR06130000</v>
          </cell>
        </row>
        <row r="203">
          <cell r="A203" t="str">
            <v>MR06135000</v>
          </cell>
        </row>
        <row r="204">
          <cell r="A204" t="str">
            <v>MR06140000</v>
          </cell>
        </row>
        <row r="205">
          <cell r="A205" t="str">
            <v>MR06145000</v>
          </cell>
        </row>
        <row r="206">
          <cell r="A206" t="str">
            <v>MR06150000</v>
          </cell>
        </row>
        <row r="207">
          <cell r="A207" t="str">
            <v>MR06155000</v>
          </cell>
        </row>
        <row r="208">
          <cell r="A208" t="str">
            <v>MR06160000</v>
          </cell>
        </row>
        <row r="209">
          <cell r="A209" t="str">
            <v>MR06165000</v>
          </cell>
        </row>
        <row r="210">
          <cell r="A210" t="str">
            <v>MR06170000</v>
          </cell>
        </row>
        <row r="211">
          <cell r="A211" t="str">
            <v>MR06175000</v>
          </cell>
        </row>
        <row r="212">
          <cell r="A212" t="str">
            <v>MR06205000</v>
          </cell>
        </row>
        <row r="213">
          <cell r="A213" t="str">
            <v>MR06210000</v>
          </cell>
        </row>
        <row r="214">
          <cell r="A214" t="str">
            <v>MR06215000</v>
          </cell>
        </row>
        <row r="215">
          <cell r="A215" t="str">
            <v>MR06220000</v>
          </cell>
        </row>
        <row r="216">
          <cell r="A216" t="str">
            <v>MR06225000</v>
          </cell>
        </row>
        <row r="217">
          <cell r="A217" t="str">
            <v>MR06228000</v>
          </cell>
        </row>
        <row r="218">
          <cell r="A218" t="str">
            <v>MR06230000</v>
          </cell>
        </row>
        <row r="219">
          <cell r="A219" t="str">
            <v>MR06232000</v>
          </cell>
        </row>
        <row r="220">
          <cell r="A220" t="str">
            <v>MR06234000</v>
          </cell>
        </row>
        <row r="221">
          <cell r="A221" t="str">
            <v>MR06235000</v>
          </cell>
        </row>
        <row r="222">
          <cell r="A222" t="str">
            <v>MR06240000</v>
          </cell>
        </row>
        <row r="223">
          <cell r="A223" t="str">
            <v>MR06250000</v>
          </cell>
        </row>
        <row r="224">
          <cell r="A224" t="str">
            <v>MR06255001</v>
          </cell>
        </row>
        <row r="225">
          <cell r="A225" t="str">
            <v>MR06255002</v>
          </cell>
        </row>
        <row r="226">
          <cell r="A226" t="str">
            <v>MR06255003</v>
          </cell>
        </row>
        <row r="227">
          <cell r="A227" t="str">
            <v>MR06258000</v>
          </cell>
        </row>
        <row r="228">
          <cell r="A228" t="str">
            <v>MR06260000</v>
          </cell>
        </row>
        <row r="229">
          <cell r="A229" t="str">
            <v>MR06263000</v>
          </cell>
        </row>
        <row r="230">
          <cell r="A230" t="str">
            <v>MR06265000</v>
          </cell>
        </row>
        <row r="231">
          <cell r="A231" t="str">
            <v>MR06267000</v>
          </cell>
        </row>
        <row r="232">
          <cell r="A232" t="str">
            <v>MR06270000</v>
          </cell>
        </row>
        <row r="233">
          <cell r="A233" t="str">
            <v>MR06275000</v>
          </cell>
        </row>
        <row r="234">
          <cell r="A234" t="str">
            <v>MR06280000</v>
          </cell>
        </row>
        <row r="235">
          <cell r="A235" t="str">
            <v>MR06285000</v>
          </cell>
        </row>
        <row r="236">
          <cell r="A236" t="str">
            <v>MR06286000</v>
          </cell>
        </row>
        <row r="237">
          <cell r="A237" t="str">
            <v>MR06290000</v>
          </cell>
        </row>
        <row r="238">
          <cell r="A238" t="str">
            <v>MR06291000</v>
          </cell>
        </row>
        <row r="239">
          <cell r="A239" t="str">
            <v>MR06295000</v>
          </cell>
        </row>
        <row r="240">
          <cell r="A240" t="str">
            <v>MR06296000</v>
          </cell>
        </row>
        <row r="241">
          <cell r="A241" t="str">
            <v>MR06310000</v>
          </cell>
        </row>
        <row r="242">
          <cell r="A242" t="str">
            <v>MR06320000</v>
          </cell>
        </row>
        <row r="243">
          <cell r="A243" t="str">
            <v>MR06325000</v>
          </cell>
        </row>
        <row r="244">
          <cell r="A244" t="str">
            <v>MR06330000</v>
          </cell>
        </row>
        <row r="245">
          <cell r="A245" t="str">
            <v>MR06340000</v>
          </cell>
        </row>
        <row r="246">
          <cell r="A246" t="str">
            <v>MR06350000</v>
          </cell>
        </row>
        <row r="247">
          <cell r="A247" t="str">
            <v>MR06360000</v>
          </cell>
        </row>
        <row r="248">
          <cell r="A248" t="str">
            <v>MR06365000</v>
          </cell>
        </row>
        <row r="249">
          <cell r="A249" t="str">
            <v>MR06370000</v>
          </cell>
        </row>
        <row r="250">
          <cell r="A250" t="str">
            <v>MR06375000</v>
          </cell>
        </row>
        <row r="251">
          <cell r="A251" t="str">
            <v>MR06380000</v>
          </cell>
        </row>
        <row r="252">
          <cell r="A252" t="str">
            <v>MR06385000</v>
          </cell>
        </row>
        <row r="253">
          <cell r="A253" t="str">
            <v>MR06410000</v>
          </cell>
        </row>
        <row r="254">
          <cell r="A254" t="str">
            <v>MR06415000</v>
          </cell>
        </row>
        <row r="255">
          <cell r="A255" t="str">
            <v>MR06420000</v>
          </cell>
        </row>
        <row r="256">
          <cell r="A256" t="str">
            <v>MR06425000</v>
          </cell>
        </row>
        <row r="257">
          <cell r="A257" t="str">
            <v>MR06490000</v>
          </cell>
        </row>
        <row r="258">
          <cell r="A258" t="str">
            <v>MR06510001</v>
          </cell>
        </row>
        <row r="259">
          <cell r="A259" t="str">
            <v>MR06510002</v>
          </cell>
        </row>
        <row r="260">
          <cell r="A260" t="str">
            <v>MR06510003</v>
          </cell>
        </row>
        <row r="261">
          <cell r="A261" t="str">
            <v>MR06520000</v>
          </cell>
        </row>
        <row r="262">
          <cell r="A262" t="str">
            <v>MR06530000</v>
          </cell>
        </row>
        <row r="263">
          <cell r="A263" t="str">
            <v>MR06540001</v>
          </cell>
        </row>
        <row r="264">
          <cell r="A264" t="str">
            <v>MR06540002</v>
          </cell>
        </row>
        <row r="265">
          <cell r="A265" t="str">
            <v>MR06540003</v>
          </cell>
        </row>
        <row r="266">
          <cell r="A266" t="str">
            <v>MR06610001</v>
          </cell>
        </row>
        <row r="267">
          <cell r="A267" t="str">
            <v>MR06610002</v>
          </cell>
        </row>
        <row r="268">
          <cell r="A268" t="str">
            <v>MR06620000</v>
          </cell>
        </row>
        <row r="269">
          <cell r="A269" t="str">
            <v>MR06630001</v>
          </cell>
        </row>
        <row r="270">
          <cell r="A270" t="str">
            <v>MR06640000</v>
          </cell>
        </row>
        <row r="271">
          <cell r="A271" t="str">
            <v>MR06650001</v>
          </cell>
        </row>
        <row r="272">
          <cell r="A272" t="str">
            <v>MR06650002</v>
          </cell>
        </row>
        <row r="273">
          <cell r="A273" t="str">
            <v>MR06660000</v>
          </cell>
        </row>
        <row r="274">
          <cell r="A274" t="str">
            <v>MR06670000</v>
          </cell>
        </row>
        <row r="275">
          <cell r="A275" t="str">
            <v>MR06680000</v>
          </cell>
        </row>
        <row r="276">
          <cell r="A276" t="str">
            <v>MR06710000</v>
          </cell>
        </row>
        <row r="277">
          <cell r="A277" t="str">
            <v>MR06715000</v>
          </cell>
        </row>
        <row r="278">
          <cell r="A278" t="str">
            <v>MR06720000</v>
          </cell>
        </row>
        <row r="279">
          <cell r="A279" t="str">
            <v>MR06725000</v>
          </cell>
        </row>
        <row r="280">
          <cell r="A280" t="str">
            <v>MR06730000</v>
          </cell>
        </row>
        <row r="281">
          <cell r="A281" t="str">
            <v>MR06740000</v>
          </cell>
        </row>
        <row r="282">
          <cell r="A282" t="str">
            <v>MR06745000</v>
          </cell>
        </row>
        <row r="283">
          <cell r="A283" t="str">
            <v>MR06755000</v>
          </cell>
        </row>
        <row r="284">
          <cell r="A284" t="str">
            <v>MR06760000</v>
          </cell>
        </row>
        <row r="285">
          <cell r="A285" t="str">
            <v>MR06765000</v>
          </cell>
        </row>
        <row r="286">
          <cell r="A286" t="str">
            <v>MR06770000</v>
          </cell>
        </row>
        <row r="287">
          <cell r="A287" t="str">
            <v>MR06775000</v>
          </cell>
        </row>
        <row r="288">
          <cell r="A288" t="str">
            <v>MR06780000</v>
          </cell>
        </row>
        <row r="289">
          <cell r="A289" t="str">
            <v>MR06785000</v>
          </cell>
        </row>
        <row r="290">
          <cell r="A290" t="str">
            <v>MR06790000</v>
          </cell>
        </row>
        <row r="291">
          <cell r="A291" t="str">
            <v>MR06795000</v>
          </cell>
        </row>
        <row r="292">
          <cell r="A292" t="str">
            <v>MR06810000</v>
          </cell>
        </row>
        <row r="293">
          <cell r="A293" t="str">
            <v>MR06820000</v>
          </cell>
        </row>
        <row r="294">
          <cell r="A294" t="str">
            <v>MR06840000</v>
          </cell>
        </row>
        <row r="295">
          <cell r="A295" t="str">
            <v>MR06850000</v>
          </cell>
        </row>
        <row r="296">
          <cell r="A296" t="str">
            <v>MR07010001</v>
          </cell>
        </row>
        <row r="297">
          <cell r="A297" t="str">
            <v>MR07010002</v>
          </cell>
        </row>
        <row r="298">
          <cell r="A298" t="str">
            <v>MR07010003</v>
          </cell>
        </row>
        <row r="299">
          <cell r="A299" t="str">
            <v>MR07010004</v>
          </cell>
        </row>
        <row r="300">
          <cell r="A300" t="str">
            <v>MR07010005</v>
          </cell>
        </row>
        <row r="301">
          <cell r="A301" t="str">
            <v>MR07010006</v>
          </cell>
        </row>
        <row r="302">
          <cell r="A302" t="str">
            <v>MR07010007</v>
          </cell>
        </row>
        <row r="303">
          <cell r="A303" t="str">
            <v>MR07020000</v>
          </cell>
        </row>
        <row r="304">
          <cell r="A304" t="str">
            <v>MR07030000</v>
          </cell>
        </row>
        <row r="305">
          <cell r="A305" t="str">
            <v>MR07040000</v>
          </cell>
        </row>
        <row r="306">
          <cell r="A306" t="str">
            <v>MR07105000</v>
          </cell>
        </row>
        <row r="307">
          <cell r="A307" t="str">
            <v>MR07110000</v>
          </cell>
        </row>
        <row r="308">
          <cell r="A308" t="str">
            <v>MR07115000</v>
          </cell>
        </row>
        <row r="309">
          <cell r="A309" t="str">
            <v>MR07120000</v>
          </cell>
        </row>
        <row r="310">
          <cell r="A310" t="str">
            <v>MR07125000</v>
          </cell>
        </row>
        <row r="311">
          <cell r="A311" t="str">
            <v>MR07130000</v>
          </cell>
        </row>
        <row r="312">
          <cell r="A312" t="str">
            <v>MR07135000</v>
          </cell>
        </row>
        <row r="313">
          <cell r="A313" t="str">
            <v>MR07140000</v>
          </cell>
        </row>
        <row r="314">
          <cell r="A314" t="str">
            <v>MR07145000</v>
          </cell>
        </row>
        <row r="315">
          <cell r="A315" t="str">
            <v>MR07155000</v>
          </cell>
        </row>
        <row r="316">
          <cell r="A316" t="str">
            <v>MR07160000</v>
          </cell>
        </row>
        <row r="317">
          <cell r="A317" t="str">
            <v>MR07165000</v>
          </cell>
        </row>
        <row r="318">
          <cell r="A318" t="str">
            <v>MR07170000</v>
          </cell>
        </row>
        <row r="319">
          <cell r="A319" t="str">
            <v>MR07175000</v>
          </cell>
        </row>
        <row r="320">
          <cell r="A320" t="str">
            <v>MR07180000</v>
          </cell>
        </row>
        <row r="321">
          <cell r="A321" t="str">
            <v>MR07205000</v>
          </cell>
        </row>
        <row r="322">
          <cell r="A322" t="str">
            <v>MR07210000</v>
          </cell>
        </row>
        <row r="323">
          <cell r="A323" t="str">
            <v>MR07215000</v>
          </cell>
        </row>
        <row r="324">
          <cell r="A324" t="str">
            <v>MR07220000</v>
          </cell>
        </row>
        <row r="325">
          <cell r="A325" t="str">
            <v>MR07225000</v>
          </cell>
        </row>
        <row r="326">
          <cell r="A326" t="str">
            <v>MR07230000</v>
          </cell>
        </row>
        <row r="327">
          <cell r="A327" t="str">
            <v>MR07235000</v>
          </cell>
        </row>
        <row r="328">
          <cell r="A328" t="str">
            <v>MR07240000</v>
          </cell>
        </row>
        <row r="329">
          <cell r="A329" t="str">
            <v>MR07245000</v>
          </cell>
        </row>
        <row r="330">
          <cell r="A330" t="str">
            <v>MR07250000</v>
          </cell>
        </row>
        <row r="331">
          <cell r="A331" t="str">
            <v>MR07255000</v>
          </cell>
        </row>
        <row r="332">
          <cell r="A332" t="str">
            <v>MR07260000</v>
          </cell>
        </row>
        <row r="333">
          <cell r="A333" t="str">
            <v>MR07265000</v>
          </cell>
        </row>
        <row r="334">
          <cell r="A334" t="str">
            <v>MR07270000</v>
          </cell>
        </row>
        <row r="335">
          <cell r="A335" t="str">
            <v>MR07275000</v>
          </cell>
        </row>
        <row r="336">
          <cell r="A336" t="str">
            <v>MR07310000</v>
          </cell>
        </row>
        <row r="337">
          <cell r="A337" t="str">
            <v>MR07320000</v>
          </cell>
        </row>
        <row r="338">
          <cell r="A338" t="str">
            <v>MR07330000</v>
          </cell>
        </row>
        <row r="339">
          <cell r="A339" t="str">
            <v>MR07350000</v>
          </cell>
        </row>
        <row r="340">
          <cell r="A340" t="str">
            <v>MR07360000</v>
          </cell>
        </row>
        <row r="341">
          <cell r="A341" t="str">
            <v>MR07420000</v>
          </cell>
        </row>
        <row r="342">
          <cell r="A342" t="str">
            <v>MR07450000</v>
          </cell>
        </row>
        <row r="343">
          <cell r="A343" t="str">
            <v>MR07605000</v>
          </cell>
        </row>
        <row r="344">
          <cell r="A344" t="str">
            <v>MR07610000</v>
          </cell>
        </row>
        <row r="345">
          <cell r="A345" t="str">
            <v>MR07615000</v>
          </cell>
        </row>
        <row r="346">
          <cell r="A346" t="str">
            <v>MR07620000</v>
          </cell>
        </row>
        <row r="347">
          <cell r="A347" t="str">
            <v>MR07625000</v>
          </cell>
        </row>
        <row r="348">
          <cell r="A348" t="str">
            <v>MR07630000</v>
          </cell>
        </row>
        <row r="349">
          <cell r="A349" t="str">
            <v>MR07635000</v>
          </cell>
        </row>
        <row r="350">
          <cell r="A350" t="str">
            <v>MR07640000</v>
          </cell>
        </row>
        <row r="351">
          <cell r="A351" t="str">
            <v>MR07645000</v>
          </cell>
        </row>
        <row r="352">
          <cell r="A352" t="str">
            <v>MR07650000</v>
          </cell>
        </row>
        <row r="353">
          <cell r="A353" t="str">
            <v>MR07655000</v>
          </cell>
        </row>
        <row r="354">
          <cell r="A354" t="str">
            <v>MR07660000</v>
          </cell>
        </row>
        <row r="355">
          <cell r="A355" t="str">
            <v>MR07705000</v>
          </cell>
        </row>
        <row r="356">
          <cell r="A356" t="str">
            <v>MR07710000</v>
          </cell>
        </row>
        <row r="357">
          <cell r="A357" t="str">
            <v>MR07715000</v>
          </cell>
        </row>
        <row r="358">
          <cell r="A358" t="str">
            <v>MR07720000</v>
          </cell>
        </row>
        <row r="359">
          <cell r="A359" t="str">
            <v>MR07725000</v>
          </cell>
        </row>
        <row r="360">
          <cell r="A360" t="str">
            <v>MR07730000</v>
          </cell>
        </row>
        <row r="361">
          <cell r="A361" t="str">
            <v>MR07735000</v>
          </cell>
        </row>
        <row r="362">
          <cell r="A362" t="str">
            <v>MR07740000</v>
          </cell>
        </row>
        <row r="363">
          <cell r="A363" t="str">
            <v>MR07745000</v>
          </cell>
        </row>
        <row r="364">
          <cell r="A364" t="str">
            <v>MR07750000</v>
          </cell>
        </row>
        <row r="365">
          <cell r="A365" t="str">
            <v>MR07755000</v>
          </cell>
        </row>
        <row r="366">
          <cell r="A366" t="str">
            <v>MR07760000</v>
          </cell>
        </row>
        <row r="367">
          <cell r="A367" t="str">
            <v>MR07765000</v>
          </cell>
        </row>
        <row r="368">
          <cell r="A368" t="str">
            <v>MR08010000</v>
          </cell>
        </row>
        <row r="369">
          <cell r="A369" t="str">
            <v>MR08020000</v>
          </cell>
        </row>
        <row r="370">
          <cell r="A370" t="str">
            <v>MR08030000</v>
          </cell>
        </row>
        <row r="371">
          <cell r="A371" t="str">
            <v>MR08040000</v>
          </cell>
        </row>
        <row r="372">
          <cell r="A372" t="str">
            <v>MR99010000</v>
          </cell>
        </row>
        <row r="373">
          <cell r="A373" t="str">
            <v>MR99040000</v>
          </cell>
        </row>
        <row r="374">
          <cell r="A374" t="str">
            <v>MR99110000</v>
          </cell>
        </row>
        <row r="375">
          <cell r="A375" t="str">
            <v>MR99120000</v>
          </cell>
        </row>
        <row r="376">
          <cell r="A376" t="str">
            <v>MR99130000</v>
          </cell>
        </row>
        <row r="377">
          <cell r="A377" t="str">
            <v>MR99210000</v>
          </cell>
        </row>
        <row r="378">
          <cell r="A378" t="str">
            <v>MR99220001</v>
          </cell>
        </row>
        <row r="379">
          <cell r="A379" t="str">
            <v>MR99220003</v>
          </cell>
        </row>
        <row r="380">
          <cell r="A380" t="str">
            <v>MR99310000</v>
          </cell>
        </row>
        <row r="381">
          <cell r="A381" t="str">
            <v>MR99325000</v>
          </cell>
        </row>
        <row r="382">
          <cell r="A382" t="str">
            <v>MR99910000</v>
          </cell>
        </row>
        <row r="383">
          <cell r="A383" t="str">
            <v>MR99920000</v>
          </cell>
        </row>
      </sheetData>
      <sheetData sheetId="18" refreshError="1">
        <row r="2">
          <cell r="A2" t="str">
            <v>MR03010000</v>
          </cell>
          <cell r="B2">
            <v>261324</v>
          </cell>
          <cell r="C2">
            <v>261324</v>
          </cell>
          <cell r="D2">
            <v>261324</v>
          </cell>
          <cell r="E2">
            <v>261324</v>
          </cell>
          <cell r="F2">
            <v>261324</v>
          </cell>
          <cell r="G2">
            <v>261324</v>
          </cell>
          <cell r="H2">
            <v>261324</v>
          </cell>
          <cell r="I2">
            <v>300193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</row>
        <row r="3">
          <cell r="A3" t="str">
            <v>MR03020000</v>
          </cell>
          <cell r="B3">
            <v>-1491</v>
          </cell>
          <cell r="C3">
            <v>-1131</v>
          </cell>
          <cell r="D3">
            <v>-2217</v>
          </cell>
          <cell r="E3">
            <v>-1956</v>
          </cell>
          <cell r="F3">
            <v>-3085</v>
          </cell>
          <cell r="G3">
            <v>-3285</v>
          </cell>
          <cell r="H3">
            <v>-2958</v>
          </cell>
          <cell r="I3">
            <v>-3694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MR03030000</v>
          </cell>
          <cell r="B4">
            <v>-434</v>
          </cell>
          <cell r="C4">
            <v>2520</v>
          </cell>
          <cell r="D4">
            <v>620</v>
          </cell>
          <cell r="E4">
            <v>653</v>
          </cell>
          <cell r="F4">
            <v>1349</v>
          </cell>
          <cell r="G4">
            <v>980</v>
          </cell>
          <cell r="H4">
            <v>16466</v>
          </cell>
          <cell r="I4">
            <v>-13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MR03040000</v>
          </cell>
          <cell r="B5">
            <v>-2553</v>
          </cell>
          <cell r="C5">
            <v>-2989</v>
          </cell>
          <cell r="D5">
            <v>-2989</v>
          </cell>
          <cell r="E5">
            <v>-2989</v>
          </cell>
          <cell r="F5">
            <v>-3227</v>
          </cell>
          <cell r="G5">
            <v>-3370</v>
          </cell>
          <cell r="H5">
            <v>-3739</v>
          </cell>
          <cell r="I5">
            <v>-3746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MR03050000</v>
          </cell>
          <cell r="B6">
            <v>-100</v>
          </cell>
          <cell r="C6">
            <v>0</v>
          </cell>
          <cell r="D6">
            <v>-383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MR03110000</v>
          </cell>
          <cell r="B7">
            <v>100</v>
          </cell>
          <cell r="C7">
            <v>0</v>
          </cell>
          <cell r="D7">
            <v>0</v>
          </cell>
          <cell r="E7">
            <v>100</v>
          </cell>
          <cell r="F7">
            <v>100</v>
          </cell>
          <cell r="G7">
            <v>1025</v>
          </cell>
          <cell r="H7">
            <v>110</v>
          </cell>
          <cell r="I7">
            <v>230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MR03140000</v>
          </cell>
          <cell r="B8">
            <v>0</v>
          </cell>
          <cell r="C8">
            <v>0</v>
          </cell>
          <cell r="D8">
            <v>58</v>
          </cell>
          <cell r="E8">
            <v>0</v>
          </cell>
          <cell r="F8">
            <v>34</v>
          </cell>
          <cell r="G8">
            <v>18</v>
          </cell>
          <cell r="H8">
            <v>62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MR03310000</v>
          </cell>
          <cell r="B9">
            <v>1266</v>
          </cell>
          <cell r="C9">
            <v>1435</v>
          </cell>
          <cell r="D9">
            <v>415</v>
          </cell>
          <cell r="E9">
            <v>1320</v>
          </cell>
          <cell r="F9">
            <v>1035</v>
          </cell>
          <cell r="G9">
            <v>90</v>
          </cell>
          <cell r="H9">
            <v>150</v>
          </cell>
          <cell r="I9">
            <v>66655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MR03315000</v>
          </cell>
          <cell r="B10">
            <v>677</v>
          </cell>
          <cell r="C10">
            <v>325</v>
          </cell>
          <cell r="D10">
            <v>200</v>
          </cell>
          <cell r="E10">
            <v>850</v>
          </cell>
          <cell r="F10">
            <v>800</v>
          </cell>
          <cell r="G10">
            <v>350</v>
          </cell>
          <cell r="H10">
            <v>200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MR03325000</v>
          </cell>
          <cell r="B11">
            <v>713</v>
          </cell>
          <cell r="C11">
            <v>2235</v>
          </cell>
          <cell r="D11">
            <v>1905</v>
          </cell>
          <cell r="E11">
            <v>1040</v>
          </cell>
          <cell r="F11">
            <v>790</v>
          </cell>
          <cell r="G11">
            <v>1625</v>
          </cell>
          <cell r="H11">
            <v>2075</v>
          </cell>
          <cell r="I11">
            <v>450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MR03330000</v>
          </cell>
          <cell r="B12">
            <v>25</v>
          </cell>
          <cell r="C12">
            <v>450</v>
          </cell>
          <cell r="D12">
            <v>75</v>
          </cell>
          <cell r="E12">
            <v>125</v>
          </cell>
          <cell r="F12">
            <v>125</v>
          </cell>
          <cell r="G12">
            <v>25</v>
          </cell>
          <cell r="H12">
            <v>150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MR03335000</v>
          </cell>
          <cell r="B13">
            <v>485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484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MR03350000</v>
          </cell>
          <cell r="B14">
            <v>40</v>
          </cell>
          <cell r="C14">
            <v>110</v>
          </cell>
          <cell r="D14">
            <v>100</v>
          </cell>
          <cell r="E14">
            <v>0</v>
          </cell>
          <cell r="F14">
            <v>0</v>
          </cell>
          <cell r="G14">
            <v>5</v>
          </cell>
          <cell r="H14">
            <v>60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MR03385000</v>
          </cell>
          <cell r="B15">
            <v>789</v>
          </cell>
          <cell r="C15">
            <v>760</v>
          </cell>
          <cell r="D15">
            <v>861</v>
          </cell>
          <cell r="E15">
            <v>964</v>
          </cell>
          <cell r="F15">
            <v>872</v>
          </cell>
          <cell r="G15">
            <v>998</v>
          </cell>
          <cell r="H15">
            <v>736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MR03390000</v>
          </cell>
          <cell r="B16">
            <v>0</v>
          </cell>
          <cell r="C16">
            <v>-2219</v>
          </cell>
          <cell r="D16">
            <v>2219</v>
          </cell>
          <cell r="E16">
            <v>-1866</v>
          </cell>
          <cell r="F16">
            <v>0</v>
          </cell>
          <cell r="G16">
            <v>0</v>
          </cell>
          <cell r="H16">
            <v>-48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MR03395000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1809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MR03520000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MR03520003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-5</v>
          </cell>
          <cell r="G19">
            <v>0</v>
          </cell>
          <cell r="H19">
            <v>-16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MR06005001</v>
          </cell>
          <cell r="B20">
            <v>0</v>
          </cell>
          <cell r="C20">
            <v>1472</v>
          </cell>
          <cell r="D20">
            <v>0</v>
          </cell>
          <cell r="E20">
            <v>81</v>
          </cell>
          <cell r="F20">
            <v>117</v>
          </cell>
          <cell r="G20">
            <v>119</v>
          </cell>
          <cell r="H20">
            <v>81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MR06010001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38</v>
          </cell>
          <cell r="G21">
            <v>-38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MR06020000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5</v>
          </cell>
          <cell r="G22">
            <v>-5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MR06020001</v>
          </cell>
          <cell r="B23">
            <v>931</v>
          </cell>
          <cell r="C23">
            <v>2424</v>
          </cell>
          <cell r="D23">
            <v>1411</v>
          </cell>
          <cell r="E23">
            <v>2080</v>
          </cell>
          <cell r="F23">
            <v>997</v>
          </cell>
          <cell r="G23">
            <v>1479</v>
          </cell>
          <cell r="H23">
            <v>1180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MR06030001</v>
          </cell>
          <cell r="B24">
            <v>4</v>
          </cell>
          <cell r="C24">
            <v>-4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47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MR06035001</v>
          </cell>
          <cell r="B25">
            <v>0</v>
          </cell>
          <cell r="C25">
            <v>4</v>
          </cell>
          <cell r="D25">
            <v>0</v>
          </cell>
          <cell r="E25">
            <v>78</v>
          </cell>
          <cell r="F25">
            <v>137</v>
          </cell>
          <cell r="G25">
            <v>78</v>
          </cell>
          <cell r="H25">
            <v>78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MR06040001</v>
          </cell>
          <cell r="B26">
            <v>90</v>
          </cell>
          <cell r="C26">
            <v>138</v>
          </cell>
          <cell r="D26">
            <v>180</v>
          </cell>
          <cell r="E26">
            <v>183</v>
          </cell>
          <cell r="F26">
            <v>90</v>
          </cell>
          <cell r="G26">
            <v>138</v>
          </cell>
          <cell r="H26">
            <v>90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MR06045001</v>
          </cell>
          <cell r="B27">
            <v>200</v>
          </cell>
          <cell r="C27">
            <v>85</v>
          </cell>
          <cell r="D27">
            <v>371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MR06045003</v>
          </cell>
          <cell r="B28">
            <v>585</v>
          </cell>
          <cell r="C28">
            <v>230</v>
          </cell>
          <cell r="D28">
            <v>218</v>
          </cell>
          <cell r="E28">
            <v>278</v>
          </cell>
          <cell r="F28">
            <v>308</v>
          </cell>
          <cell r="G28">
            <v>269</v>
          </cell>
          <cell r="H28">
            <v>379</v>
          </cell>
          <cell r="I28">
            <v>104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MR06045004</v>
          </cell>
          <cell r="B29">
            <v>333</v>
          </cell>
          <cell r="C29">
            <v>188</v>
          </cell>
          <cell r="D29">
            <v>4</v>
          </cell>
          <cell r="E29">
            <v>162</v>
          </cell>
          <cell r="F29">
            <v>244</v>
          </cell>
          <cell r="G29">
            <v>185</v>
          </cell>
          <cell r="H29">
            <v>323</v>
          </cell>
          <cell r="I29">
            <v>124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MR06045006</v>
          </cell>
          <cell r="B30">
            <v>480</v>
          </cell>
          <cell r="C30">
            <v>130</v>
          </cell>
          <cell r="D30">
            <v>321</v>
          </cell>
          <cell r="E30">
            <v>1029</v>
          </cell>
          <cell r="F30">
            <v>980</v>
          </cell>
          <cell r="G30">
            <v>244</v>
          </cell>
          <cell r="H30">
            <v>99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MR06045007</v>
          </cell>
          <cell r="B31">
            <v>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MR06055001</v>
          </cell>
          <cell r="B32">
            <v>0</v>
          </cell>
          <cell r="C32">
            <v>582</v>
          </cell>
          <cell r="D32">
            <v>63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MR06070001</v>
          </cell>
          <cell r="B33">
            <v>0</v>
          </cell>
          <cell r="C33">
            <v>0</v>
          </cell>
          <cell r="D33">
            <v>2</v>
          </cell>
          <cell r="E33">
            <v>48</v>
          </cell>
          <cell r="F33">
            <v>166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MR06070002</v>
          </cell>
          <cell r="B34">
            <v>44</v>
          </cell>
          <cell r="C34">
            <v>0</v>
          </cell>
          <cell r="D34">
            <v>0</v>
          </cell>
          <cell r="E34">
            <v>97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MR06070005</v>
          </cell>
          <cell r="B35">
            <v>40</v>
          </cell>
          <cell r="C35">
            <v>213</v>
          </cell>
          <cell r="D35">
            <v>107</v>
          </cell>
          <cell r="E35">
            <v>231</v>
          </cell>
          <cell r="F35">
            <v>107</v>
          </cell>
          <cell r="G35">
            <v>187</v>
          </cell>
          <cell r="H35">
            <v>102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MR06070007</v>
          </cell>
          <cell r="B36">
            <v>0</v>
          </cell>
          <cell r="C36">
            <v>0</v>
          </cell>
          <cell r="D36">
            <v>0</v>
          </cell>
          <cell r="E36">
            <v>57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MR06080002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23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MR06080003</v>
          </cell>
          <cell r="B38">
            <v>0</v>
          </cell>
          <cell r="C38">
            <v>21</v>
          </cell>
          <cell r="D38">
            <v>30</v>
          </cell>
          <cell r="E38">
            <v>0</v>
          </cell>
          <cell r="F38">
            <v>124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MR06105000</v>
          </cell>
          <cell r="B39">
            <v>12029</v>
          </cell>
          <cell r="C39">
            <v>14377</v>
          </cell>
          <cell r="D39">
            <v>9842</v>
          </cell>
          <cell r="E39">
            <v>17922</v>
          </cell>
          <cell r="F39">
            <v>22512</v>
          </cell>
          <cell r="G39">
            <v>19084</v>
          </cell>
          <cell r="H39">
            <v>21165</v>
          </cell>
          <cell r="I39">
            <v>956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MR06110000</v>
          </cell>
          <cell r="B40">
            <v>1086</v>
          </cell>
          <cell r="C40">
            <v>1134</v>
          </cell>
          <cell r="D40">
            <v>1614</v>
          </cell>
          <cell r="E40">
            <v>1353</v>
          </cell>
          <cell r="F40">
            <v>1595</v>
          </cell>
          <cell r="G40">
            <v>1460</v>
          </cell>
          <cell r="H40">
            <v>1599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MR06120000</v>
          </cell>
          <cell r="B41">
            <v>1260</v>
          </cell>
          <cell r="C41">
            <v>1600</v>
          </cell>
          <cell r="D41">
            <v>2220</v>
          </cell>
          <cell r="E41">
            <v>1280</v>
          </cell>
          <cell r="F41">
            <v>1345</v>
          </cell>
          <cell r="G41">
            <v>1194</v>
          </cell>
          <cell r="H41">
            <v>1327</v>
          </cell>
          <cell r="I41">
            <v>1032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MR06125000</v>
          </cell>
          <cell r="B42">
            <v>944</v>
          </cell>
          <cell r="C42">
            <v>944</v>
          </cell>
          <cell r="D42">
            <v>944</v>
          </cell>
          <cell r="E42">
            <v>944</v>
          </cell>
          <cell r="F42">
            <v>944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MR06130000</v>
          </cell>
          <cell r="B43">
            <v>0</v>
          </cell>
          <cell r="C43">
            <v>0</v>
          </cell>
          <cell r="D43">
            <v>66</v>
          </cell>
          <cell r="E43">
            <v>0</v>
          </cell>
          <cell r="F43">
            <v>0</v>
          </cell>
          <cell r="G43">
            <v>87</v>
          </cell>
          <cell r="H43">
            <v>129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MR06155000</v>
          </cell>
          <cell r="B44">
            <v>0</v>
          </cell>
          <cell r="C44">
            <v>0</v>
          </cell>
          <cell r="D44">
            <v>435</v>
          </cell>
          <cell r="E44">
            <v>929</v>
          </cell>
          <cell r="F44">
            <v>0</v>
          </cell>
          <cell r="G44">
            <v>-109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MR06160000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24</v>
          </cell>
          <cell r="H45">
            <v>84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MR06170000</v>
          </cell>
          <cell r="B46">
            <v>38</v>
          </cell>
          <cell r="C46">
            <v>14</v>
          </cell>
          <cell r="D46">
            <v>131</v>
          </cell>
          <cell r="E46">
            <v>0</v>
          </cell>
          <cell r="F46">
            <v>261</v>
          </cell>
          <cell r="G46">
            <v>109</v>
          </cell>
          <cell r="H46">
            <v>90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MR06205000</v>
          </cell>
          <cell r="B47">
            <v>350</v>
          </cell>
          <cell r="C47">
            <v>920</v>
          </cell>
          <cell r="D47">
            <v>402</v>
          </cell>
          <cell r="E47">
            <v>266</v>
          </cell>
          <cell r="F47">
            <v>258</v>
          </cell>
          <cell r="G47">
            <v>256</v>
          </cell>
          <cell r="H47">
            <v>359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MR06210000</v>
          </cell>
          <cell r="B48">
            <v>333</v>
          </cell>
          <cell r="C48">
            <v>134</v>
          </cell>
          <cell r="D48">
            <v>408</v>
          </cell>
          <cell r="E48">
            <v>197</v>
          </cell>
          <cell r="F48">
            <v>131</v>
          </cell>
          <cell r="G48">
            <v>366</v>
          </cell>
          <cell r="H48">
            <v>31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MR06220000</v>
          </cell>
          <cell r="B49">
            <v>0</v>
          </cell>
          <cell r="C49">
            <v>0</v>
          </cell>
          <cell r="D49">
            <v>0</v>
          </cell>
          <cell r="E49">
            <v>20</v>
          </cell>
          <cell r="F49">
            <v>0</v>
          </cell>
          <cell r="G49">
            <v>0</v>
          </cell>
          <cell r="H49">
            <v>75</v>
          </cell>
          <cell r="I49">
            <v>162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MR06225000</v>
          </cell>
          <cell r="B50">
            <v>47</v>
          </cell>
          <cell r="C50">
            <v>1033</v>
          </cell>
          <cell r="D50">
            <v>-729</v>
          </cell>
          <cell r="E50">
            <v>-389</v>
          </cell>
          <cell r="F50">
            <v>2484</v>
          </cell>
          <cell r="G50">
            <v>-385</v>
          </cell>
          <cell r="H50">
            <v>1564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MR06228000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128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MR06230000</v>
          </cell>
          <cell r="B52">
            <v>803</v>
          </cell>
          <cell r="C52">
            <v>803</v>
          </cell>
          <cell r="D52">
            <v>322</v>
          </cell>
          <cell r="E52">
            <v>369</v>
          </cell>
          <cell r="F52">
            <v>215</v>
          </cell>
          <cell r="G52">
            <v>300</v>
          </cell>
          <cell r="H52">
            <v>0</v>
          </cell>
          <cell r="I52">
            <v>205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MR06232000</v>
          </cell>
          <cell r="B53">
            <v>153</v>
          </cell>
          <cell r="C53">
            <v>242</v>
          </cell>
          <cell r="D53">
            <v>273</v>
          </cell>
          <cell r="E53">
            <v>606</v>
          </cell>
          <cell r="F53">
            <v>462</v>
          </cell>
          <cell r="G53">
            <v>1025</v>
          </cell>
          <cell r="H53">
            <v>361</v>
          </cell>
          <cell r="I53">
            <v>49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MR06234000</v>
          </cell>
          <cell r="B54">
            <v>0</v>
          </cell>
          <cell r="C54">
            <v>100</v>
          </cell>
          <cell r="D54">
            <v>99</v>
          </cell>
          <cell r="E54">
            <v>300</v>
          </cell>
          <cell r="F54">
            <v>0</v>
          </cell>
          <cell r="G54">
            <v>643</v>
          </cell>
          <cell r="H54">
            <v>0</v>
          </cell>
          <cell r="I54">
            <v>228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MR06235000</v>
          </cell>
          <cell r="B55">
            <v>921</v>
          </cell>
          <cell r="C55">
            <v>78</v>
          </cell>
          <cell r="D55">
            <v>696</v>
          </cell>
          <cell r="E55">
            <v>-33</v>
          </cell>
          <cell r="F55">
            <v>118</v>
          </cell>
          <cell r="G55">
            <v>172</v>
          </cell>
          <cell r="H55">
            <v>1144</v>
          </cell>
          <cell r="I55">
            <v>238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MR06240000</v>
          </cell>
          <cell r="B56">
            <v>0</v>
          </cell>
          <cell r="C56">
            <v>4178</v>
          </cell>
          <cell r="D56">
            <v>1112</v>
          </cell>
          <cell r="E56">
            <v>811</v>
          </cell>
          <cell r="F56">
            <v>496</v>
          </cell>
          <cell r="G56">
            <v>155</v>
          </cell>
          <cell r="H56">
            <v>604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MR06255001</v>
          </cell>
          <cell r="B57">
            <v>877</v>
          </cell>
          <cell r="C57">
            <v>716</v>
          </cell>
          <cell r="D57">
            <v>1083</v>
          </cell>
          <cell r="E57">
            <v>693</v>
          </cell>
          <cell r="F57">
            <v>992</v>
          </cell>
          <cell r="G57">
            <v>991</v>
          </cell>
          <cell r="H57">
            <v>824</v>
          </cell>
          <cell r="I57">
            <v>712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MR06255002</v>
          </cell>
          <cell r="B58">
            <v>251</v>
          </cell>
          <cell r="C58">
            <v>99</v>
          </cell>
          <cell r="D58">
            <v>162</v>
          </cell>
          <cell r="E58">
            <v>64</v>
          </cell>
          <cell r="F58">
            <v>284</v>
          </cell>
          <cell r="G58">
            <v>170</v>
          </cell>
          <cell r="H58">
            <v>89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MR06258000</v>
          </cell>
          <cell r="B59">
            <v>70</v>
          </cell>
          <cell r="C59">
            <v>21</v>
          </cell>
          <cell r="D59">
            <v>8</v>
          </cell>
          <cell r="E59">
            <v>67</v>
          </cell>
          <cell r="F59">
            <v>17</v>
          </cell>
          <cell r="G59">
            <v>77</v>
          </cell>
          <cell r="H59">
            <v>21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MR06260000</v>
          </cell>
          <cell r="B60">
            <v>280</v>
          </cell>
          <cell r="C60">
            <v>0</v>
          </cell>
          <cell r="D60">
            <v>155</v>
          </cell>
          <cell r="E60">
            <v>120</v>
          </cell>
          <cell r="F60">
            <v>133</v>
          </cell>
          <cell r="G60">
            <v>140</v>
          </cell>
          <cell r="H60">
            <v>91</v>
          </cell>
          <cell r="I60">
            <v>140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MR06265000</v>
          </cell>
          <cell r="B61">
            <v>86</v>
          </cell>
          <cell r="C61">
            <v>0</v>
          </cell>
          <cell r="D61">
            <v>35</v>
          </cell>
          <cell r="E61">
            <v>0</v>
          </cell>
          <cell r="F61">
            <v>28</v>
          </cell>
          <cell r="G61">
            <v>96</v>
          </cell>
          <cell r="H61">
            <v>35</v>
          </cell>
          <cell r="I61">
            <v>41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MR06275000</v>
          </cell>
          <cell r="B62">
            <v>0</v>
          </cell>
          <cell r="C62">
            <v>439</v>
          </cell>
          <cell r="D62">
            <v>5</v>
          </cell>
          <cell r="E62">
            <v>6</v>
          </cell>
          <cell r="F62">
            <v>0</v>
          </cell>
          <cell r="G62">
            <v>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MR06280000</v>
          </cell>
          <cell r="B63">
            <v>190</v>
          </cell>
          <cell r="C63">
            <v>26</v>
          </cell>
          <cell r="D63">
            <v>89</v>
          </cell>
          <cell r="E63">
            <v>230</v>
          </cell>
          <cell r="F63">
            <v>45</v>
          </cell>
          <cell r="G63">
            <v>254</v>
          </cell>
          <cell r="H63">
            <v>434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MR06285000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-16555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MR06286000</v>
          </cell>
          <cell r="B65">
            <v>6050</v>
          </cell>
          <cell r="C65">
            <v>6050</v>
          </cell>
          <cell r="D65">
            <v>6050</v>
          </cell>
          <cell r="E65">
            <v>6050</v>
          </cell>
          <cell r="F65">
            <v>6050</v>
          </cell>
          <cell r="G65">
            <v>6050</v>
          </cell>
          <cell r="H65">
            <v>6050</v>
          </cell>
          <cell r="I65">
            <v>6050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MR06290000</v>
          </cell>
          <cell r="B66">
            <v>7172</v>
          </cell>
          <cell r="C66">
            <v>10345</v>
          </cell>
          <cell r="D66">
            <v>9001</v>
          </cell>
          <cell r="E66">
            <v>17950</v>
          </cell>
          <cell r="F66">
            <v>9780</v>
          </cell>
          <cell r="G66">
            <v>10371</v>
          </cell>
          <cell r="H66">
            <v>10777</v>
          </cell>
          <cell r="I66">
            <v>10777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MR06291000</v>
          </cell>
          <cell r="B67">
            <v>100</v>
          </cell>
          <cell r="C67">
            <v>70</v>
          </cell>
          <cell r="D67">
            <v>100</v>
          </cell>
          <cell r="E67">
            <v>149</v>
          </cell>
          <cell r="F67">
            <v>100</v>
          </cell>
          <cell r="G67">
            <v>100</v>
          </cell>
          <cell r="H67">
            <v>131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MR06295000</v>
          </cell>
          <cell r="B68">
            <v>100</v>
          </cell>
          <cell r="C68">
            <v>100</v>
          </cell>
          <cell r="D68">
            <v>100</v>
          </cell>
          <cell r="E68">
            <v>100</v>
          </cell>
          <cell r="F68">
            <v>100</v>
          </cell>
          <cell r="G68">
            <v>100</v>
          </cell>
          <cell r="H68">
            <v>100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MR06296000</v>
          </cell>
          <cell r="B69">
            <v>153</v>
          </cell>
          <cell r="C69">
            <v>68</v>
          </cell>
          <cell r="D69">
            <v>219</v>
          </cell>
          <cell r="E69">
            <v>404</v>
          </cell>
          <cell r="F69">
            <v>192</v>
          </cell>
          <cell r="G69">
            <v>184</v>
          </cell>
          <cell r="H69">
            <v>281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MR06310000</v>
          </cell>
          <cell r="B70">
            <v>4626</v>
          </cell>
          <cell r="C70">
            <v>4518</v>
          </cell>
          <cell r="D70">
            <v>4633</v>
          </cell>
          <cell r="E70">
            <v>4633</v>
          </cell>
          <cell r="F70">
            <v>4633</v>
          </cell>
          <cell r="G70">
            <v>4633</v>
          </cell>
          <cell r="H70">
            <v>4633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MR06320000</v>
          </cell>
          <cell r="B71">
            <v>104</v>
          </cell>
          <cell r="C71">
            <v>130</v>
          </cell>
          <cell r="D71">
            <v>104</v>
          </cell>
          <cell r="E71">
            <v>443</v>
          </cell>
          <cell r="F71">
            <v>1187</v>
          </cell>
          <cell r="G71">
            <v>285</v>
          </cell>
          <cell r="H71">
            <v>1146</v>
          </cell>
          <cell r="I71">
            <v>803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MR06325000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90</v>
          </cell>
          <cell r="G72">
            <v>102</v>
          </cell>
          <cell r="H72">
            <v>514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MR06340000</v>
          </cell>
          <cell r="B73">
            <v>254</v>
          </cell>
          <cell r="C73">
            <v>254</v>
          </cell>
          <cell r="D73">
            <v>254</v>
          </cell>
          <cell r="E73">
            <v>254</v>
          </cell>
          <cell r="F73">
            <v>0</v>
          </cell>
          <cell r="G73">
            <v>254</v>
          </cell>
          <cell r="H73">
            <v>509</v>
          </cell>
          <cell r="I73">
            <v>254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MR06350000</v>
          </cell>
          <cell r="B74">
            <v>1764</v>
          </cell>
          <cell r="C74">
            <v>1739</v>
          </cell>
          <cell r="D74">
            <v>1739</v>
          </cell>
          <cell r="E74">
            <v>1739</v>
          </cell>
          <cell r="F74">
            <v>1739</v>
          </cell>
          <cell r="G74">
            <v>1739</v>
          </cell>
          <cell r="H74">
            <v>1765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MR06360000</v>
          </cell>
          <cell r="B75">
            <v>425</v>
          </cell>
          <cell r="C75">
            <v>0</v>
          </cell>
          <cell r="D75">
            <v>425</v>
          </cell>
          <cell r="E75">
            <v>425</v>
          </cell>
          <cell r="F75">
            <v>425</v>
          </cell>
          <cell r="G75">
            <v>425</v>
          </cell>
          <cell r="H75">
            <v>425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MR06365000</v>
          </cell>
          <cell r="B76">
            <v>171</v>
          </cell>
          <cell r="C76">
            <v>126</v>
          </cell>
          <cell r="D76">
            <v>0</v>
          </cell>
          <cell r="E76">
            <v>50</v>
          </cell>
          <cell r="F76">
            <v>514</v>
          </cell>
          <cell r="G76">
            <v>20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MR06375000</v>
          </cell>
          <cell r="B77">
            <v>0</v>
          </cell>
          <cell r="C77">
            <v>0</v>
          </cell>
          <cell r="D77">
            <v>502</v>
          </cell>
          <cell r="E77">
            <v>0</v>
          </cell>
          <cell r="F77">
            <v>0</v>
          </cell>
          <cell r="G77">
            <v>148</v>
          </cell>
          <cell r="H77">
            <v>100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MR06385000</v>
          </cell>
          <cell r="B78">
            <v>44</v>
          </cell>
          <cell r="C78">
            <v>0</v>
          </cell>
          <cell r="D78">
            <v>44</v>
          </cell>
          <cell r="E78">
            <v>44</v>
          </cell>
          <cell r="F78">
            <v>44</v>
          </cell>
          <cell r="G78">
            <v>44</v>
          </cell>
          <cell r="H78">
            <v>44</v>
          </cell>
          <cell r="I78">
            <v>46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MR06415000</v>
          </cell>
          <cell r="B79">
            <v>0</v>
          </cell>
          <cell r="C79">
            <v>0</v>
          </cell>
          <cell r="D79">
            <v>3560</v>
          </cell>
          <cell r="E79">
            <v>3560</v>
          </cell>
          <cell r="F79">
            <v>3562</v>
          </cell>
          <cell r="G79">
            <v>3559</v>
          </cell>
          <cell r="H79">
            <v>3559</v>
          </cell>
          <cell r="I79">
            <v>3559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MR06420000</v>
          </cell>
          <cell r="B80">
            <v>4070</v>
          </cell>
          <cell r="C80">
            <v>2620</v>
          </cell>
          <cell r="D80">
            <v>4434</v>
          </cell>
          <cell r="E80">
            <v>169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MR06425000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91</v>
          </cell>
          <cell r="G81">
            <v>68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MR06490000</v>
          </cell>
          <cell r="B82">
            <v>0</v>
          </cell>
          <cell r="C82">
            <v>0</v>
          </cell>
          <cell r="D82">
            <v>0</v>
          </cell>
          <cell r="E82">
            <v>39</v>
          </cell>
          <cell r="F82">
            <v>42</v>
          </cell>
          <cell r="G82">
            <v>19</v>
          </cell>
          <cell r="H82">
            <v>34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MR06510001</v>
          </cell>
          <cell r="B83">
            <v>2073</v>
          </cell>
          <cell r="C83">
            <v>2055</v>
          </cell>
          <cell r="D83">
            <v>2971</v>
          </cell>
          <cell r="E83">
            <v>2049</v>
          </cell>
          <cell r="F83">
            <v>2125</v>
          </cell>
          <cell r="G83">
            <v>1829</v>
          </cell>
          <cell r="H83">
            <v>2209</v>
          </cell>
          <cell r="I83">
            <v>2091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MR06520000</v>
          </cell>
          <cell r="B84">
            <v>0</v>
          </cell>
          <cell r="C84">
            <v>0</v>
          </cell>
          <cell r="D84">
            <v>12680</v>
          </cell>
          <cell r="E84">
            <v>0</v>
          </cell>
          <cell r="F84">
            <v>0</v>
          </cell>
          <cell r="G84">
            <v>13403</v>
          </cell>
          <cell r="H84">
            <v>0</v>
          </cell>
          <cell r="I84">
            <v>12978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MR06530000</v>
          </cell>
          <cell r="B85">
            <v>0</v>
          </cell>
          <cell r="C85">
            <v>12978</v>
          </cell>
          <cell r="D85">
            <v>0</v>
          </cell>
          <cell r="E85">
            <v>0</v>
          </cell>
          <cell r="F85">
            <v>12978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MR06540001</v>
          </cell>
          <cell r="B86">
            <v>676</v>
          </cell>
          <cell r="C86">
            <v>567</v>
          </cell>
          <cell r="D86">
            <v>796</v>
          </cell>
          <cell r="E86">
            <v>587</v>
          </cell>
          <cell r="F86">
            <v>589</v>
          </cell>
          <cell r="G86">
            <v>380</v>
          </cell>
          <cell r="H86">
            <v>288</v>
          </cell>
          <cell r="I86">
            <v>257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MR06610001</v>
          </cell>
          <cell r="B87">
            <v>57</v>
          </cell>
          <cell r="C87">
            <v>29</v>
          </cell>
          <cell r="D87">
            <v>132</v>
          </cell>
          <cell r="E87">
            <v>882</v>
          </cell>
          <cell r="F87">
            <v>814</v>
          </cell>
          <cell r="G87">
            <v>1616</v>
          </cell>
          <cell r="H87">
            <v>1944</v>
          </cell>
          <cell r="I87">
            <v>334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MR06630001</v>
          </cell>
          <cell r="B88">
            <v>0</v>
          </cell>
          <cell r="C88">
            <v>177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-177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MR06640000</v>
          </cell>
          <cell r="B89">
            <v>0</v>
          </cell>
          <cell r="C89">
            <v>307</v>
          </cell>
          <cell r="D89">
            <v>334</v>
          </cell>
          <cell r="E89">
            <v>0</v>
          </cell>
          <cell r="F89">
            <v>159</v>
          </cell>
          <cell r="G89">
            <v>0</v>
          </cell>
          <cell r="H89">
            <v>677</v>
          </cell>
          <cell r="I89">
            <v>988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MR06650001</v>
          </cell>
          <cell r="B90">
            <v>0</v>
          </cell>
          <cell r="C90">
            <v>0</v>
          </cell>
          <cell r="D90">
            <v>31</v>
          </cell>
          <cell r="E90">
            <v>0</v>
          </cell>
          <cell r="F90">
            <v>0</v>
          </cell>
          <cell r="G90">
            <v>0</v>
          </cell>
          <cell r="H90">
            <v>-31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MR06650002</v>
          </cell>
          <cell r="B91">
            <v>0</v>
          </cell>
          <cell r="C91">
            <v>0</v>
          </cell>
          <cell r="D91">
            <v>170</v>
          </cell>
          <cell r="E91">
            <v>254</v>
          </cell>
          <cell r="F91">
            <v>335</v>
          </cell>
          <cell r="G91">
            <v>459</v>
          </cell>
          <cell r="H91">
            <v>397</v>
          </cell>
          <cell r="I91">
            <v>197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MR06670000</v>
          </cell>
          <cell r="B92">
            <v>0</v>
          </cell>
          <cell r="C92">
            <v>0</v>
          </cell>
          <cell r="D92">
            <v>0</v>
          </cell>
          <cell r="E92">
            <v>-126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MR06680000</v>
          </cell>
          <cell r="B93">
            <v>0</v>
          </cell>
          <cell r="C93">
            <v>-307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MR06710000</v>
          </cell>
          <cell r="B94">
            <v>293</v>
          </cell>
          <cell r="C94">
            <v>200</v>
          </cell>
          <cell r="D94">
            <v>159</v>
          </cell>
          <cell r="E94">
            <v>385</v>
          </cell>
          <cell r="F94">
            <v>108</v>
          </cell>
          <cell r="G94">
            <v>330</v>
          </cell>
          <cell r="H94">
            <v>177</v>
          </cell>
          <cell r="I94">
            <v>12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MR06715000</v>
          </cell>
          <cell r="B95">
            <v>281</v>
          </cell>
          <cell r="C95">
            <v>151</v>
          </cell>
          <cell r="D95">
            <v>158</v>
          </cell>
          <cell r="E95">
            <v>54</v>
          </cell>
          <cell r="F95">
            <v>734</v>
          </cell>
          <cell r="G95">
            <v>136</v>
          </cell>
          <cell r="H95">
            <v>0</v>
          </cell>
          <cell r="I95">
            <v>286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MR06740000</v>
          </cell>
          <cell r="B96">
            <v>97</v>
          </cell>
          <cell r="C96">
            <v>167</v>
          </cell>
          <cell r="D96">
            <v>0</v>
          </cell>
          <cell r="E96">
            <v>37</v>
          </cell>
          <cell r="F96">
            <v>159</v>
          </cell>
          <cell r="G96">
            <v>0</v>
          </cell>
          <cell r="H96">
            <v>17</v>
          </cell>
          <cell r="I96">
            <v>723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MR06745000</v>
          </cell>
          <cell r="B97">
            <v>0</v>
          </cell>
          <cell r="C97">
            <v>0</v>
          </cell>
          <cell r="D97">
            <v>0</v>
          </cell>
          <cell r="E97">
            <v>262</v>
          </cell>
          <cell r="F97">
            <v>0</v>
          </cell>
          <cell r="G97">
            <v>182</v>
          </cell>
          <cell r="H97">
            <v>157</v>
          </cell>
          <cell r="I97">
            <v>389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MR06755000</v>
          </cell>
          <cell r="B98">
            <v>390</v>
          </cell>
          <cell r="C98">
            <v>151</v>
          </cell>
          <cell r="D98">
            <v>118</v>
          </cell>
          <cell r="E98">
            <v>136</v>
          </cell>
          <cell r="F98">
            <v>0</v>
          </cell>
          <cell r="G98">
            <v>233</v>
          </cell>
          <cell r="H98">
            <v>413</v>
          </cell>
          <cell r="I98">
            <v>5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MR06760000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54</v>
          </cell>
          <cell r="H99">
            <v>120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MR06765000</v>
          </cell>
          <cell r="B100">
            <v>13</v>
          </cell>
          <cell r="C100">
            <v>1810</v>
          </cell>
          <cell r="D100">
            <v>271</v>
          </cell>
          <cell r="E100">
            <v>517</v>
          </cell>
          <cell r="F100">
            <v>0</v>
          </cell>
          <cell r="G100">
            <v>0</v>
          </cell>
          <cell r="H100">
            <v>0</v>
          </cell>
          <cell r="I100">
            <v>168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MR06770000</v>
          </cell>
          <cell r="B101">
            <v>122</v>
          </cell>
          <cell r="C101">
            <v>148</v>
          </cell>
          <cell r="D101">
            <v>128</v>
          </cell>
          <cell r="E101">
            <v>117</v>
          </cell>
          <cell r="F101">
            <v>0</v>
          </cell>
          <cell r="G101">
            <v>0</v>
          </cell>
          <cell r="H101">
            <v>408</v>
          </cell>
          <cell r="I101">
            <v>485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MR06775000</v>
          </cell>
          <cell r="B102">
            <v>299</v>
          </cell>
          <cell r="C102">
            <v>493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MR06780000</v>
          </cell>
          <cell r="B103">
            <v>0</v>
          </cell>
          <cell r="C103">
            <v>0</v>
          </cell>
          <cell r="D103">
            <v>0</v>
          </cell>
          <cell r="E103">
            <v>133</v>
          </cell>
          <cell r="F103">
            <v>0</v>
          </cell>
          <cell r="G103">
            <v>0</v>
          </cell>
          <cell r="H103">
            <v>0</v>
          </cell>
          <cell r="I103">
            <v>240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MR06795000</v>
          </cell>
          <cell r="B104">
            <v>50</v>
          </cell>
          <cell r="C104">
            <v>76</v>
          </cell>
          <cell r="D104">
            <v>103</v>
          </cell>
          <cell r="E104">
            <v>71</v>
          </cell>
          <cell r="F104">
            <v>22</v>
          </cell>
          <cell r="G104">
            <v>10</v>
          </cell>
          <cell r="H104">
            <v>27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MR06810000</v>
          </cell>
          <cell r="B105">
            <v>17792</v>
          </cell>
          <cell r="C105">
            <v>17792</v>
          </cell>
          <cell r="D105">
            <v>17792</v>
          </cell>
          <cell r="E105">
            <v>17792</v>
          </cell>
          <cell r="F105">
            <v>17792</v>
          </cell>
          <cell r="G105">
            <v>17792</v>
          </cell>
          <cell r="H105">
            <v>17792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MR06820000</v>
          </cell>
          <cell r="B106">
            <v>3197</v>
          </cell>
          <cell r="C106">
            <v>3197</v>
          </cell>
          <cell r="D106">
            <v>3662</v>
          </cell>
          <cell r="E106">
            <v>3197</v>
          </cell>
          <cell r="F106">
            <v>3360</v>
          </cell>
          <cell r="G106">
            <v>3197</v>
          </cell>
          <cell r="H106">
            <v>6713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MR08010000</v>
          </cell>
          <cell r="B107">
            <v>3426</v>
          </cell>
          <cell r="C107">
            <v>3426</v>
          </cell>
          <cell r="D107">
            <v>3426</v>
          </cell>
          <cell r="E107">
            <v>3426</v>
          </cell>
          <cell r="F107">
            <v>3426</v>
          </cell>
          <cell r="G107">
            <v>3712</v>
          </cell>
          <cell r="H107">
            <v>3712</v>
          </cell>
          <cell r="I107">
            <v>3426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MR08020000</v>
          </cell>
          <cell r="B108">
            <v>14820</v>
          </cell>
          <cell r="C108">
            <v>6082</v>
          </cell>
          <cell r="D108">
            <v>13371</v>
          </cell>
          <cell r="E108">
            <v>13036</v>
          </cell>
          <cell r="F108">
            <v>17586</v>
          </cell>
          <cell r="G108">
            <v>14532</v>
          </cell>
          <cell r="H108">
            <v>13783</v>
          </cell>
          <cell r="I108">
            <v>13495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MR08040000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1886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MR99010000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596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MR99040000</v>
          </cell>
          <cell r="B111">
            <v>6800</v>
          </cell>
          <cell r="C111">
            <v>6800</v>
          </cell>
          <cell r="D111">
            <v>6800</v>
          </cell>
          <cell r="E111">
            <v>6800</v>
          </cell>
          <cell r="F111">
            <v>6800</v>
          </cell>
          <cell r="G111">
            <v>6800</v>
          </cell>
          <cell r="H111">
            <v>6800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MR99110000</v>
          </cell>
          <cell r="B112">
            <v>10</v>
          </cell>
          <cell r="C112">
            <v>100</v>
          </cell>
          <cell r="D112">
            <v>0</v>
          </cell>
          <cell r="E112">
            <v>13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MR99120000</v>
          </cell>
          <cell r="B113">
            <v>0</v>
          </cell>
          <cell r="C113">
            <v>4752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MR99130000</v>
          </cell>
          <cell r="B114">
            <v>8987</v>
          </cell>
          <cell r="C114">
            <v>8987</v>
          </cell>
          <cell r="D114">
            <v>8987</v>
          </cell>
          <cell r="E114">
            <v>8987</v>
          </cell>
          <cell r="F114">
            <v>8987</v>
          </cell>
          <cell r="G114">
            <v>8987</v>
          </cell>
          <cell r="H114">
            <v>8987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MR99210000</v>
          </cell>
          <cell r="B115">
            <v>19375</v>
          </cell>
          <cell r="C115">
            <v>19512</v>
          </cell>
          <cell r="D115">
            <v>19651</v>
          </cell>
          <cell r="E115">
            <v>19790</v>
          </cell>
          <cell r="F115">
            <v>25338</v>
          </cell>
          <cell r="G115">
            <v>20446</v>
          </cell>
          <cell r="H115">
            <v>20591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MR99215000</v>
          </cell>
          <cell r="B116">
            <v>-19375</v>
          </cell>
          <cell r="C116">
            <v>-19512</v>
          </cell>
          <cell r="D116">
            <v>-19651</v>
          </cell>
          <cell r="E116">
            <v>-19790</v>
          </cell>
          <cell r="F116">
            <v>-25338</v>
          </cell>
          <cell r="G116">
            <v>-20446</v>
          </cell>
          <cell r="H116">
            <v>-20591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MR99220001</v>
          </cell>
          <cell r="B117">
            <v>85305</v>
          </cell>
          <cell r="C117">
            <v>85168</v>
          </cell>
          <cell r="D117">
            <v>85029</v>
          </cell>
          <cell r="E117">
            <v>84890</v>
          </cell>
          <cell r="F117">
            <v>95119</v>
          </cell>
          <cell r="G117">
            <v>77517</v>
          </cell>
          <cell r="H117">
            <v>77372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MR99320000</v>
          </cell>
          <cell r="B118">
            <v>964</v>
          </cell>
          <cell r="C118">
            <v>0</v>
          </cell>
          <cell r="D118">
            <v>0</v>
          </cell>
          <cell r="E118">
            <v>2</v>
          </cell>
          <cell r="F118">
            <v>38</v>
          </cell>
          <cell r="G118">
            <v>6</v>
          </cell>
          <cell r="H118">
            <v>286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MR99910000</v>
          </cell>
          <cell r="B119">
            <v>53334</v>
          </cell>
          <cell r="C119">
            <v>53334</v>
          </cell>
          <cell r="D119">
            <v>55594</v>
          </cell>
          <cell r="E119">
            <v>54324</v>
          </cell>
          <cell r="F119">
            <v>49906</v>
          </cell>
          <cell r="G119">
            <v>54324</v>
          </cell>
          <cell r="H119">
            <v>54324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MR99920000</v>
          </cell>
          <cell r="B120">
            <v>2213</v>
          </cell>
          <cell r="C120">
            <v>2213</v>
          </cell>
          <cell r="D120">
            <v>2361</v>
          </cell>
          <cell r="E120">
            <v>2213</v>
          </cell>
          <cell r="F120">
            <v>2213</v>
          </cell>
          <cell r="G120">
            <v>2213</v>
          </cell>
          <cell r="H120">
            <v>2213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MR03010000</v>
          </cell>
        </row>
        <row r="122">
          <cell r="A122" t="str">
            <v>MR03020000</v>
          </cell>
        </row>
        <row r="123">
          <cell r="A123" t="str">
            <v>MR03030000</v>
          </cell>
        </row>
        <row r="124">
          <cell r="A124" t="str">
            <v>MR03040000</v>
          </cell>
        </row>
        <row r="125">
          <cell r="A125" t="str">
            <v>MR03060000</v>
          </cell>
        </row>
        <row r="126">
          <cell r="A126" t="str">
            <v>MR03070000</v>
          </cell>
        </row>
        <row r="127">
          <cell r="A127" t="str">
            <v>MR03080000</v>
          </cell>
        </row>
        <row r="128">
          <cell r="A128" t="str">
            <v>MR03080000</v>
          </cell>
        </row>
        <row r="129">
          <cell r="A129" t="str">
            <v>MR03090000</v>
          </cell>
        </row>
        <row r="130">
          <cell r="A130" t="str">
            <v>MR03110000</v>
          </cell>
        </row>
        <row r="131">
          <cell r="A131" t="str">
            <v>MR03115000</v>
          </cell>
        </row>
        <row r="132">
          <cell r="A132" t="str">
            <v>MR03120000</v>
          </cell>
        </row>
        <row r="133">
          <cell r="A133" t="str">
            <v>MR03130000</v>
          </cell>
        </row>
        <row r="134">
          <cell r="A134" t="str">
            <v>MR03140000</v>
          </cell>
        </row>
        <row r="135">
          <cell r="A135" t="str">
            <v>MR03150000</v>
          </cell>
        </row>
        <row r="136">
          <cell r="A136" t="str">
            <v>MR03160000</v>
          </cell>
        </row>
        <row r="137">
          <cell r="A137" t="str">
            <v>MR03210000</v>
          </cell>
        </row>
        <row r="138">
          <cell r="A138" t="str">
            <v>MR03220000</v>
          </cell>
        </row>
        <row r="139">
          <cell r="A139" t="str">
            <v>MR03230000</v>
          </cell>
        </row>
        <row r="140">
          <cell r="A140" t="str">
            <v>MR03240000</v>
          </cell>
        </row>
        <row r="141">
          <cell r="A141" t="str">
            <v>MR03250000</v>
          </cell>
        </row>
        <row r="142">
          <cell r="A142" t="str">
            <v>MR03295000</v>
          </cell>
        </row>
        <row r="143">
          <cell r="A143" t="str">
            <v>MR03305000</v>
          </cell>
        </row>
        <row r="144">
          <cell r="A144" t="str">
            <v>MR03310000</v>
          </cell>
        </row>
        <row r="145">
          <cell r="A145" t="str">
            <v>MR03315000</v>
          </cell>
        </row>
        <row r="146">
          <cell r="A146" t="str">
            <v>MR03325000</v>
          </cell>
        </row>
        <row r="147">
          <cell r="A147" t="str">
            <v>MR03330000</v>
          </cell>
        </row>
        <row r="148">
          <cell r="A148" t="str">
            <v>MR03335000</v>
          </cell>
        </row>
        <row r="149">
          <cell r="A149" t="str">
            <v>MR03340000</v>
          </cell>
        </row>
        <row r="150">
          <cell r="A150" t="str">
            <v>MR03350000</v>
          </cell>
        </row>
        <row r="151">
          <cell r="A151" t="str">
            <v>MR03385000</v>
          </cell>
        </row>
        <row r="152">
          <cell r="A152" t="str">
            <v>MR03390000</v>
          </cell>
        </row>
        <row r="153">
          <cell r="A153" t="str">
            <v>MR03395000</v>
          </cell>
        </row>
        <row r="154">
          <cell r="A154" t="str">
            <v>MR03410000</v>
          </cell>
        </row>
        <row r="155">
          <cell r="A155" t="str">
            <v>MR03415000</v>
          </cell>
        </row>
        <row r="156">
          <cell r="A156" t="str">
            <v>MR03420000</v>
          </cell>
        </row>
        <row r="157">
          <cell r="A157" t="str">
            <v>MR03425000</v>
          </cell>
        </row>
        <row r="158">
          <cell r="A158" t="str">
            <v>MR03430000</v>
          </cell>
        </row>
        <row r="159">
          <cell r="A159" t="str">
            <v>MR03435000</v>
          </cell>
        </row>
        <row r="160">
          <cell r="A160" t="str">
            <v>MR03440000</v>
          </cell>
        </row>
        <row r="161">
          <cell r="A161" t="str">
            <v>MR03445000</v>
          </cell>
        </row>
        <row r="162">
          <cell r="A162" t="str">
            <v>MR03450000</v>
          </cell>
        </row>
        <row r="163">
          <cell r="A163" t="str">
            <v>MR03495000</v>
          </cell>
        </row>
        <row r="164">
          <cell r="A164" t="str">
            <v>MR03995000</v>
          </cell>
        </row>
        <row r="165">
          <cell r="A165" t="str">
            <v>MR06005001</v>
          </cell>
        </row>
        <row r="166">
          <cell r="A166" t="str">
            <v>MR06010001</v>
          </cell>
        </row>
        <row r="167">
          <cell r="A167" t="str">
            <v>MR06010002</v>
          </cell>
        </row>
        <row r="168">
          <cell r="A168" t="str">
            <v>MR06015001</v>
          </cell>
        </row>
        <row r="169">
          <cell r="A169" t="str">
            <v>MR06015002</v>
          </cell>
        </row>
        <row r="170">
          <cell r="A170" t="str">
            <v>MR06020001</v>
          </cell>
        </row>
        <row r="171">
          <cell r="A171" t="str">
            <v>MR06025001</v>
          </cell>
        </row>
        <row r="172">
          <cell r="A172" t="str">
            <v>MR06025002</v>
          </cell>
        </row>
        <row r="173">
          <cell r="A173" t="str">
            <v>MR06030001</v>
          </cell>
        </row>
        <row r="174">
          <cell r="A174" t="str">
            <v>MR06030002</v>
          </cell>
        </row>
        <row r="175">
          <cell r="A175" t="str">
            <v>MR06035001</v>
          </cell>
        </row>
        <row r="176">
          <cell r="A176" t="str">
            <v>MR06040001</v>
          </cell>
        </row>
        <row r="177">
          <cell r="A177" t="str">
            <v>MR06045001</v>
          </cell>
        </row>
        <row r="178">
          <cell r="A178" t="str">
            <v>MR06045002</v>
          </cell>
        </row>
        <row r="179">
          <cell r="A179" t="str">
            <v>MR06045003</v>
          </cell>
        </row>
        <row r="180">
          <cell r="A180" t="str">
            <v>MR06045004</v>
          </cell>
        </row>
        <row r="181">
          <cell r="A181" t="str">
            <v>MR06045005</v>
          </cell>
        </row>
        <row r="182">
          <cell r="A182" t="str">
            <v>MR06045006</v>
          </cell>
        </row>
        <row r="183">
          <cell r="A183" t="str">
            <v>MR06045007</v>
          </cell>
        </row>
        <row r="184">
          <cell r="A184" t="str">
            <v>MR06050001</v>
          </cell>
        </row>
        <row r="185">
          <cell r="A185" t="str">
            <v>MR06055001</v>
          </cell>
        </row>
        <row r="186">
          <cell r="A186" t="str">
            <v>MR06060001</v>
          </cell>
        </row>
        <row r="187">
          <cell r="A187" t="str">
            <v>MR06065001</v>
          </cell>
        </row>
        <row r="188">
          <cell r="A188" t="str">
            <v>MR06070001</v>
          </cell>
        </row>
        <row r="189">
          <cell r="A189" t="str">
            <v>MR06070002</v>
          </cell>
        </row>
        <row r="190">
          <cell r="A190" t="str">
            <v>MR06070003</v>
          </cell>
        </row>
        <row r="191">
          <cell r="A191" t="str">
            <v>MR06070004</v>
          </cell>
        </row>
        <row r="192">
          <cell r="A192" t="str">
            <v>MR06070005</v>
          </cell>
        </row>
        <row r="193">
          <cell r="A193" t="str">
            <v>MR06070006</v>
          </cell>
        </row>
        <row r="194">
          <cell r="A194" t="str">
            <v>MR06080002</v>
          </cell>
        </row>
        <row r="195">
          <cell r="A195" t="str">
            <v>MR06080003</v>
          </cell>
        </row>
        <row r="196">
          <cell r="A196" t="str">
            <v>MR06080004</v>
          </cell>
        </row>
        <row r="197">
          <cell r="A197" t="str">
            <v>MR06080005</v>
          </cell>
        </row>
        <row r="198">
          <cell r="A198" t="str">
            <v>MR06090001</v>
          </cell>
        </row>
        <row r="199">
          <cell r="A199" t="str">
            <v>MR06090002</v>
          </cell>
        </row>
        <row r="200">
          <cell r="A200" t="str">
            <v>MR06090003</v>
          </cell>
        </row>
        <row r="201">
          <cell r="A201" t="str">
            <v>MR06090004</v>
          </cell>
        </row>
        <row r="202">
          <cell r="A202" t="str">
            <v>MR06105000</v>
          </cell>
        </row>
        <row r="203">
          <cell r="A203" t="str">
            <v>MR06110000</v>
          </cell>
        </row>
        <row r="204">
          <cell r="A204" t="str">
            <v>MR06115000</v>
          </cell>
        </row>
        <row r="205">
          <cell r="A205" t="str">
            <v>MR06120000</v>
          </cell>
        </row>
        <row r="206">
          <cell r="A206" t="str">
            <v>MR06125000</v>
          </cell>
        </row>
        <row r="207">
          <cell r="A207" t="str">
            <v>MR06130000</v>
          </cell>
        </row>
        <row r="208">
          <cell r="A208" t="str">
            <v>MR06135000</v>
          </cell>
        </row>
        <row r="209">
          <cell r="A209" t="str">
            <v>MR06140000</v>
          </cell>
        </row>
        <row r="210">
          <cell r="A210" t="str">
            <v>MR06145000</v>
          </cell>
        </row>
        <row r="211">
          <cell r="A211" t="str">
            <v>MR06150000</v>
          </cell>
        </row>
        <row r="212">
          <cell r="A212" t="str">
            <v>MR06155000</v>
          </cell>
        </row>
        <row r="213">
          <cell r="A213" t="str">
            <v>MR06160000</v>
          </cell>
        </row>
        <row r="214">
          <cell r="A214" t="str">
            <v>MR06165000</v>
          </cell>
        </row>
        <row r="215">
          <cell r="A215" t="str">
            <v>MR06170000</v>
          </cell>
        </row>
        <row r="216">
          <cell r="A216" t="str">
            <v>MR06175000</v>
          </cell>
        </row>
        <row r="217">
          <cell r="A217" t="str">
            <v>MR06205000</v>
          </cell>
        </row>
        <row r="218">
          <cell r="A218" t="str">
            <v>MR06210000</v>
          </cell>
        </row>
        <row r="219">
          <cell r="A219" t="str">
            <v>MR06215000</v>
          </cell>
        </row>
        <row r="220">
          <cell r="A220" t="str">
            <v>MR06220000</v>
          </cell>
        </row>
        <row r="221">
          <cell r="A221" t="str">
            <v>MR06225000</v>
          </cell>
        </row>
        <row r="222">
          <cell r="A222" t="str">
            <v>MR06228000</v>
          </cell>
        </row>
        <row r="223">
          <cell r="A223" t="str">
            <v>MR06230000</v>
          </cell>
        </row>
        <row r="224">
          <cell r="A224" t="str">
            <v>MR06232000</v>
          </cell>
        </row>
        <row r="225">
          <cell r="A225" t="str">
            <v>MR06234000</v>
          </cell>
        </row>
        <row r="226">
          <cell r="A226" t="str">
            <v>MR06235000</v>
          </cell>
        </row>
        <row r="227">
          <cell r="A227" t="str">
            <v>MR06240000</v>
          </cell>
        </row>
        <row r="228">
          <cell r="A228" t="str">
            <v>MR06250000</v>
          </cell>
        </row>
        <row r="229">
          <cell r="A229" t="str">
            <v>MR06255001</v>
          </cell>
        </row>
        <row r="230">
          <cell r="A230" t="str">
            <v>MR06255002</v>
          </cell>
        </row>
        <row r="231">
          <cell r="A231" t="str">
            <v>MR06255003</v>
          </cell>
        </row>
        <row r="232">
          <cell r="A232" t="str">
            <v>MR06258000</v>
          </cell>
        </row>
        <row r="233">
          <cell r="A233" t="str">
            <v>MR06260000</v>
          </cell>
        </row>
        <row r="234">
          <cell r="A234" t="str">
            <v>MR06263000</v>
          </cell>
        </row>
        <row r="235">
          <cell r="A235" t="str">
            <v>MR06265000</v>
          </cell>
        </row>
        <row r="236">
          <cell r="A236" t="str">
            <v>MR06267000</v>
          </cell>
        </row>
        <row r="237">
          <cell r="A237" t="str">
            <v>MR06270000</v>
          </cell>
        </row>
        <row r="238">
          <cell r="A238" t="str">
            <v>MR06275000</v>
          </cell>
        </row>
        <row r="239">
          <cell r="A239" t="str">
            <v>MR06280000</v>
          </cell>
        </row>
        <row r="240">
          <cell r="A240" t="str">
            <v>MR06285000</v>
          </cell>
        </row>
        <row r="241">
          <cell r="A241" t="str">
            <v>MR06286000</v>
          </cell>
        </row>
        <row r="242">
          <cell r="A242" t="str">
            <v>MR06290000</v>
          </cell>
        </row>
        <row r="243">
          <cell r="A243" t="str">
            <v>MR06291000</v>
          </cell>
        </row>
        <row r="244">
          <cell r="A244" t="str">
            <v>MR06295000</v>
          </cell>
        </row>
        <row r="245">
          <cell r="A245" t="str">
            <v>MR06296000</v>
          </cell>
        </row>
        <row r="246">
          <cell r="A246" t="str">
            <v>MR06310000</v>
          </cell>
        </row>
        <row r="247">
          <cell r="A247" t="str">
            <v>MR06320000</v>
          </cell>
        </row>
        <row r="248">
          <cell r="A248" t="str">
            <v>MR06325000</v>
          </cell>
        </row>
        <row r="249">
          <cell r="A249" t="str">
            <v>MR06330000</v>
          </cell>
        </row>
        <row r="250">
          <cell r="A250" t="str">
            <v>MR06340000</v>
          </cell>
        </row>
        <row r="251">
          <cell r="A251" t="str">
            <v>MR06350000</v>
          </cell>
        </row>
        <row r="252">
          <cell r="A252" t="str">
            <v>MR06360000</v>
          </cell>
        </row>
        <row r="253">
          <cell r="A253" t="str">
            <v>MR06365000</v>
          </cell>
        </row>
        <row r="254">
          <cell r="A254" t="str">
            <v>MR06370000</v>
          </cell>
        </row>
        <row r="255">
          <cell r="A255" t="str">
            <v>MR06375000</v>
          </cell>
        </row>
        <row r="256">
          <cell r="A256" t="str">
            <v>MR06380000</v>
          </cell>
        </row>
        <row r="257">
          <cell r="A257" t="str">
            <v>MR06385000</v>
          </cell>
        </row>
        <row r="258">
          <cell r="A258" t="str">
            <v>MR06410000</v>
          </cell>
        </row>
        <row r="259">
          <cell r="A259" t="str">
            <v>MR06415000</v>
          </cell>
        </row>
        <row r="260">
          <cell r="A260" t="str">
            <v>MR06420000</v>
          </cell>
        </row>
        <row r="261">
          <cell r="A261" t="str">
            <v>MR06425000</v>
          </cell>
        </row>
        <row r="262">
          <cell r="A262" t="str">
            <v>MR06490000</v>
          </cell>
        </row>
        <row r="263">
          <cell r="A263" t="str">
            <v>MR06510001</v>
          </cell>
        </row>
        <row r="264">
          <cell r="A264" t="str">
            <v>MR06510002</v>
          </cell>
        </row>
        <row r="265">
          <cell r="A265" t="str">
            <v>MR06510003</v>
          </cell>
        </row>
        <row r="266">
          <cell r="A266" t="str">
            <v>MR06520000</v>
          </cell>
        </row>
        <row r="267">
          <cell r="A267" t="str">
            <v>MR06530000</v>
          </cell>
        </row>
        <row r="268">
          <cell r="A268" t="str">
            <v>MR06540001</v>
          </cell>
        </row>
        <row r="269">
          <cell r="A269" t="str">
            <v>MR06540002</v>
          </cell>
        </row>
        <row r="270">
          <cell r="A270" t="str">
            <v>MR06540003</v>
          </cell>
        </row>
        <row r="271">
          <cell r="A271" t="str">
            <v>MR06610001</v>
          </cell>
        </row>
        <row r="272">
          <cell r="A272" t="str">
            <v>MR06610002</v>
          </cell>
        </row>
        <row r="273">
          <cell r="A273" t="str">
            <v>MR06620000</v>
          </cell>
        </row>
        <row r="274">
          <cell r="A274" t="str">
            <v>MR06630001</v>
          </cell>
        </row>
        <row r="275">
          <cell r="A275" t="str">
            <v>MR06640000</v>
          </cell>
        </row>
        <row r="276">
          <cell r="A276" t="str">
            <v>MR06650001</v>
          </cell>
        </row>
        <row r="277">
          <cell r="A277" t="str">
            <v>MR06650002</v>
          </cell>
        </row>
        <row r="278">
          <cell r="A278" t="str">
            <v>MR06660000</v>
          </cell>
        </row>
        <row r="279">
          <cell r="A279" t="str">
            <v>MR06670000</v>
          </cell>
        </row>
        <row r="280">
          <cell r="A280" t="str">
            <v>MR06680000</v>
          </cell>
        </row>
        <row r="281">
          <cell r="A281" t="str">
            <v>MR06710000</v>
          </cell>
        </row>
        <row r="282">
          <cell r="A282" t="str">
            <v>MR06715000</v>
          </cell>
        </row>
        <row r="283">
          <cell r="A283" t="str">
            <v>MR06720000</v>
          </cell>
        </row>
        <row r="284">
          <cell r="A284" t="str">
            <v>MR06725000</v>
          </cell>
        </row>
        <row r="285">
          <cell r="A285" t="str">
            <v>MR06730000</v>
          </cell>
        </row>
        <row r="286">
          <cell r="A286" t="str">
            <v>MR06740000</v>
          </cell>
        </row>
        <row r="287">
          <cell r="A287" t="str">
            <v>MR06745000</v>
          </cell>
        </row>
        <row r="288">
          <cell r="A288" t="str">
            <v>MR06755000</v>
          </cell>
        </row>
        <row r="289">
          <cell r="A289" t="str">
            <v>MR06760000</v>
          </cell>
        </row>
        <row r="290">
          <cell r="A290" t="str">
            <v>MR06765000</v>
          </cell>
        </row>
        <row r="291">
          <cell r="A291" t="str">
            <v>MR06770000</v>
          </cell>
        </row>
        <row r="292">
          <cell r="A292" t="str">
            <v>MR06775000</v>
          </cell>
        </row>
        <row r="293">
          <cell r="A293" t="str">
            <v>MR06780000</v>
          </cell>
        </row>
        <row r="294">
          <cell r="A294" t="str">
            <v>MR06785000</v>
          </cell>
        </row>
        <row r="295">
          <cell r="A295" t="str">
            <v>MR06790000</v>
          </cell>
        </row>
        <row r="296">
          <cell r="A296" t="str">
            <v>MR06795000</v>
          </cell>
        </row>
        <row r="297">
          <cell r="A297" t="str">
            <v>MR06810000</v>
          </cell>
        </row>
        <row r="298">
          <cell r="A298" t="str">
            <v>MR06820000</v>
          </cell>
        </row>
        <row r="299">
          <cell r="A299" t="str">
            <v>MR06840000</v>
          </cell>
        </row>
        <row r="300">
          <cell r="A300" t="str">
            <v>MR06850000</v>
          </cell>
        </row>
        <row r="301">
          <cell r="A301" t="str">
            <v>MR07010001</v>
          </cell>
        </row>
        <row r="302">
          <cell r="A302" t="str">
            <v>MR07010002</v>
          </cell>
        </row>
        <row r="303">
          <cell r="A303" t="str">
            <v>MR07010003</v>
          </cell>
        </row>
        <row r="304">
          <cell r="A304" t="str">
            <v>MR07010004</v>
          </cell>
        </row>
        <row r="305">
          <cell r="A305" t="str">
            <v>MR07010005</v>
          </cell>
        </row>
        <row r="306">
          <cell r="A306" t="str">
            <v>MR07010006</v>
          </cell>
        </row>
        <row r="307">
          <cell r="A307" t="str">
            <v>MR07010007</v>
          </cell>
        </row>
        <row r="308">
          <cell r="A308" t="str">
            <v>MR07020000</v>
          </cell>
        </row>
        <row r="309">
          <cell r="A309" t="str">
            <v>MR07030000</v>
          </cell>
        </row>
        <row r="310">
          <cell r="A310" t="str">
            <v>MR07040000</v>
          </cell>
        </row>
        <row r="311">
          <cell r="A311" t="str">
            <v>MR07105000</v>
          </cell>
        </row>
        <row r="312">
          <cell r="A312" t="str">
            <v>MR07110000</v>
          </cell>
        </row>
        <row r="313">
          <cell r="A313" t="str">
            <v>MR07115000</v>
          </cell>
        </row>
        <row r="314">
          <cell r="A314" t="str">
            <v>MR07120000</v>
          </cell>
        </row>
        <row r="315">
          <cell r="A315" t="str">
            <v>MR07125000</v>
          </cell>
        </row>
        <row r="316">
          <cell r="A316" t="str">
            <v>MR07130000</v>
          </cell>
        </row>
        <row r="317">
          <cell r="A317" t="str">
            <v>MR07135000</v>
          </cell>
        </row>
        <row r="318">
          <cell r="A318" t="str">
            <v>MR07140000</v>
          </cell>
        </row>
        <row r="319">
          <cell r="A319" t="str">
            <v>MR07145000</v>
          </cell>
        </row>
        <row r="320">
          <cell r="A320" t="str">
            <v>MR07155000</v>
          </cell>
        </row>
        <row r="321">
          <cell r="A321" t="str">
            <v>MR07160000</v>
          </cell>
        </row>
        <row r="322">
          <cell r="A322" t="str">
            <v>MR07165000</v>
          </cell>
        </row>
        <row r="323">
          <cell r="A323" t="str">
            <v>MR07170000</v>
          </cell>
        </row>
        <row r="324">
          <cell r="A324" t="str">
            <v>MR07175000</v>
          </cell>
        </row>
        <row r="325">
          <cell r="A325" t="str">
            <v>MR07180000</v>
          </cell>
        </row>
        <row r="326">
          <cell r="A326" t="str">
            <v>MR07205000</v>
          </cell>
        </row>
        <row r="327">
          <cell r="A327" t="str">
            <v>MR07210000</v>
          </cell>
        </row>
        <row r="328">
          <cell r="A328" t="str">
            <v>MR07215000</v>
          </cell>
        </row>
        <row r="329">
          <cell r="A329" t="str">
            <v>MR07220000</v>
          </cell>
        </row>
        <row r="330">
          <cell r="A330" t="str">
            <v>MR07225000</v>
          </cell>
        </row>
        <row r="331">
          <cell r="A331" t="str">
            <v>MR07230000</v>
          </cell>
        </row>
        <row r="332">
          <cell r="A332" t="str">
            <v>MR07235000</v>
          </cell>
        </row>
        <row r="333">
          <cell r="A333" t="str">
            <v>MR07240000</v>
          </cell>
        </row>
        <row r="334">
          <cell r="A334" t="str">
            <v>MR07245000</v>
          </cell>
        </row>
        <row r="335">
          <cell r="A335" t="str">
            <v>MR07250000</v>
          </cell>
        </row>
        <row r="336">
          <cell r="A336" t="str">
            <v>MR07255000</v>
          </cell>
        </row>
        <row r="337">
          <cell r="A337" t="str">
            <v>MR07260000</v>
          </cell>
        </row>
        <row r="338">
          <cell r="A338" t="str">
            <v>MR07265000</v>
          </cell>
        </row>
        <row r="339">
          <cell r="A339" t="str">
            <v>MR07270000</v>
          </cell>
        </row>
        <row r="340">
          <cell r="A340" t="str">
            <v>MR07275000</v>
          </cell>
        </row>
        <row r="341">
          <cell r="A341" t="str">
            <v>MR07310000</v>
          </cell>
        </row>
        <row r="342">
          <cell r="A342" t="str">
            <v>MR07320000</v>
          </cell>
        </row>
        <row r="343">
          <cell r="A343" t="str">
            <v>MR07330000</v>
          </cell>
        </row>
        <row r="344">
          <cell r="A344" t="str">
            <v>MR07350000</v>
          </cell>
        </row>
        <row r="345">
          <cell r="A345" t="str">
            <v>MR07360000</v>
          </cell>
        </row>
        <row r="346">
          <cell r="A346" t="str">
            <v>MR07420000</v>
          </cell>
        </row>
        <row r="347">
          <cell r="A347" t="str">
            <v>MR07450000</v>
          </cell>
        </row>
        <row r="348">
          <cell r="A348" t="str">
            <v>MR07605000</v>
          </cell>
        </row>
        <row r="349">
          <cell r="A349" t="str">
            <v>MR07610000</v>
          </cell>
        </row>
        <row r="350">
          <cell r="A350" t="str">
            <v>MR07615000</v>
          </cell>
        </row>
        <row r="351">
          <cell r="A351" t="str">
            <v>MR07620000</v>
          </cell>
        </row>
        <row r="352">
          <cell r="A352" t="str">
            <v>MR07625000</v>
          </cell>
        </row>
        <row r="353">
          <cell r="A353" t="str">
            <v>MR07630000</v>
          </cell>
        </row>
        <row r="354">
          <cell r="A354" t="str">
            <v>MR07635000</v>
          </cell>
        </row>
        <row r="355">
          <cell r="A355" t="str">
            <v>MR07640000</v>
          </cell>
        </row>
        <row r="356">
          <cell r="A356" t="str">
            <v>MR07645000</v>
          </cell>
        </row>
        <row r="357">
          <cell r="A357" t="str">
            <v>MR07650000</v>
          </cell>
        </row>
        <row r="358">
          <cell r="A358" t="str">
            <v>MR07655000</v>
          </cell>
        </row>
        <row r="359">
          <cell r="A359" t="str">
            <v>MR07660000</v>
          </cell>
        </row>
        <row r="360">
          <cell r="A360" t="str">
            <v>MR07705000</v>
          </cell>
        </row>
        <row r="361">
          <cell r="A361" t="str">
            <v>MR07710000</v>
          </cell>
        </row>
        <row r="362">
          <cell r="A362" t="str">
            <v>MR07715000</v>
          </cell>
        </row>
        <row r="363">
          <cell r="A363" t="str">
            <v>MR07720000</v>
          </cell>
        </row>
        <row r="364">
          <cell r="A364" t="str">
            <v>MR07725000</v>
          </cell>
        </row>
        <row r="365">
          <cell r="A365" t="str">
            <v>MR07730000</v>
          </cell>
        </row>
        <row r="366">
          <cell r="A366" t="str">
            <v>MR07735000</v>
          </cell>
        </row>
        <row r="367">
          <cell r="A367" t="str">
            <v>MR07740000</v>
          </cell>
        </row>
        <row r="368">
          <cell r="A368" t="str">
            <v>MR07745000</v>
          </cell>
        </row>
        <row r="369">
          <cell r="A369" t="str">
            <v>MR07750000</v>
          </cell>
        </row>
        <row r="370">
          <cell r="A370" t="str">
            <v>MR07755000</v>
          </cell>
        </row>
        <row r="371">
          <cell r="A371" t="str">
            <v>MR07760000</v>
          </cell>
        </row>
        <row r="372">
          <cell r="A372" t="str">
            <v>MR07765000</v>
          </cell>
        </row>
        <row r="373">
          <cell r="A373" t="str">
            <v>MR08010000</v>
          </cell>
        </row>
        <row r="374">
          <cell r="A374" t="str">
            <v>MR08020000</v>
          </cell>
        </row>
        <row r="375">
          <cell r="A375" t="str">
            <v>MR08030000</v>
          </cell>
        </row>
        <row r="376">
          <cell r="A376" t="str">
            <v>MR08040000</v>
          </cell>
        </row>
        <row r="377">
          <cell r="A377" t="str">
            <v>MR99010000</v>
          </cell>
        </row>
        <row r="378">
          <cell r="A378" t="str">
            <v>MR99040000</v>
          </cell>
        </row>
        <row r="379">
          <cell r="A379" t="str">
            <v>MR99110000</v>
          </cell>
        </row>
        <row r="380">
          <cell r="A380" t="str">
            <v>MR99120000</v>
          </cell>
        </row>
        <row r="381">
          <cell r="A381" t="str">
            <v>MR99130000</v>
          </cell>
        </row>
        <row r="382">
          <cell r="A382" t="str">
            <v>MR99210000</v>
          </cell>
        </row>
        <row r="383">
          <cell r="A383" t="str">
            <v>MR99220001</v>
          </cell>
        </row>
        <row r="384">
          <cell r="A384" t="str">
            <v>MR99220003</v>
          </cell>
        </row>
        <row r="385">
          <cell r="A385" t="str">
            <v>MR99310000</v>
          </cell>
        </row>
        <row r="386">
          <cell r="A386" t="str">
            <v>MR99325000</v>
          </cell>
        </row>
        <row r="387">
          <cell r="A387" t="str">
            <v>MR99910000</v>
          </cell>
        </row>
        <row r="388">
          <cell r="A388" t="str">
            <v>MR99920000</v>
          </cell>
        </row>
      </sheetData>
      <sheetData sheetId="19" refreshError="1"/>
      <sheetData sheetId="20" refreshError="1"/>
      <sheetData sheetId="2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Summ"/>
      <sheetName val="Ad Valorem Tax Analysis"/>
      <sheetName val="Land Grid"/>
      <sheetName val="Cost Approach"/>
      <sheetName val="Rent Comp Grid"/>
      <sheetName val="Expense Comps &amp; Forecast"/>
      <sheetName val="Lease Up"/>
      <sheetName val="Direct Cap."/>
      <sheetName val="DCF "/>
      <sheetName val="Improved Sales Comp."/>
    </sheetNames>
    <sheetDataSet>
      <sheetData sheetId="0" refreshError="1">
        <row r="30">
          <cell r="B30">
            <v>20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d Valorem Taxes"/>
      <sheetName val="Land Grid"/>
      <sheetName val="Cost App"/>
      <sheetName val="Expense Comps"/>
      <sheetName val="Rent &amp; Direct Cap"/>
      <sheetName val="DCF"/>
      <sheetName val="Lease Up"/>
      <sheetName val="Improved Sales"/>
      <sheetName val="LIHTC Expense Comps"/>
      <sheetName val="LIHTC Income Bands IV"/>
      <sheetName val="Graphs &amp; Mkt Study"/>
    </sheetNames>
    <sheetDataSet>
      <sheetData sheetId="0" refreshError="1">
        <row r="8">
          <cell r="E8" t="str">
            <v>Houston, TX</v>
          </cell>
        </row>
      </sheetData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Income Bands IV"/>
      <sheetName val="Direct Cap"/>
      <sheetName val="Unit Mix-Accessible Demand"/>
      <sheetName val="Development Costs VI"/>
      <sheetName val="Investment Analysis VII"/>
      <sheetName val="Expense Comp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tModel"/>
      <sheetName val="CostEst."/>
      <sheetName val="Summary"/>
      <sheetName val="LeaseUp"/>
      <sheetName val="Taxes"/>
      <sheetName val="DCF"/>
      <sheetName val="LandGrid"/>
      <sheetName val="Expenses"/>
      <sheetName val="Imp.SalesGrid"/>
    </sheetNames>
    <sheetDataSet>
      <sheetData sheetId="0" refreshError="1">
        <row r="61">
          <cell r="F61">
            <v>6.9999999999999951E-2</v>
          </cell>
        </row>
      </sheetData>
      <sheetData sheetId="1"/>
      <sheetData sheetId="2"/>
      <sheetData sheetId="3"/>
      <sheetData sheetId="4" refreshError="1">
        <row r="40">
          <cell r="I40">
            <v>391257.62133499992</v>
          </cell>
        </row>
      </sheetData>
      <sheetData sheetId="5"/>
      <sheetData sheetId="6"/>
      <sheetData sheetId="7" refreshError="1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 Cap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 Cap"/>
      <sheetName val="Summary &amp; Salient"/>
      <sheetName val="Ad Valorem Taxes"/>
      <sheetName val="Student Housing Expense Comps"/>
      <sheetName val="Expense Comps"/>
      <sheetName val="Land Adj"/>
      <sheetName val="Cost Approach"/>
      <sheetName val="DCF"/>
      <sheetName val="Lease Up Discount"/>
      <sheetName val="Improved Sales"/>
    </sheetNames>
    <sheetDataSet>
      <sheetData sheetId="0" refreshError="1">
        <row r="22">
          <cell r="H22">
            <v>968</v>
          </cell>
        </row>
      </sheetData>
      <sheetData sheetId="1" refreshError="1">
        <row r="5">
          <cell r="F5" t="str">
            <v>Jefferson Commons @ Denton</v>
          </cell>
        </row>
        <row r="12">
          <cell r="F12" t="str">
            <v>1999-2000</v>
          </cell>
        </row>
        <row r="43">
          <cell r="E43">
            <v>0.95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&amp; Salient"/>
      <sheetName val="Ad Valorem Taxes"/>
      <sheetName val="Land Adj"/>
      <sheetName val="Cost Approach"/>
      <sheetName val="Expense Comps"/>
      <sheetName val="Direct Cap"/>
      <sheetName val="DCF"/>
      <sheetName val="Lease Up Discount"/>
      <sheetName val="Improved Sales"/>
    </sheetNames>
    <sheetDataSet>
      <sheetData sheetId="0" refreshError="1">
        <row r="59">
          <cell r="F59">
            <v>35068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 Sheet"/>
      <sheetName val="Income Statement"/>
      <sheetName val="Help"/>
      <sheetName val="Tickmark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Summ"/>
      <sheetName val="Ad Valorem Tax Analysis"/>
      <sheetName val="Land Grid"/>
      <sheetName val="Cost Approach"/>
      <sheetName val="Market Rent Comparison"/>
      <sheetName val="Rent Comp Grid"/>
      <sheetName val="Expense Comps &amp; Forecast"/>
      <sheetName val="Direct Cap."/>
      <sheetName val="DCF "/>
      <sheetName val="NOI and Cap Rates from Sales"/>
      <sheetName val="Improved Sales Comp."/>
    </sheetNames>
    <sheetDataSet>
      <sheetData sheetId="0"/>
      <sheetData sheetId="1" refreshError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>
        <row r="17">
          <cell r="F17">
            <v>4.7774504339517479E-2</v>
          </cell>
        </row>
        <row r="18">
          <cell r="F18">
            <v>2.5063938211641053</v>
          </cell>
        </row>
        <row r="19">
          <cell r="F19">
            <v>2.5698542877617645</v>
          </cell>
        </row>
        <row r="20">
          <cell r="F20">
            <v>0.14289354247949679</v>
          </cell>
        </row>
        <row r="21">
          <cell r="F21">
            <v>1.5242016481771958</v>
          </cell>
        </row>
      </sheetData>
      <sheetData sheetId="9"/>
      <sheetData sheetId="10" refreshError="1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dex"/>
      <sheetName val="A-ExecSum"/>
      <sheetName val="B-Assump"/>
      <sheetName val="C-Metrics"/>
      <sheetName val="E-BAH"/>
      <sheetName val="H-SourceComb"/>
      <sheetName val="D1-RevExpCar"/>
      <sheetName val="F1-ExpCar"/>
      <sheetName val="G1-DevBudCar"/>
      <sheetName val="D2-RevExpMon"/>
      <sheetName val="F2-ExpMon"/>
      <sheetName val="G2-DevBudMon"/>
      <sheetName val="D3-RevExpPic"/>
      <sheetName val="F3-ExpPic"/>
      <sheetName val="G3-DevBudPic"/>
      <sheetName val="I-CapReinv"/>
      <sheetName val="K-Equity"/>
      <sheetName val="Z-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95">
          <cell r="C95" t="str">
            <v>Name</v>
          </cell>
          <cell r="D95" t="str">
            <v>Carlisle Barracks</v>
          </cell>
        </row>
        <row r="96">
          <cell r="C96" t="str">
            <v>Description</v>
          </cell>
          <cell r="D96" t="str">
            <v>AmEagle Army Northeast v3A</v>
          </cell>
        </row>
        <row r="97">
          <cell r="C97" t="str">
            <v>Program Type</v>
          </cell>
          <cell r="D97" t="str">
            <v>Direct</v>
          </cell>
        </row>
        <row r="98">
          <cell r="C98" t="str">
            <v>Cohort</v>
          </cell>
          <cell r="D98">
            <v>2005</v>
          </cell>
        </row>
        <row r="99">
          <cell r="C99" t="str">
            <v>Disbursements</v>
          </cell>
          <cell r="D99">
            <v>0</v>
          </cell>
          <cell r="E99">
            <v>0</v>
          </cell>
          <cell r="F99">
            <v>0</v>
          </cell>
          <cell r="G99">
            <v>13000000</v>
          </cell>
        </row>
        <row r="100">
          <cell r="C100" t="str">
            <v>Principal Payments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271414.04659715295</v>
          </cell>
          <cell r="P100">
            <v>279669.36454416998</v>
          </cell>
          <cell r="Q100">
            <v>288175.77588617429</v>
          </cell>
          <cell r="R100">
            <v>296940.91786904633</v>
          </cell>
          <cell r="S100">
            <v>305972.66003280692</v>
          </cell>
          <cell r="T100">
            <v>315279.11127707176</v>
          </cell>
          <cell r="U100">
            <v>324868.62714140862</v>
          </cell>
          <cell r="V100">
            <v>334749.81730709225</v>
          </cell>
          <cell r="W100">
            <v>344931.55332710594</v>
          </cell>
          <cell r="X100">
            <v>355422.97659121267</v>
          </cell>
          <cell r="Y100">
            <v>366233.50653328374</v>
          </cell>
          <cell r="Z100">
            <v>377372.84908828512</v>
          </cell>
          <cell r="AA100">
            <v>388851.00540647656</v>
          </cell>
          <cell r="AB100">
            <v>400678.28083269391</v>
          </cell>
          <cell r="AC100">
            <v>412865.29415868036</v>
          </cell>
          <cell r="AD100">
            <v>425422.98715689313</v>
          </cell>
          <cell r="AE100">
            <v>438362.6344042737</v>
          </cell>
          <cell r="AF100">
            <v>451695.8534048032</v>
          </cell>
          <cell r="AG100">
            <v>465434.61501997616</v>
          </cell>
          <cell r="AH100">
            <v>479591.25421647821</v>
          </cell>
          <cell r="AI100">
            <v>494178.48114081658</v>
          </cell>
          <cell r="AJ100">
            <v>509209.39253077842</v>
          </cell>
          <cell r="AK100">
            <v>524697.483473951</v>
          </cell>
          <cell r="AL100">
            <v>540656.65952392109</v>
          </cell>
          <cell r="AM100">
            <v>557101.24918499822</v>
          </cell>
          <cell r="AN100">
            <v>574046.01677666791</v>
          </cell>
          <cell r="AO100">
            <v>591506.17568932055</v>
          </cell>
          <cell r="AP100">
            <v>609497.40204316447</v>
          </cell>
          <cell r="AQ100">
            <v>628035.84876259684</v>
          </cell>
          <cell r="AR100">
            <v>647138.16007869912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</row>
        <row r="101">
          <cell r="C101" t="str">
            <v>Interest Payments</v>
          </cell>
          <cell r="D101">
            <v>0</v>
          </cell>
          <cell r="E101">
            <v>0</v>
          </cell>
          <cell r="F101">
            <v>0</v>
          </cell>
          <cell r="G101">
            <v>130000</v>
          </cell>
          <cell r="H101">
            <v>130000</v>
          </cell>
          <cell r="I101">
            <v>130000</v>
          </cell>
          <cell r="J101">
            <v>130000</v>
          </cell>
          <cell r="K101">
            <v>130000</v>
          </cell>
          <cell r="L101">
            <v>130000</v>
          </cell>
          <cell r="M101">
            <v>130000</v>
          </cell>
          <cell r="N101">
            <v>130000</v>
          </cell>
          <cell r="O101">
            <v>386288.24602079706</v>
          </cell>
          <cell r="P101">
            <v>378032.92807378003</v>
          </cell>
          <cell r="Q101">
            <v>369526.51673177572</v>
          </cell>
          <cell r="R101">
            <v>360761.37474890368</v>
          </cell>
          <cell r="S101">
            <v>351729.63258514309</v>
          </cell>
          <cell r="T101">
            <v>342423.18134087825</v>
          </cell>
          <cell r="U101">
            <v>332833.66547654138</v>
          </cell>
          <cell r="V101">
            <v>322952.47531085776</v>
          </cell>
          <cell r="W101">
            <v>312770.73929084407</v>
          </cell>
          <cell r="X101">
            <v>302279.31602673733</v>
          </cell>
          <cell r="Y101">
            <v>291468.78608466627</v>
          </cell>
          <cell r="Z101">
            <v>280329.44352966489</v>
          </cell>
          <cell r="AA101">
            <v>268851.28721147345</v>
          </cell>
          <cell r="AB101">
            <v>257024.01178525609</v>
          </cell>
          <cell r="AC101">
            <v>244836.99845926964</v>
          </cell>
          <cell r="AD101">
            <v>232279.30546105688</v>
          </cell>
          <cell r="AE101">
            <v>219339.6582136763</v>
          </cell>
          <cell r="AF101">
            <v>206006.4392131468</v>
          </cell>
          <cell r="AG101">
            <v>192267.67759797384</v>
          </cell>
          <cell r="AH101">
            <v>178111.0384014718</v>
          </cell>
          <cell r="AI101">
            <v>163523.81147713342</v>
          </cell>
          <cell r="AJ101">
            <v>148492.90008717158</v>
          </cell>
          <cell r="AK101">
            <v>133004.80914399901</v>
          </cell>
          <cell r="AL101">
            <v>117045.63309402892</v>
          </cell>
          <cell r="AM101">
            <v>100601.04343295179</v>
          </cell>
          <cell r="AN101">
            <v>83656.275841282099</v>
          </cell>
          <cell r="AO101">
            <v>66196.116928629461</v>
          </cell>
          <cell r="AP101">
            <v>48204.890574785531</v>
          </cell>
          <cell r="AQ101">
            <v>29666.443855353165</v>
          </cell>
          <cell r="AR101">
            <v>10564.132539250888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</row>
        <row r="102">
          <cell r="C102" t="str">
            <v>End</v>
          </cell>
        </row>
      </sheetData>
      <sheetData sheetId="8"/>
      <sheetData sheetId="9"/>
      <sheetData sheetId="10" refreshError="1">
        <row r="95">
          <cell r="C95" t="str">
            <v>Name</v>
          </cell>
          <cell r="D95" t="str">
            <v>Fort Monmouth</v>
          </cell>
        </row>
        <row r="96">
          <cell r="C96" t="str">
            <v>Description</v>
          </cell>
          <cell r="D96" t="str">
            <v>AmEagle Army Northeast v3A</v>
          </cell>
        </row>
        <row r="97">
          <cell r="C97" t="str">
            <v>Program Type</v>
          </cell>
          <cell r="D97" t="str">
            <v>Direct</v>
          </cell>
        </row>
        <row r="98">
          <cell r="C98" t="str">
            <v>Cohort</v>
          </cell>
          <cell r="D98">
            <v>2005</v>
          </cell>
        </row>
        <row r="99">
          <cell r="C99" t="str">
            <v>Disbursements</v>
          </cell>
          <cell r="D99">
            <v>0</v>
          </cell>
          <cell r="E99">
            <v>0</v>
          </cell>
          <cell r="F99">
            <v>0</v>
          </cell>
          <cell r="G99">
            <v>15000000</v>
          </cell>
        </row>
        <row r="100">
          <cell r="C100" t="str">
            <v>Principal Payments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313170.053765947</v>
          </cell>
          <cell r="P100">
            <v>322695.42062788643</v>
          </cell>
          <cell r="Q100">
            <v>332510.51063789241</v>
          </cell>
          <cell r="R100">
            <v>342624.13600274734</v>
          </cell>
          <cell r="S100">
            <v>353045.37696093135</v>
          </cell>
          <cell r="T100">
            <v>363783.58993508294</v>
          </cell>
          <cell r="U100">
            <v>374848.41593239456</v>
          </cell>
          <cell r="V100">
            <v>386249.78920049034</v>
          </cell>
          <cell r="W100">
            <v>397997.94614666328</v>
          </cell>
          <cell r="X100">
            <v>410103.43452831917</v>
          </cell>
          <cell r="Y100">
            <v>422577.12292302027</v>
          </cell>
          <cell r="Z100">
            <v>435430.21048648097</v>
          </cell>
          <cell r="AA100">
            <v>448674.23700747453</v>
          </cell>
          <cell r="AB100">
            <v>462321.09326849319</v>
          </cell>
          <cell r="AC100">
            <v>476383.0317215547</v>
          </cell>
          <cell r="AD100">
            <v>490872.67748872191</v>
          </cell>
          <cell r="AE100">
            <v>505803.03969724011</v>
          </cell>
          <cell r="AF100">
            <v>521187.52315938845</v>
          </cell>
          <cell r="AG100">
            <v>537039.94040766358</v>
          </cell>
          <cell r="AH100">
            <v>553374.52409593761</v>
          </cell>
          <cell r="AI100">
            <v>570205.93977786414</v>
          </cell>
          <cell r="AJ100">
            <v>587549.29907397646</v>
          </cell>
          <cell r="AK100">
            <v>605420.17323917337</v>
          </cell>
          <cell r="AL100">
            <v>623834.60714298626</v>
          </cell>
          <cell r="AM100">
            <v>642809.13367499784</v>
          </cell>
          <cell r="AN100">
            <v>662360.78858846286</v>
          </cell>
          <cell r="AO100">
            <v>682507.12579536997</v>
          </cell>
          <cell r="AP100">
            <v>703266.2331267281</v>
          </cell>
          <cell r="AQ100">
            <v>724656.7485722272</v>
          </cell>
          <cell r="AR100">
            <v>746697.87701388367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</row>
        <row r="101">
          <cell r="C101" t="str">
            <v>Interest Payments</v>
          </cell>
          <cell r="D101">
            <v>0</v>
          </cell>
          <cell r="E101">
            <v>0</v>
          </cell>
          <cell r="F101">
            <v>0</v>
          </cell>
          <cell r="G101">
            <v>150000</v>
          </cell>
          <cell r="H101">
            <v>150000</v>
          </cell>
          <cell r="I101">
            <v>150000</v>
          </cell>
          <cell r="J101">
            <v>150000</v>
          </cell>
          <cell r="K101">
            <v>150000</v>
          </cell>
          <cell r="L101">
            <v>150000</v>
          </cell>
          <cell r="M101">
            <v>150000</v>
          </cell>
          <cell r="N101">
            <v>150000</v>
          </cell>
          <cell r="O101">
            <v>445717.20694707218</v>
          </cell>
          <cell r="P101">
            <v>436191.84008513275</v>
          </cell>
          <cell r="Q101">
            <v>426376.75007512677</v>
          </cell>
          <cell r="R101">
            <v>416263.12471027183</v>
          </cell>
          <cell r="S101">
            <v>405841.88375208783</v>
          </cell>
          <cell r="T101">
            <v>395103.67077793623</v>
          </cell>
          <cell r="U101">
            <v>384038.84478062461</v>
          </cell>
          <cell r="V101">
            <v>372637.47151252883</v>
          </cell>
          <cell r="W101">
            <v>360889.3145663559</v>
          </cell>
          <cell r="X101">
            <v>348783.82618470001</v>
          </cell>
          <cell r="Y101">
            <v>336310.1377899989</v>
          </cell>
          <cell r="Z101">
            <v>323457.05022653821</v>
          </cell>
          <cell r="AA101">
            <v>310213.02370554465</v>
          </cell>
          <cell r="AB101">
            <v>296566.16744452599</v>
          </cell>
          <cell r="AC101">
            <v>282504.22899146448</v>
          </cell>
          <cell r="AD101">
            <v>268014.58322429727</v>
          </cell>
          <cell r="AE101">
            <v>253084.22101577907</v>
          </cell>
          <cell r="AF101">
            <v>237699.73755363072</v>
          </cell>
          <cell r="AG101">
            <v>221847.32030535559</v>
          </cell>
          <cell r="AH101">
            <v>205512.73661708157</v>
          </cell>
          <cell r="AI101">
            <v>188681.32093515503</v>
          </cell>
          <cell r="AJ101">
            <v>171337.96163904271</v>
          </cell>
          <cell r="AK101">
            <v>153467.08747384581</v>
          </cell>
          <cell r="AL101">
            <v>135052.65357003291</v>
          </cell>
          <cell r="AM101">
            <v>116078.12703802134</v>
          </cell>
          <cell r="AN101">
            <v>96526.472124556312</v>
          </cell>
          <cell r="AO101">
            <v>76380.134917649208</v>
          </cell>
          <cell r="AP101">
            <v>55621.027586291078</v>
          </cell>
          <cell r="AQ101">
            <v>34230.51214079198</v>
          </cell>
          <cell r="AR101">
            <v>12189.383699135506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</row>
        <row r="102">
          <cell r="C102" t="str">
            <v>End</v>
          </cell>
        </row>
      </sheetData>
      <sheetData sheetId="11"/>
      <sheetData sheetId="12"/>
      <sheetData sheetId="13" refreshError="1">
        <row r="95">
          <cell r="C95" t="str">
            <v>Name</v>
          </cell>
          <cell r="D95" t="str">
            <v>Fort Monmouth</v>
          </cell>
        </row>
        <row r="96">
          <cell r="C96" t="str">
            <v>Description</v>
          </cell>
          <cell r="D96" t="str">
            <v>AmEagle Army Northeast v3A</v>
          </cell>
        </row>
        <row r="97">
          <cell r="C97" t="str">
            <v>Program Type</v>
          </cell>
          <cell r="D97" t="str">
            <v>Direct</v>
          </cell>
        </row>
        <row r="98">
          <cell r="C98" t="str">
            <v>Cohort</v>
          </cell>
          <cell r="D98">
            <v>2005</v>
          </cell>
        </row>
        <row r="99">
          <cell r="C99" t="str">
            <v>Disbursements</v>
          </cell>
          <cell r="D99">
            <v>0</v>
          </cell>
          <cell r="E99">
            <v>0</v>
          </cell>
          <cell r="F99">
            <v>0</v>
          </cell>
          <cell r="G99">
            <v>8000000</v>
          </cell>
        </row>
        <row r="100">
          <cell r="C100" t="str">
            <v>Principal Payments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167024.02867517062</v>
          </cell>
          <cell r="P100">
            <v>172104.22433487326</v>
          </cell>
          <cell r="Q100">
            <v>177338.93900687713</v>
          </cell>
          <cell r="R100">
            <v>182732.87253479846</v>
          </cell>
          <cell r="S100">
            <v>188290.86771249492</v>
          </cell>
          <cell r="T100">
            <v>194017.91463204473</v>
          </cell>
          <cell r="U100">
            <v>199919.15516394563</v>
          </cell>
          <cell r="V100">
            <v>205999.88757359516</v>
          </cell>
          <cell r="W100">
            <v>212265.57127821911</v>
          </cell>
          <cell r="X100">
            <v>218721.83174843714</v>
          </cell>
          <cell r="Y100">
            <v>225374.46555894334</v>
          </cell>
          <cell r="Z100">
            <v>232229.44559279084</v>
          </cell>
          <cell r="AA100">
            <v>239292.92640398629</v>
          </cell>
          <cell r="AB100">
            <v>246571.24974319618</v>
          </cell>
          <cell r="AC100">
            <v>254070.95025149547</v>
          </cell>
          <cell r="AD100">
            <v>261798.76132731885</v>
          </cell>
          <cell r="AE100">
            <v>269761.62117186189</v>
          </cell>
          <cell r="AF100">
            <v>277966.67901833961</v>
          </cell>
          <cell r="AG100">
            <v>286421.30155075388</v>
          </cell>
          <cell r="AH100">
            <v>295133.07951783389</v>
          </cell>
          <cell r="AI100">
            <v>304109.83454819443</v>
          </cell>
          <cell r="AJ100">
            <v>313359.62617278658</v>
          </cell>
          <cell r="AK100">
            <v>322890.75906089274</v>
          </cell>
          <cell r="AL100">
            <v>332711.79047625931</v>
          </cell>
          <cell r="AM100">
            <v>342831.53795999871</v>
          </cell>
          <cell r="AN100">
            <v>353259.08724718052</v>
          </cell>
          <cell r="AO100">
            <v>364003.80042419722</v>
          </cell>
          <cell r="AP100">
            <v>375075.32433425495</v>
          </cell>
          <cell r="AQ100">
            <v>386483.59923852124</v>
          </cell>
          <cell r="AR100">
            <v>398238.86774073791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</row>
        <row r="101">
          <cell r="C101" t="str">
            <v>Interest Payments</v>
          </cell>
          <cell r="D101">
            <v>0</v>
          </cell>
          <cell r="E101">
            <v>0</v>
          </cell>
          <cell r="F101">
            <v>0</v>
          </cell>
          <cell r="G101">
            <v>80000</v>
          </cell>
          <cell r="H101">
            <v>80000</v>
          </cell>
          <cell r="I101">
            <v>80000</v>
          </cell>
          <cell r="J101">
            <v>80000</v>
          </cell>
          <cell r="K101">
            <v>80000</v>
          </cell>
          <cell r="L101">
            <v>80000</v>
          </cell>
          <cell r="M101">
            <v>80000</v>
          </cell>
          <cell r="N101">
            <v>80000</v>
          </cell>
          <cell r="O101">
            <v>237715.84370510629</v>
          </cell>
          <cell r="P101">
            <v>232635.64804540365</v>
          </cell>
          <cell r="Q101">
            <v>227400.93337339978</v>
          </cell>
          <cell r="R101">
            <v>222006.99984547845</v>
          </cell>
          <cell r="S101">
            <v>216449.00466778199</v>
          </cell>
          <cell r="T101">
            <v>210721.95774823218</v>
          </cell>
          <cell r="U101">
            <v>204820.71721633128</v>
          </cell>
          <cell r="V101">
            <v>198739.98480668175</v>
          </cell>
          <cell r="W101">
            <v>192474.3011020578</v>
          </cell>
          <cell r="X101">
            <v>186018.04063183977</v>
          </cell>
          <cell r="Y101">
            <v>179365.40682133357</v>
          </cell>
          <cell r="Z101">
            <v>172510.42678748607</v>
          </cell>
          <cell r="AA101">
            <v>165446.94597629062</v>
          </cell>
          <cell r="AB101">
            <v>158168.62263708073</v>
          </cell>
          <cell r="AC101">
            <v>150668.92212878144</v>
          </cell>
          <cell r="AD101">
            <v>142941.11105295806</v>
          </cell>
          <cell r="AE101">
            <v>134978.25120841502</v>
          </cell>
          <cell r="AF101">
            <v>126773.1933619373</v>
          </cell>
          <cell r="AG101">
            <v>118318.57082952303</v>
          </cell>
          <cell r="AH101">
            <v>109606.79286244302</v>
          </cell>
          <cell r="AI101">
            <v>100630.03783208248</v>
          </cell>
          <cell r="AJ101">
            <v>91380.246207490331</v>
          </cell>
          <cell r="AK101">
            <v>81849.113319384167</v>
          </cell>
          <cell r="AL101">
            <v>72028.081904017599</v>
          </cell>
          <cell r="AM101">
            <v>61908.334420278203</v>
          </cell>
          <cell r="AN101">
            <v>51480.785133096389</v>
          </cell>
          <cell r="AO101">
            <v>40736.071956079686</v>
          </cell>
          <cell r="AP101">
            <v>29664.548046021955</v>
          </cell>
          <cell r="AQ101">
            <v>18256.273141755664</v>
          </cell>
          <cell r="AR101">
            <v>6501.0046395389945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</row>
        <row r="102">
          <cell r="C102" t="str">
            <v>End</v>
          </cell>
        </row>
      </sheetData>
      <sheetData sheetId="14"/>
      <sheetData sheetId="15"/>
      <sheetData sheetId="16"/>
      <sheetData sheetId="17"/>
      <sheetData sheetId="18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App"/>
      <sheetName val="Summary"/>
      <sheetName val="Project Description"/>
      <sheetName val="Demographics"/>
      <sheetName val="Appropriatness of Unit Mix"/>
      <sheetName val="Income Bands-Capture Rate "/>
      <sheetName val="Investment Analysis  "/>
      <sheetName val="Ad Valorem Taxes"/>
      <sheetName val="Land Grid"/>
      <sheetName val="Age Adjustments"/>
      <sheetName val="Size Adjustments"/>
      <sheetName val="Adj. Grid 1-1 A"/>
      <sheetName val="Adj. Grid 1-1 B "/>
      <sheetName val="Adj. Grid 1-1 C  "/>
      <sheetName val="Adj. Grid 2-1 "/>
      <sheetName val="Adj. Grid 2-2 A "/>
      <sheetName val="Adj. Grid 2-2 B"/>
      <sheetName val="Adj. Grid 3-2"/>
      <sheetName val="Adj. Grid 4-2   "/>
      <sheetName val="Rent Roll"/>
      <sheetName val="Expenses "/>
      <sheetName val="Band of Investment"/>
      <sheetName val="Lease Up"/>
      <sheetName val="Rent &amp; Direct Cap"/>
      <sheetName val="LIHTC Direct Cap"/>
      <sheetName val="DCF"/>
      <sheetName val="Investment Value"/>
      <sheetName val="Imp Sales"/>
      <sheetName val="Ins Value"/>
      <sheetName val="NOI "/>
    </sheetNames>
    <sheetDataSet>
      <sheetData sheetId="0">
        <row r="117">
          <cell r="O117">
            <v>3070000</v>
          </cell>
        </row>
      </sheetData>
      <sheetData sheetId="1"/>
      <sheetData sheetId="2"/>
      <sheetData sheetId="3"/>
      <sheetData sheetId="4" refreshError="1"/>
      <sheetData sheetId="5" refreshError="1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&amp; Salient"/>
      <sheetName val="Subj Budget"/>
      <sheetName val="Rent Sched"/>
      <sheetName val="Cost Comp"/>
      <sheetName val="Cost Approach"/>
      <sheetName val="DCF-LH"/>
      <sheetName val="DCF-Lf"/>
      <sheetName val="Improved Sales"/>
      <sheetName val="Expense Comparison "/>
      <sheetName val="Exp Comps"/>
      <sheetName val="Occupancy"/>
      <sheetName val="Ins Valu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ortization Table"/>
    </sheetNames>
    <sheetDataSet>
      <sheetData sheetId="0">
        <row r="6">
          <cell r="D6">
            <v>200000</v>
          </cell>
        </row>
        <row r="8">
          <cell r="D8">
            <v>30</v>
          </cell>
        </row>
        <row r="10">
          <cell r="D10">
            <v>37987</v>
          </cell>
        </row>
        <row r="17">
          <cell r="I17" t="str">
            <v>Ending Balance</v>
          </cell>
        </row>
        <row r="19">
          <cell r="I19">
            <v>199819.19728634739</v>
          </cell>
        </row>
        <row r="20">
          <cell r="I20">
            <v>199637.41522466252</v>
          </cell>
        </row>
        <row r="21">
          <cell r="I21">
            <v>199454.64851014351</v>
          </cell>
        </row>
        <row r="22">
          <cell r="I22">
            <v>199270.89180925419</v>
          </cell>
        </row>
        <row r="23">
          <cell r="I23">
            <v>199086.13975956838</v>
          </cell>
        </row>
        <row r="24">
          <cell r="I24">
            <v>198900.38696961344</v>
          </cell>
        </row>
        <row r="25">
          <cell r="I25">
            <v>198713.62801871292</v>
          </cell>
        </row>
        <row r="26">
          <cell r="I26">
            <v>198525.85745682835</v>
          </cell>
        </row>
        <row r="27">
          <cell r="I27">
            <v>198337.06980440023</v>
          </cell>
        </row>
        <row r="28">
          <cell r="I28">
            <v>198147.25955218813</v>
          </cell>
        </row>
        <row r="29">
          <cell r="I29">
            <v>197956.42116110987</v>
          </cell>
        </row>
        <row r="30">
          <cell r="I30">
            <v>197764.54906207995</v>
          </cell>
        </row>
        <row r="31">
          <cell r="I31">
            <v>197571.63765584695</v>
          </cell>
        </row>
        <row r="32">
          <cell r="I32">
            <v>197377.68131283019</v>
          </cell>
        </row>
        <row r="33">
          <cell r="I33">
            <v>197182.67437295543</v>
          </cell>
        </row>
        <row r="34">
          <cell r="I34">
            <v>196986.61114548967</v>
          </cell>
        </row>
        <row r="35">
          <cell r="I35">
            <v>196789.48590887515</v>
          </cell>
        </row>
        <row r="36">
          <cell r="I36">
            <v>196591.2929105623</v>
          </cell>
        </row>
        <row r="37">
          <cell r="I37">
            <v>196392.02636684192</v>
          </cell>
        </row>
        <row r="38">
          <cell r="I38">
            <v>196191.68046267639</v>
          </cell>
        </row>
        <row r="39">
          <cell r="I39">
            <v>195990.24935152996</v>
          </cell>
        </row>
        <row r="40">
          <cell r="I40">
            <v>195787.72715519814</v>
          </cell>
        </row>
        <row r="41">
          <cell r="I41">
            <v>195584.1079636362</v>
          </cell>
        </row>
        <row r="42">
          <cell r="I42">
            <v>195379.38583478663</v>
          </cell>
        </row>
        <row r="43">
          <cell r="I43">
            <v>195173.55479440579</v>
          </cell>
        </row>
        <row r="44">
          <cell r="I44">
            <v>194966.60883588955</v>
          </cell>
        </row>
        <row r="45">
          <cell r="I45">
            <v>194758.54192009801</v>
          </cell>
        </row>
        <row r="46">
          <cell r="I46">
            <v>194549.34797517926</v>
          </cell>
        </row>
        <row r="47">
          <cell r="I47">
            <v>194339.02089639221</v>
          </cell>
        </row>
        <row r="48">
          <cell r="I48">
            <v>194127.5545459284</v>
          </cell>
        </row>
        <row r="49">
          <cell r="I49">
            <v>193914.94275273292</v>
          </cell>
        </row>
        <row r="50">
          <cell r="I50">
            <v>193701.1793123243</v>
          </cell>
        </row>
        <row r="51">
          <cell r="I51">
            <v>193486.25798661346</v>
          </cell>
        </row>
        <row r="52">
          <cell r="I52">
            <v>193270.1725037217</v>
          </cell>
        </row>
        <row r="53">
          <cell r="I53">
            <v>193052.91655779758</v>
          </cell>
        </row>
        <row r="54">
          <cell r="I54">
            <v>192834.48380883306</v>
          </cell>
        </row>
        <row r="55">
          <cell r="I55">
            <v>192614.86788247831</v>
          </cell>
        </row>
        <row r="56">
          <cell r="I56">
            <v>192394.06236985582</v>
          </cell>
        </row>
        <row r="57">
          <cell r="I57">
            <v>192172.06082737327</v>
          </cell>
        </row>
        <row r="58">
          <cell r="I58">
            <v>191948.8567765356</v>
          </cell>
        </row>
        <row r="59">
          <cell r="I59">
            <v>191724.44370375591</v>
          </cell>
        </row>
        <row r="60">
          <cell r="I60">
            <v>191498.81506016533</v>
          </cell>
        </row>
        <row r="61">
          <cell r="I61">
            <v>191271.96426142196</v>
          </cell>
        </row>
        <row r="62">
          <cell r="I62">
            <v>191043.88468751873</v>
          </cell>
        </row>
        <row r="63">
          <cell r="I63">
            <v>190814.5696825902</v>
          </cell>
        </row>
        <row r="64">
          <cell r="I64">
            <v>190584.0125547183</v>
          </cell>
        </row>
        <row r="65">
          <cell r="I65">
            <v>190352.2065757371</v>
          </cell>
        </row>
        <row r="66">
          <cell r="I66">
            <v>190119.1449810364</v>
          </cell>
        </row>
        <row r="67">
          <cell r="I67">
            <v>189884.8209693644</v>
          </cell>
        </row>
        <row r="68">
          <cell r="I68">
            <v>189649.2277026292</v>
          </cell>
        </row>
        <row r="69">
          <cell r="I69">
            <v>189412.35830569916</v>
          </cell>
        </row>
        <row r="70">
          <cell r="I70">
            <v>189174.20586620242</v>
          </cell>
        </row>
        <row r="71">
          <cell r="I71">
            <v>188934.76343432508</v>
          </cell>
        </row>
        <row r="72">
          <cell r="I72">
            <v>188694.02402260841</v>
          </cell>
        </row>
        <row r="73">
          <cell r="I73">
            <v>188451.98060574493</v>
          </cell>
        </row>
        <row r="74">
          <cell r="I74">
            <v>188208.62612037346</v>
          </cell>
        </row>
        <row r="75">
          <cell r="I75">
            <v>187963.95346487287</v>
          </cell>
        </row>
        <row r="76">
          <cell r="I76">
            <v>187717.95549915501</v>
          </cell>
        </row>
        <row r="77">
          <cell r="I77">
            <v>187470.62504445616</v>
          </cell>
        </row>
        <row r="78">
          <cell r="I78">
            <v>187221.95488312771</v>
          </cell>
        </row>
        <row r="79">
          <cell r="I79">
            <v>186971.9377584254</v>
          </cell>
        </row>
        <row r="80">
          <cell r="I80">
            <v>186720.5663742976</v>
          </cell>
        </row>
        <row r="81">
          <cell r="I81">
            <v>186467.83339517246</v>
          </cell>
        </row>
        <row r="82">
          <cell r="I82">
            <v>186213.7314457437</v>
          </cell>
        </row>
        <row r="83">
          <cell r="I83">
            <v>185958.25311075556</v>
          </cell>
        </row>
        <row r="84">
          <cell r="I84">
            <v>185701.39093478621</v>
          </cell>
        </row>
        <row r="85">
          <cell r="I85">
            <v>185443.13742203036</v>
          </cell>
        </row>
        <row r="86">
          <cell r="I86">
            <v>185183.48503608041</v>
          </cell>
        </row>
        <row r="87">
          <cell r="I87">
            <v>184922.42619970659</v>
          </cell>
        </row>
        <row r="88">
          <cell r="I88">
            <v>184659.95329463575</v>
          </cell>
        </row>
        <row r="89">
          <cell r="I89">
            <v>184396.05866132909</v>
          </cell>
        </row>
        <row r="90">
          <cell r="I90">
            <v>184130.73459875869</v>
          </cell>
        </row>
        <row r="91">
          <cell r="I91">
            <v>183863.97336418269</v>
          </cell>
        </row>
        <row r="92">
          <cell r="I92">
            <v>183595.76717291941</v>
          </cell>
        </row>
        <row r="93">
          <cell r="I93">
            <v>183326.10819812011</v>
          </cell>
        </row>
        <row r="94">
          <cell r="I94">
            <v>183054.98857054068</v>
          </cell>
        </row>
        <row r="95">
          <cell r="I95">
            <v>182782.40037831184</v>
          </cell>
        </row>
        <row r="96">
          <cell r="I96">
            <v>182508.33566670842</v>
          </cell>
        </row>
        <row r="97">
          <cell r="I97">
            <v>182232.78643791715</v>
          </cell>
        </row>
        <row r="98">
          <cell r="I98">
            <v>181955.74465080327</v>
          </cell>
        </row>
        <row r="99">
          <cell r="I99">
            <v>181677.20222067586</v>
          </cell>
        </row>
        <row r="100">
          <cell r="I100">
            <v>181397.1510190519</v>
          </cell>
        </row>
        <row r="101">
          <cell r="I101">
            <v>181115.58287341916</v>
          </cell>
        </row>
        <row r="102">
          <cell r="I102">
            <v>180832.4895669976</v>
          </cell>
        </row>
        <row r="103">
          <cell r="I103">
            <v>180547.86283849957</v>
          </cell>
        </row>
        <row r="104">
          <cell r="I104">
            <v>180261.69438188884</v>
          </cell>
        </row>
        <row r="105">
          <cell r="I105">
            <v>179973.97584613814</v>
          </cell>
        </row>
        <row r="106">
          <cell r="I106">
            <v>179684.69883498547</v>
          </cell>
        </row>
        <row r="107">
          <cell r="I107">
            <v>179393.85490668903</v>
          </cell>
        </row>
        <row r="108">
          <cell r="I108">
            <v>179101.435573781</v>
          </cell>
        </row>
        <row r="109">
          <cell r="I109">
            <v>178807.43230281971</v>
          </cell>
        </row>
        <row r="110">
          <cell r="I110">
            <v>178511.83651414071</v>
          </cell>
        </row>
        <row r="111">
          <cell r="I111">
            <v>178214.63958160637</v>
          </cell>
        </row>
        <row r="112">
          <cell r="I112">
            <v>177915.83283235415</v>
          </cell>
        </row>
        <row r="113">
          <cell r="I113">
            <v>177615.40754654346</v>
          </cell>
        </row>
        <row r="114">
          <cell r="I114">
            <v>177313.35495710131</v>
          </cell>
        </row>
        <row r="115">
          <cell r="I115">
            <v>177009.66624946636</v>
          </cell>
        </row>
        <row r="116">
          <cell r="I116">
            <v>176704.33256133171</v>
          </cell>
        </row>
        <row r="117">
          <cell r="I117">
            <v>176397.34498238633</v>
          </cell>
        </row>
        <row r="118">
          <cell r="I118">
            <v>176088.69455405499</v>
          </cell>
        </row>
        <row r="119">
          <cell r="I119">
            <v>175778.37226923686</v>
          </cell>
        </row>
        <row r="120">
          <cell r="I120">
            <v>175466.36907204264</v>
          </cell>
        </row>
        <row r="121">
          <cell r="I121">
            <v>175152.67585753027</v>
          </cell>
        </row>
        <row r="122">
          <cell r="I122">
            <v>174837.2834714393</v>
          </cell>
        </row>
        <row r="123">
          <cell r="I123">
            <v>174520.18270992365</v>
          </cell>
        </row>
        <row r="124">
          <cell r="I124">
            <v>174201.36431928314</v>
          </cell>
        </row>
        <row r="125">
          <cell r="I125">
            <v>173880.81899569332</v>
          </cell>
        </row>
        <row r="126">
          <cell r="I126">
            <v>173558.53738493405</v>
          </cell>
        </row>
        <row r="127">
          <cell r="I127">
            <v>173234.51008211653</v>
          </cell>
        </row>
        <row r="128">
          <cell r="I128">
            <v>172908.72763140872</v>
          </cell>
        </row>
        <row r="129">
          <cell r="I129">
            <v>172581.18052575958</v>
          </cell>
        </row>
        <row r="130">
          <cell r="I130">
            <v>172251.85920662151</v>
          </cell>
        </row>
        <row r="131">
          <cell r="I131">
            <v>171920.75406367145</v>
          </cell>
        </row>
        <row r="132">
          <cell r="I132">
            <v>171587.85543453041</v>
          </cell>
        </row>
        <row r="133">
          <cell r="I133">
            <v>171253.15360448151</v>
          </cell>
        </row>
        <row r="134">
          <cell r="I134">
            <v>170916.63880618653</v>
          </cell>
        </row>
        <row r="135">
          <cell r="I135">
            <v>170578.30121940078</v>
          </cell>
        </row>
        <row r="136">
          <cell r="I136">
            <v>170238.13097068659</v>
          </cell>
        </row>
        <row r="137">
          <cell r="I137">
            <v>169896.11813312522</v>
          </cell>
        </row>
        <row r="138">
          <cell r="I138">
            <v>169552.25272602704</v>
          </cell>
        </row>
        <row r="139">
          <cell r="I139">
            <v>169206.52471464043</v>
          </cell>
        </row>
        <row r="140">
          <cell r="I140">
            <v>168858.92400985881</v>
          </cell>
        </row>
        <row r="141">
          <cell r="I141">
            <v>168509.44046792627</v>
          </cell>
        </row>
        <row r="142">
          <cell r="I142">
            <v>168158.06389014161</v>
          </cell>
        </row>
        <row r="143">
          <cell r="I143">
            <v>167804.78402256061</v>
          </cell>
        </row>
        <row r="144">
          <cell r="I144">
            <v>167449.59055569686</v>
          </cell>
        </row>
        <row r="145">
          <cell r="I145">
            <v>167092.47312422097</v>
          </cell>
        </row>
        <row r="146">
          <cell r="I146">
            <v>166733.4213066579</v>
          </cell>
        </row>
        <row r="147">
          <cell r="I147">
            <v>166372.42462508302</v>
          </cell>
        </row>
        <row r="148">
          <cell r="I148">
            <v>166009.47254481629</v>
          </cell>
        </row>
        <row r="149">
          <cell r="I149">
            <v>165644.55447411479</v>
          </cell>
        </row>
        <row r="150">
          <cell r="I150">
            <v>165277.65976386366</v>
          </cell>
        </row>
        <row r="151">
          <cell r="I151">
            <v>164908.77770726531</v>
          </cell>
        </row>
        <row r="152">
          <cell r="I152">
            <v>164537.89753952707</v>
          </cell>
        </row>
        <row r="153">
          <cell r="I153">
            <v>164165.0084375469</v>
          </cell>
        </row>
        <row r="154">
          <cell r="I154">
            <v>163790.09951959769</v>
          </cell>
        </row>
        <row r="155">
          <cell r="I155">
            <v>163413.15984500956</v>
          </cell>
        </row>
        <row r="156">
          <cell r="I156">
            <v>163034.17841385078</v>
          </cell>
        </row>
        <row r="157">
          <cell r="I157">
            <v>162653.14416660654</v>
          </cell>
        </row>
        <row r="158">
          <cell r="I158">
            <v>162270.0459838564</v>
          </cell>
        </row>
        <row r="159">
          <cell r="I159">
            <v>161884.8726859497</v>
          </cell>
        </row>
        <row r="160">
          <cell r="I160">
            <v>161497.61303267934</v>
          </cell>
        </row>
        <row r="161">
          <cell r="I161">
            <v>161108.25572295376</v>
          </cell>
        </row>
        <row r="162">
          <cell r="I162">
            <v>160716.78939446717</v>
          </cell>
        </row>
        <row r="163">
          <cell r="I163">
            <v>160323.20262336792</v>
          </cell>
        </row>
        <row r="164">
          <cell r="I164">
            <v>159927.48392392523</v>
          </cell>
        </row>
        <row r="165">
          <cell r="I165">
            <v>159529.62174819389</v>
          </cell>
        </row>
        <row r="166">
          <cell r="I166">
            <v>159129.60448567735</v>
          </cell>
        </row>
        <row r="167">
          <cell r="I167">
            <v>158727.42046298884</v>
          </cell>
        </row>
        <row r="168">
          <cell r="I168">
            <v>158323.05794351076</v>
          </cell>
        </row>
        <row r="169">
          <cell r="I169">
            <v>157916.50512705219</v>
          </cell>
        </row>
        <row r="170">
          <cell r="I170">
            <v>157507.75014950446</v>
          </cell>
        </row>
        <row r="171">
          <cell r="I171">
            <v>157096.781082495</v>
          </cell>
        </row>
        <row r="172">
          <cell r="I172">
            <v>156683.58593303926</v>
          </cell>
        </row>
        <row r="173">
          <cell r="I173">
            <v>156268.15264319061</v>
          </cell>
        </row>
        <row r="174">
          <cell r="I174">
            <v>155850.46908968862</v>
          </cell>
        </row>
        <row r="175">
          <cell r="I175">
            <v>155430.52308360516</v>
          </cell>
        </row>
        <row r="176">
          <cell r="I176">
            <v>155008.30236998876</v>
          </cell>
        </row>
        <row r="177">
          <cell r="I177">
            <v>154583.79462750693</v>
          </cell>
        </row>
        <row r="178">
          <cell r="I178">
            <v>154156.98746808665</v>
          </cell>
        </row>
        <row r="179">
          <cell r="I179">
            <v>153727.86843655285</v>
          </cell>
        </row>
        <row r="180">
          <cell r="I180">
            <v>153296.42501026491</v>
          </cell>
        </row>
        <row r="181">
          <cell r="I181">
            <v>152862.64459875124</v>
          </cell>
        </row>
        <row r="182">
          <cell r="I182">
            <v>152426.51454334188</v>
          </cell>
        </row>
        <row r="183">
          <cell r="I183">
            <v>151988.02211679905</v>
          </cell>
        </row>
        <row r="184">
          <cell r="I184">
            <v>151547.15452294578</v>
          </cell>
        </row>
        <row r="185">
          <cell r="I185">
            <v>151103.89889629246</v>
          </cell>
        </row>
        <row r="186">
          <cell r="I186">
            <v>150658.24230166146</v>
          </cell>
        </row>
        <row r="187">
          <cell r="I187">
            <v>150210.17173380952</v>
          </cell>
        </row>
        <row r="188">
          <cell r="I188">
            <v>149759.67411704839</v>
          </cell>
        </row>
        <row r="189">
          <cell r="I189">
            <v>149306.73630486312</v>
          </cell>
        </row>
        <row r="190">
          <cell r="I190">
            <v>148851.34507952855</v>
          </cell>
        </row>
        <row r="191">
          <cell r="I191">
            <v>148393.48715172338</v>
          </cell>
        </row>
        <row r="192">
          <cell r="I192">
            <v>147933.14916014261</v>
          </cell>
        </row>
        <row r="193">
          <cell r="I193">
            <v>147470.31767110745</v>
          </cell>
        </row>
        <row r="194">
          <cell r="I194">
            <v>147004.97917817335</v>
          </cell>
        </row>
        <row r="195">
          <cell r="I195">
            <v>146537.12010173587</v>
          </cell>
        </row>
        <row r="196">
          <cell r="I196">
            <v>146066.72678863435</v>
          </cell>
        </row>
        <row r="197">
          <cell r="I197">
            <v>145593.78551175352</v>
          </cell>
        </row>
        <row r="198">
          <cell r="I198">
            <v>145118.28246962291</v>
          </cell>
        </row>
        <row r="199">
          <cell r="I199">
            <v>144640.20378601411</v>
          </cell>
        </row>
        <row r="200">
          <cell r="I200">
            <v>144159.53550953575</v>
          </cell>
        </row>
        <row r="201">
          <cell r="I201">
            <v>143676.26361322647</v>
          </cell>
        </row>
        <row r="202">
          <cell r="I202">
            <v>143190.37399414551</v>
          </cell>
        </row>
        <row r="203">
          <cell r="I203">
            <v>142701.85247296121</v>
          </cell>
        </row>
        <row r="204">
          <cell r="I204">
            <v>142210.68479353716</v>
          </cell>
        </row>
        <row r="205">
          <cell r="I205">
            <v>141716.85662251624</v>
          </cell>
        </row>
        <row r="206">
          <cell r="I206">
            <v>141220.35354890226</v>
          </cell>
        </row>
        <row r="207">
          <cell r="I207">
            <v>140721.16108363954</v>
          </cell>
        </row>
        <row r="208">
          <cell r="I208">
            <v>140219.26465919</v>
          </cell>
        </row>
        <row r="209">
          <cell r="I209">
            <v>139714.64962910803</v>
          </cell>
        </row>
        <row r="210">
          <cell r="I210">
            <v>139207.3012676131</v>
          </cell>
        </row>
        <row r="211">
          <cell r="I211">
            <v>138697.20476916007</v>
          </cell>
        </row>
        <row r="212">
          <cell r="I212">
            <v>138184.3452480071</v>
          </cell>
        </row>
        <row r="213">
          <cell r="I213">
            <v>137668.70773778119</v>
          </cell>
        </row>
        <row r="214">
          <cell r="I214">
            <v>137150.27719104159</v>
          </cell>
        </row>
        <row r="215">
          <cell r="I215">
            <v>136629.03847884046</v>
          </cell>
        </row>
        <row r="216">
          <cell r="I216">
            <v>136104.97639028158</v>
          </cell>
        </row>
        <row r="217">
          <cell r="I217">
            <v>135578.07563207633</v>
          </cell>
        </row>
        <row r="218">
          <cell r="I218">
            <v>135048.32082809749</v>
          </cell>
        </row>
        <row r="219">
          <cell r="I219">
            <v>134515.69651893043</v>
          </cell>
        </row>
        <row r="220">
          <cell r="I220">
            <v>133980.18716142204</v>
          </cell>
        </row>
        <row r="221">
          <cell r="I221">
            <v>133441.77712822714</v>
          </cell>
        </row>
        <row r="222">
          <cell r="I222">
            <v>132900.45070735243</v>
          </cell>
        </row>
        <row r="223">
          <cell r="I223">
            <v>132356.19210169799</v>
          </cell>
        </row>
        <row r="224">
          <cell r="I224">
            <v>131808.98542859626</v>
          </cell>
        </row>
        <row r="225">
          <cell r="I225">
            <v>131258.81471934856</v>
          </cell>
        </row>
        <row r="226">
          <cell r="I226">
            <v>130705.66391875911</v>
          </cell>
        </row>
        <row r="227">
          <cell r="I227">
            <v>130149.51688466645</v>
          </cell>
        </row>
        <row r="228">
          <cell r="I228">
            <v>129590.35738747245</v>
          </cell>
        </row>
        <row r="229">
          <cell r="I229">
            <v>129028.16910966867</v>
          </cell>
        </row>
        <row r="230">
          <cell r="I230">
            <v>128462.93564536011</v>
          </cell>
        </row>
        <row r="231">
          <cell r="I231">
            <v>127894.64049978655</v>
          </cell>
        </row>
        <row r="232">
          <cell r="I232">
            <v>127323.26708884112</v>
          </cell>
        </row>
        <row r="233">
          <cell r="I233">
            <v>126748.79873858641</v>
          </cell>
        </row>
        <row r="234">
          <cell r="I234">
            <v>126171.21868476782</v>
          </cell>
        </row>
        <row r="235">
          <cell r="I235">
            <v>125590.51007232438</v>
          </cell>
        </row>
        <row r="236">
          <cell r="I236">
            <v>125006.65595489688</v>
          </cell>
        </row>
        <row r="237">
          <cell r="I237">
            <v>124419.6392943333</v>
          </cell>
        </row>
        <row r="238">
          <cell r="I238">
            <v>123829.44296019168</v>
          </cell>
        </row>
        <row r="239">
          <cell r="I239">
            <v>123236.04972924011</v>
          </cell>
        </row>
        <row r="240">
          <cell r="I240">
            <v>122639.44228495423</v>
          </cell>
        </row>
        <row r="241">
          <cell r="I241">
            <v>122039.6032170118</v>
          </cell>
        </row>
        <row r="242">
          <cell r="I242">
            <v>121436.51502078467</v>
          </cell>
        </row>
        <row r="243">
          <cell r="I243">
            <v>120830.160096828</v>
          </cell>
        </row>
        <row r="244">
          <cell r="I244">
            <v>120220.52075036654</v>
          </cell>
        </row>
        <row r="245">
          <cell r="I245">
            <v>119607.57919077843</v>
          </cell>
        </row>
        <row r="246">
          <cell r="I246">
            <v>118991.31753107588</v>
          </cell>
        </row>
        <row r="247">
          <cell r="I247">
            <v>118371.71778738328</v>
          </cell>
        </row>
        <row r="248">
          <cell r="I248">
            <v>117748.76187841235</v>
          </cell>
        </row>
        <row r="249">
          <cell r="I249">
            <v>117122.43162493448</v>
          </cell>
        </row>
        <row r="250">
          <cell r="I250">
            <v>116492.70874925028</v>
          </cell>
        </row>
        <row r="251">
          <cell r="I251">
            <v>115859.57487465611</v>
          </cell>
        </row>
        <row r="252">
          <cell r="I252">
            <v>115223.01152490791</v>
          </cell>
        </row>
        <row r="253">
          <cell r="I253">
            <v>114583.00012368189</v>
          </cell>
        </row>
        <row r="254">
          <cell r="I254">
            <v>113939.52199403258</v>
          </cell>
        </row>
        <row r="255">
          <cell r="I255">
            <v>113292.55835784765</v>
          </cell>
        </row>
        <row r="256">
          <cell r="I256">
            <v>112642.09033530006</v>
          </cell>
        </row>
        <row r="257">
          <cell r="I257">
            <v>111988.098944297</v>
          </cell>
        </row>
        <row r="258">
          <cell r="I258">
            <v>111330.56509992601</v>
          </cell>
        </row>
        <row r="259">
          <cell r="I259">
            <v>110669.46961389801</v>
          </cell>
        </row>
        <row r="260">
          <cell r="I260">
            <v>110004.79319398735</v>
          </cell>
        </row>
        <row r="261">
          <cell r="I261">
            <v>109336.51644346885</v>
          </cell>
        </row>
        <row r="262">
          <cell r="I262">
            <v>108664.61986055171</v>
          </cell>
        </row>
        <row r="263">
          <cell r="I263">
            <v>107989.08383781044</v>
          </cell>
        </row>
        <row r="264">
          <cell r="I264">
            <v>107309.88866161264</v>
          </cell>
        </row>
        <row r="265">
          <cell r="I265">
            <v>106627.01451154378</v>
          </cell>
        </row>
        <row r="266">
          <cell r="I266">
            <v>105940.44145982871</v>
          </cell>
        </row>
        <row r="267">
          <cell r="I267">
            <v>105250.14947075018</v>
          </cell>
        </row>
        <row r="268">
          <cell r="I268">
            <v>104556.11840006415</v>
          </cell>
        </row>
        <row r="269">
          <cell r="I269">
            <v>103858.3279944119</v>
          </cell>
        </row>
        <row r="270">
          <cell r="I270">
            <v>103156.75789072903</v>
          </cell>
        </row>
        <row r="271">
          <cell r="I271">
            <v>102451.38761565121</v>
          </cell>
        </row>
        <row r="272">
          <cell r="I272">
            <v>101742.19658491672</v>
          </cell>
        </row>
        <row r="273">
          <cell r="I273">
            <v>101029.16410276575</v>
          </cell>
        </row>
        <row r="274">
          <cell r="I274">
            <v>100312.26936133647</v>
          </cell>
        </row>
        <row r="275">
          <cell r="I275">
            <v>99591.491440057769</v>
          </cell>
        </row>
        <row r="276">
          <cell r="I276">
            <v>98866.809305038812</v>
          </cell>
        </row>
        <row r="277">
          <cell r="I277">
            <v>98138.201808455167</v>
          </cell>
        </row>
        <row r="278">
          <cell r="I278">
            <v>97405.647687931705</v>
          </cell>
        </row>
        <row r="279">
          <cell r="I279">
            <v>96669.125565922077</v>
          </cell>
        </row>
        <row r="280">
          <cell r="I280">
            <v>95928.613949084887</v>
          </cell>
        </row>
        <row r="281">
          <cell r="I281">
            <v>95184.091227656492</v>
          </cell>
        </row>
        <row r="282">
          <cell r="I282">
            <v>94435.535674820363</v>
          </cell>
        </row>
        <row r="283">
          <cell r="I283">
            <v>93682.925446073044</v>
          </cell>
        </row>
        <row r="284">
          <cell r="I284">
            <v>92926.238578586679</v>
          </cell>
        </row>
        <row r="285">
          <cell r="I285">
            <v>92165.452990568097</v>
          </cell>
        </row>
        <row r="286">
          <cell r="I286">
            <v>91400.546480614415</v>
          </cell>
        </row>
        <row r="287">
          <cell r="I287">
            <v>90631.49672706514</v>
          </cell>
        </row>
        <row r="288">
          <cell r="I288">
            <v>89858.281287350808</v>
          </cell>
        </row>
        <row r="289">
          <cell r="I289">
            <v>89080.877597338025</v>
          </cell>
        </row>
        <row r="290">
          <cell r="I290">
            <v>88299.262970671014</v>
          </cell>
        </row>
        <row r="291">
          <cell r="I291">
            <v>87513.41459810955</v>
          </cell>
        </row>
        <row r="292">
          <cell r="I292">
            <v>86723.309546863384</v>
          </cell>
        </row>
        <row r="293">
          <cell r="I293">
            <v>85928.924759922957</v>
          </cell>
        </row>
        <row r="294">
          <cell r="I294">
            <v>85130.237055386606</v>
          </cell>
        </row>
        <row r="295">
          <cell r="I295">
            <v>84327.223125784018</v>
          </cell>
        </row>
        <row r="296">
          <cell r="I296">
            <v>83519.859537396085</v>
          </cell>
        </row>
        <row r="297">
          <cell r="I297">
            <v>82708.122729571041</v>
          </cell>
        </row>
        <row r="298">
          <cell r="I298">
            <v>81891.989014036953</v>
          </cell>
        </row>
        <row r="299">
          <cell r="I299">
            <v>81071.434574210391</v>
          </cell>
        </row>
        <row r="300">
          <cell r="I300">
            <v>80246.435464501425</v>
          </cell>
        </row>
        <row r="301">
          <cell r="I301">
            <v>79416.967609614876</v>
          </cell>
        </row>
        <row r="302">
          <cell r="I302">
            <v>78583.006803847689</v>
          </cell>
        </row>
        <row r="303">
          <cell r="I303">
            <v>77744.528710382598</v>
          </cell>
        </row>
        <row r="304">
          <cell r="I304">
            <v>76901.508860577902</v>
          </cell>
        </row>
        <row r="305">
          <cell r="I305">
            <v>76053.922653253438</v>
          </cell>
        </row>
        <row r="306">
          <cell r="I306">
            <v>75201.745353972627</v>
          </cell>
        </row>
        <row r="307">
          <cell r="I307">
            <v>74344.952094320717</v>
          </cell>
        </row>
        <row r="308">
          <cell r="I308">
            <v>73483.517871179021</v>
          </cell>
        </row>
        <row r="309">
          <cell r="I309">
            <v>72617.417545995311</v>
          </cell>
        </row>
        <row r="310">
          <cell r="I310">
            <v>71746.625844050184</v>
          </cell>
        </row>
        <row r="311">
          <cell r="I311">
            <v>70871.117353719528</v>
          </cell>
        </row>
        <row r="312">
          <cell r="I312">
            <v>69990.866525732912</v>
          </cell>
        </row>
        <row r="313">
          <cell r="I313">
            <v>69105.847672428034</v>
          </cell>
        </row>
        <row r="314">
          <cell r="I314">
            <v>68216.034967001091</v>
          </cell>
        </row>
        <row r="315">
          <cell r="I315">
            <v>67321.402442753082</v>
          </cell>
        </row>
        <row r="316">
          <cell r="I316">
            <v>66421.923992332057</v>
          </cell>
        </row>
        <row r="317">
          <cell r="I317">
            <v>65517.573366971257</v>
          </cell>
        </row>
        <row r="318">
          <cell r="I318">
            <v>64608.324175723086</v>
          </cell>
        </row>
        <row r="319">
          <cell r="I319">
            <v>63694.149884688988</v>
          </cell>
        </row>
        <row r="320">
          <cell r="I320">
            <v>62775.023816245121</v>
          </cell>
        </row>
        <row r="321">
          <cell r="I321">
            <v>61850.919148263849</v>
          </cell>
        </row>
        <row r="322">
          <cell r="I322">
            <v>60921.808913331013</v>
          </cell>
        </row>
        <row r="323">
          <cell r="I323">
            <v>59987.66599795896</v>
          </cell>
        </row>
        <row r="324">
          <cell r="I324">
            <v>59048.463141795306</v>
          </cell>
        </row>
        <row r="325">
          <cell r="I325">
            <v>58104.172936827432</v>
          </cell>
        </row>
        <row r="326">
          <cell r="I326">
            <v>57154.767826582647</v>
          </cell>
        </row>
        <row r="327">
          <cell r="I327">
            <v>56200.220105324035</v>
          </cell>
        </row>
        <row r="328">
          <cell r="I328">
            <v>55240.501917241942</v>
          </cell>
        </row>
        <row r="329">
          <cell r="I329">
            <v>54275.585255641068</v>
          </cell>
        </row>
        <row r="330">
          <cell r="I330">
            <v>53305.441962123194</v>
          </cell>
        </row>
        <row r="331">
          <cell r="I331">
            <v>52330.043725765427</v>
          </cell>
        </row>
        <row r="332">
          <cell r="I332">
            <v>51349.362082294057</v>
          </cell>
        </row>
        <row r="333">
          <cell r="I333">
            <v>50363.368413253884</v>
          </cell>
        </row>
        <row r="334">
          <cell r="I334">
            <v>49372.033945173076</v>
          </cell>
        </row>
        <row r="335">
          <cell r="I335">
            <v>48375.329748723496</v>
          </cell>
        </row>
        <row r="336">
          <cell r="I336">
            <v>47373.226737876481</v>
          </cell>
        </row>
        <row r="337">
          <cell r="I337">
            <v>46365.695669054046</v>
          </cell>
        </row>
        <row r="338">
          <cell r="I338">
            <v>45352.707140275488</v>
          </cell>
        </row>
        <row r="339">
          <cell r="I339">
            <v>44334.23159029938</v>
          </cell>
        </row>
        <row r="340">
          <cell r="I340">
            <v>43310.239297760905</v>
          </cell>
        </row>
        <row r="341">
          <cell r="I341">
            <v>42280.700380304508</v>
          </cell>
        </row>
        <row r="342">
          <cell r="I342">
            <v>41245.584793711889</v>
          </cell>
        </row>
        <row r="343">
          <cell r="I343">
            <v>40204.86233102523</v>
          </cell>
        </row>
        <row r="344">
          <cell r="I344">
            <v>39158.502621665684</v>
          </cell>
        </row>
        <row r="345">
          <cell r="I345">
            <v>38106.475130547107</v>
          </cell>
        </row>
        <row r="346">
          <cell r="I346">
            <v>37048.749157184975</v>
          </cell>
        </row>
        <row r="347">
          <cell r="I347">
            <v>35985.293834800461</v>
          </cell>
        </row>
        <row r="348">
          <cell r="I348">
            <v>34916.0781294197</v>
          </cell>
        </row>
        <row r="349">
          <cell r="I349">
            <v>33841.070838968124</v>
          </cell>
        </row>
        <row r="350">
          <cell r="I350">
            <v>32760.240592359936</v>
          </cell>
        </row>
        <row r="351">
          <cell r="I351">
            <v>31673.555848582619</v>
          </cell>
        </row>
        <row r="352">
          <cell r="I352">
            <v>30580.98489577651</v>
          </cell>
        </row>
        <row r="353">
          <cell r="I353">
            <v>29482.495850309366</v>
          </cell>
        </row>
        <row r="354">
          <cell r="I354">
            <v>28378.056655845943</v>
          </cell>
        </row>
        <row r="355">
          <cell r="I355">
            <v>27267.635082412511</v>
          </cell>
        </row>
        <row r="356">
          <cell r="I356">
            <v>26151.198725456314</v>
          </cell>
        </row>
        <row r="357">
          <cell r="I357">
            <v>25028.715004899936</v>
          </cell>
        </row>
        <row r="358">
          <cell r="I358">
            <v>23900.151164190545</v>
          </cell>
        </row>
        <row r="359">
          <cell r="I359">
            <v>22765.47426934398</v>
          </cell>
        </row>
        <row r="360">
          <cell r="I360">
            <v>21624.651207983661</v>
          </cell>
        </row>
        <row r="361">
          <cell r="I361">
            <v>20477.648688374305</v>
          </cell>
        </row>
        <row r="362">
          <cell r="I362">
            <v>19324.433238450401</v>
          </cell>
        </row>
        <row r="363">
          <cell r="I363">
            <v>18164.97120483941</v>
          </cell>
        </row>
        <row r="364">
          <cell r="I364">
            <v>16999.228751879691</v>
          </cell>
        </row>
        <row r="365">
          <cell r="I365">
            <v>15827.171860633107</v>
          </cell>
        </row>
        <row r="366">
          <cell r="I366">
            <v>14648.76632789227</v>
          </cell>
        </row>
        <row r="367">
          <cell r="I367">
            <v>13463.977765182421</v>
          </cell>
        </row>
        <row r="368">
          <cell r="I368">
            <v>12272.771597757894</v>
          </cell>
        </row>
        <row r="369">
          <cell r="I369">
            <v>11075.113063593149</v>
          </cell>
        </row>
        <row r="370">
          <cell r="I370">
            <v>9870.9672123683467</v>
          </cell>
        </row>
        <row r="371">
          <cell r="I371">
            <v>8660.2989044494097</v>
          </cell>
        </row>
        <row r="372">
          <cell r="I372">
            <v>7443.0728098625787</v>
          </cell>
        </row>
        <row r="373">
          <cell r="I373">
            <v>6219.2534072634026</v>
          </cell>
        </row>
        <row r="374">
          <cell r="I374">
            <v>4988.8049829001475</v>
          </cell>
        </row>
        <row r="375">
          <cell r="I375">
            <v>3751.691629571591</v>
          </cell>
        </row>
        <row r="376">
          <cell r="I376">
            <v>2507.8772455791714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Description "/>
      <sheetName val="Summary"/>
      <sheetName val="County Demos"/>
      <sheetName val="Micro Market Charts"/>
      <sheetName val="Misc. Calcs."/>
      <sheetName val="Med. Incomes Restricted Rents"/>
      <sheetName val="Income Bands "/>
      <sheetName val="Appropriatness of Unit Mix"/>
      <sheetName val="Neighborhood demos "/>
      <sheetName val="92264 Input Assumptions"/>
      <sheetName val="Page 1"/>
      <sheetName val="Page 2"/>
      <sheetName val="Page 3"/>
      <sheetName val="Page 4"/>
      <sheetName val="Page 5"/>
      <sheetName val="Page 6"/>
      <sheetName val="Page 7"/>
      <sheetName val="Page 7b"/>
      <sheetName val="Page 8"/>
      <sheetName val="Age Adjustments"/>
      <sheetName val="Size Adjustments"/>
      <sheetName val="Adj. Grid Eff "/>
      <sheetName val="Adj. Grid 1-1(A)    "/>
      <sheetName val="Adj. Grid 1-1(A)  (2)"/>
      <sheetName val="Adj. Grid1-1(B)   "/>
      <sheetName val="Adj. Grid 1-1(B)  (2)"/>
      <sheetName val="Adj. Grid 1-1(C)"/>
      <sheetName val="Adj. Grid 1-1(C)  (2)"/>
      <sheetName val="Adj. Grid 2-2(A)"/>
      <sheetName val="Adj. Grid 2-2(A)  (2)"/>
      <sheetName val="Adj. Grid 2-2(B)"/>
      <sheetName val="Adj. Grid 2-2(B)  (2)"/>
      <sheetName val="Adj. Grid 2-2(C) "/>
      <sheetName val="Adj. Grid 2-2(C)  (2)"/>
      <sheetName val="Ad Valorem Taxes "/>
      <sheetName val="92274 Expense "/>
      <sheetName val="Expense Grids for Narrative"/>
      <sheetName val="Ancillary Income"/>
      <sheetName val="Market Rents and NOI"/>
      <sheetName val="Mkt Rents and Alt. Reserves"/>
      <sheetName val="DCF"/>
      <sheetName val="GATCO Imp. Sales"/>
      <sheetName val="92264-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4">
          <cell r="B74">
            <v>78000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Summary"/>
      <sheetName val="NOI"/>
      <sheetName val="DevCost"/>
      <sheetName val="MrtgCalc"/>
      <sheetName val="IOD"/>
      <sheetName val="Closing"/>
      <sheetName val="SouUse"/>
      <sheetName val="Notes"/>
      <sheetName val="Time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6">
          <cell r="J6">
            <v>27496900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B"/>
      <sheetName val="BLA and Draw"/>
      <sheetName val="Rev. Analysis"/>
      <sheetName val="2264A"/>
      <sheetName val="Sizer"/>
      <sheetName val="Presentation"/>
      <sheetName val="2013"/>
    </sheetNames>
    <sheetDataSet>
      <sheetData sheetId="0">
        <row r="105">
          <cell r="E105">
            <v>1400000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Project Description"/>
      <sheetName val="Demographics"/>
      <sheetName val="Income Bands-Capture Rate "/>
      <sheetName val="Investment Analysis  "/>
      <sheetName val="Taxes"/>
      <sheetName val="Land Grid "/>
      <sheetName val="Cost App"/>
      <sheetName val="Rent Grids"/>
      <sheetName val="Expenses "/>
      <sheetName val="Band of Investment"/>
      <sheetName val="Rent &amp; Direct Cap"/>
      <sheetName val="Direct Cap Restricted"/>
      <sheetName val="Direct Cap Restricted - Bonds"/>
      <sheetName val="Imp Sales"/>
    </sheetNames>
    <sheetDataSet>
      <sheetData sheetId="0" refreshError="1">
        <row r="54">
          <cell r="E54">
            <v>10800000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2264-P2"/>
      <sheetName val="92264-P1"/>
      <sheetName val="92264-P3"/>
      <sheetName val="92264-P4"/>
      <sheetName val="92274expense"/>
      <sheetName val="Operatdef"/>
      <sheetName val="2273,1-1"/>
      <sheetName val="2273,2-1"/>
      <sheetName val="2273,2-2"/>
      <sheetName val="Sheet2"/>
      <sheetName val="Sheet3"/>
      <sheetName val="Sheet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 Summary"/>
      <sheetName val="ProjectSummary"/>
      <sheetName val="Assumptions"/>
      <sheetName val="Comparison of New #'s"/>
      <sheetName val="Cost Budget"/>
      <sheetName val="CashflowProforma"/>
      <sheetName val="DebtService"/>
      <sheetName val="RE taxes"/>
      <sheetName val="Sheet1"/>
      <sheetName val="Construction"/>
    </sheetNames>
    <sheetDataSet>
      <sheetData sheetId="0"/>
      <sheetData sheetId="1">
        <row r="23">
          <cell r="C23">
            <v>300</v>
          </cell>
        </row>
      </sheetData>
      <sheetData sheetId="2">
        <row r="7">
          <cell r="C7" t="str">
            <v>Independence Place -Ft Bragg 2 - Reilly Rd and Morganton Rd</v>
          </cell>
        </row>
        <row r="24">
          <cell r="B24">
            <v>624</v>
          </cell>
          <cell r="D24">
            <v>250200</v>
          </cell>
        </row>
        <row r="71">
          <cell r="E71">
            <v>300240</v>
          </cell>
        </row>
      </sheetData>
      <sheetData sheetId="3"/>
      <sheetData sheetId="4"/>
      <sheetData sheetId="5">
        <row r="84">
          <cell r="C84">
            <v>-558606.47475417005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Sheet"/>
      <sheetName val="Model"/>
      <sheetName val="Economics Projections"/>
      <sheetName val="Refinance"/>
      <sheetName val="Cap Rate Analysis"/>
      <sheetName val="Sheet5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tModel"/>
      <sheetName val="Taxes"/>
      <sheetName val="Expenses"/>
      <sheetName val="LandGrid"/>
      <sheetName val="CostEst."/>
      <sheetName val="Imp.SalesGrid"/>
      <sheetName val="LeaseUp"/>
      <sheetName val="DCF"/>
      <sheetName val="Summary"/>
    </sheetNames>
    <sheetDataSet>
      <sheetData sheetId="0" refreshError="1"/>
      <sheetData sheetId="1"/>
      <sheetData sheetId="2"/>
      <sheetData sheetId="3" refreshError="1"/>
      <sheetData sheetId="4" refreshError="1">
        <row r="17">
          <cell r="C17">
            <v>10.29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 Cap"/>
      <sheetName val="Summary &amp; Salient"/>
      <sheetName val="Ad Valorem Taxes"/>
      <sheetName val="Expense Comps"/>
      <sheetName val="Land Adj"/>
      <sheetName val="Cost Approach"/>
      <sheetName val="DCF"/>
      <sheetName val="Lease Up Discount"/>
      <sheetName val="Improved Sales"/>
    </sheetNames>
    <sheetDataSet>
      <sheetData sheetId="0" refreshError="1">
        <row r="95">
          <cell r="H95">
            <v>75910.08600000001</v>
          </cell>
        </row>
      </sheetData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Summary"/>
      <sheetName val="NOI"/>
      <sheetName val="DevCost"/>
      <sheetName val="MrtgCalc"/>
      <sheetName val="IOD"/>
      <sheetName val="Closing"/>
      <sheetName val="SouUse"/>
      <sheetName val="Notes"/>
      <sheetName val="Time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6">
          <cell r="J6">
            <v>26730600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macs"/>
      <sheetName val="input"/>
      <sheetName val="amort"/>
      <sheetName val="2013-1"/>
      <sheetName val="2013-2"/>
      <sheetName val="2013-3"/>
      <sheetName val="2013-4"/>
      <sheetName val="2013-5"/>
      <sheetName val="Replacement Cost"/>
      <sheetName val="form HUD-92264-A"/>
      <sheetName val="HUD-92264-A"/>
      <sheetName val="Loan Closing Details"/>
      <sheetName val="HUD 92264-A"/>
      <sheetName val="2264pg1"/>
      <sheetName val="2264 pg2"/>
      <sheetName val="2264 pg3"/>
      <sheetName val="2264 pg4"/>
      <sheetName val="2264pg5"/>
      <sheetName val="2264pg6"/>
      <sheetName val="2264pg7"/>
      <sheetName val="2264pg7 (2)"/>
      <sheetName val="2264pg8"/>
      <sheetName val="2283"/>
    </sheetNames>
    <sheetDataSet>
      <sheetData sheetId="0"/>
      <sheetData sheetId="1"/>
      <sheetData sheetId="2">
        <row r="1">
          <cell r="A1" t="str">
            <v>Project Description</v>
          </cell>
          <cell r="AU1" t="str">
            <v>Schedule Three:  Project Cost Estimate</v>
          </cell>
          <cell r="BZ1" t="str">
            <v>Schedule Four:  Lease-Up Projection</v>
          </cell>
          <cell r="CS1" t="str">
            <v>Schedule Five:  Ownership Structure &amp; Special Allocations</v>
          </cell>
          <cell r="EE1" t="str">
            <v>Schedule Nine: Depreciation and Mortgage Amortization Schedules</v>
          </cell>
          <cell r="FA1" t="str">
            <v>Schedule Ten: Profit &amp; Loss Projection</v>
          </cell>
          <cell r="FV1" t="str">
            <v>Schedule Twelve:  Status of Capital Accounts</v>
          </cell>
        </row>
        <row r="2">
          <cell r="F2" t="str">
            <v>2002 Median Household Incomes for :</v>
          </cell>
          <cell r="BL2" t="str">
            <v>Cash</v>
          </cell>
          <cell r="BN2" t="str">
            <v>Non-Cash Contribution</v>
          </cell>
          <cell r="BP2" t="str">
            <v>Loan Type</v>
          </cell>
          <cell r="BR2" t="str">
            <v>Annual Interest Rate</v>
          </cell>
        </row>
        <row r="3">
          <cell r="B3" t="str">
            <v>Sponsor:</v>
          </cell>
          <cell r="C3" t="str">
            <v>Value Investment Corporation</v>
          </cell>
          <cell r="I3" t="str">
            <v>50% of Median Level</v>
          </cell>
          <cell r="M3" t="str">
            <v>Annual Factor for trend in rents and income upon completion:</v>
          </cell>
          <cell r="Q3">
            <v>1</v>
          </cell>
          <cell r="AB3" t="str">
            <v>Commercial Space Revenue</v>
          </cell>
          <cell r="AV3" t="str">
            <v>FHA Mortgage Amount Calculation</v>
          </cell>
          <cell r="BA3" t="str">
            <v>Current Interest Rates</v>
          </cell>
          <cell r="BD3" t="str">
            <v>Construction Information:</v>
          </cell>
          <cell r="BK3" t="str">
            <v>Total</v>
          </cell>
          <cell r="BM3" t="str">
            <v>Taxable Mortgage</v>
          </cell>
          <cell r="BO3" t="str">
            <v>State &amp; Local Grants</v>
          </cell>
          <cell r="BQ3" t="str">
            <v>Term to Maturity</v>
          </cell>
          <cell r="CU3" t="str">
            <v xml:space="preserve"> Capital Investment</v>
          </cell>
          <cell r="CW3" t="str">
            <v>Cash Flow</v>
          </cell>
          <cell r="CY3" t="str">
            <v>Profits/Losses</v>
          </cell>
          <cell r="DA3" t="str">
            <v>Cash After Tax</v>
          </cell>
          <cell r="DO3" t="str">
            <v>Low Income Housing Tax Credit Calculation</v>
          </cell>
          <cell r="DU3" t="str">
            <v>Historic Rehabilitation Tax Credit Calculation</v>
          </cell>
          <cell r="EF3" t="str">
            <v>Annual Depreciation Calculation</v>
          </cell>
          <cell r="FB3" t="str">
            <v>Federal/State Tax Bracket:</v>
          </cell>
          <cell r="FX3" t="str">
            <v>Cash</v>
          </cell>
          <cell r="FY3" t="str">
            <v>Land</v>
          </cell>
          <cell r="FZ3" t="str">
            <v>Op. Def. Res. Draw</v>
          </cell>
          <cell r="GA3" t="str">
            <v>Dev. Fee Note</v>
          </cell>
          <cell r="GB3" t="str">
            <v>Total</v>
          </cell>
        </row>
        <row r="4">
          <cell r="B4" t="str">
            <v>Contact:</v>
          </cell>
          <cell r="C4" t="str">
            <v>J. F. Cannon</v>
          </cell>
          <cell r="F4" t="str">
            <v>One Person:</v>
          </cell>
          <cell r="H4">
            <v>0</v>
          </cell>
          <cell r="I4">
            <v>0</v>
          </cell>
          <cell r="BA4" t="str">
            <v>Date:</v>
          </cell>
          <cell r="BZ4" t="str">
            <v>Units Pre-Leased:</v>
          </cell>
          <cell r="CC4">
            <v>20</v>
          </cell>
          <cell r="CS4" t="str">
            <v>Entity</v>
          </cell>
          <cell r="CV4" t="str">
            <v>% Capital Invested</v>
          </cell>
          <cell r="CX4" t="str">
            <v>Tax Credits</v>
          </cell>
          <cell r="CZ4" t="str">
            <v>Gain Upon Sale</v>
          </cell>
          <cell r="DQ4" t="str">
            <v>Total</v>
          </cell>
          <cell r="DR4" t="str">
            <v>Acquisition</v>
          </cell>
          <cell r="DS4" t="str">
            <v>Construction</v>
          </cell>
          <cell r="DU4" t="str">
            <v>Residential HRTC Basis</v>
          </cell>
          <cell r="FC4" t="str">
            <v>Income Taxes:</v>
          </cell>
          <cell r="FD4" t="str">
            <v>Gains Tax:</v>
          </cell>
        </row>
        <row r="5">
          <cell r="B5" t="str">
            <v>Phone:</v>
          </cell>
          <cell r="C5" t="str">
            <v>801/272-0995</v>
          </cell>
          <cell r="F5" t="str">
            <v>Two People:</v>
          </cell>
          <cell r="H5">
            <v>0</v>
          </cell>
          <cell r="I5">
            <v>0</v>
          </cell>
          <cell r="AC5" t="str">
            <v>Type</v>
          </cell>
          <cell r="AD5" t="str">
            <v>Net Rentable Sq./ Ft</v>
          </cell>
          <cell r="AE5" t="str">
            <v>Monthly Triple Net Rent /Sq./Ft</v>
          </cell>
          <cell r="AF5" t="str">
            <v xml:space="preserve">Monthly Total </v>
          </cell>
          <cell r="AG5" t="str">
            <v>Annual Total</v>
          </cell>
          <cell r="AV5" t="str">
            <v xml:space="preserve">    Net Operating Income:</v>
          </cell>
          <cell r="AX5">
            <v>610008</v>
          </cell>
          <cell r="BA5" t="str">
            <v>2-Year</v>
          </cell>
          <cell r="BD5" t="str">
            <v xml:space="preserve">    Construction Start:</v>
          </cell>
          <cell r="BJ5" t="str">
            <v>FHA Insured Loan</v>
          </cell>
          <cell r="BK5">
            <v>5640600</v>
          </cell>
          <cell r="BL5">
            <v>0</v>
          </cell>
          <cell r="BM5">
            <v>5640600</v>
          </cell>
          <cell r="BN5">
            <v>0</v>
          </cell>
          <cell r="BO5">
            <v>0</v>
          </cell>
          <cell r="BP5">
            <v>1</v>
          </cell>
          <cell r="BQ5">
            <v>35</v>
          </cell>
          <cell r="BR5">
            <v>5.1249999999999997E-2</v>
          </cell>
          <cell r="BZ5" t="str">
            <v>Units Leased/Month:</v>
          </cell>
          <cell r="CC5">
            <v>12</v>
          </cell>
          <cell r="DO5" t="str">
            <v>Total Project Costs</v>
          </cell>
          <cell r="DQ5">
            <v>898596.3</v>
          </cell>
          <cell r="DR5">
            <v>0</v>
          </cell>
          <cell r="DS5">
            <v>898596.3</v>
          </cell>
          <cell r="FB5" t="str">
            <v>Investor</v>
          </cell>
          <cell r="FC5">
            <v>0.43</v>
          </cell>
          <cell r="FD5">
            <v>0.32</v>
          </cell>
          <cell r="FW5" t="str">
            <v>Investor:</v>
          </cell>
          <cell r="FX5">
            <v>0</v>
          </cell>
          <cell r="FY5">
            <v>0</v>
          </cell>
          <cell r="FZ5">
            <v>0</v>
          </cell>
          <cell r="GA5">
            <v>0</v>
          </cell>
          <cell r="GB5">
            <v>0</v>
          </cell>
        </row>
        <row r="6">
          <cell r="B6" t="str">
            <v>Fax:</v>
          </cell>
          <cell r="C6" t="str">
            <v>801/272-0996</v>
          </cell>
          <cell r="F6" t="str">
            <v>Three Persons:</v>
          </cell>
          <cell r="H6">
            <v>0</v>
          </cell>
          <cell r="I6">
            <v>0</v>
          </cell>
          <cell r="O6" t="str">
            <v xml:space="preserve">% of Units Occupied </v>
          </cell>
          <cell r="Q6" t="str">
            <v>Net Size of Unit (SQ. Ft.)</v>
          </cell>
          <cell r="S6" t="str">
            <v>Max. Occupant Income Limit</v>
          </cell>
          <cell r="U6" t="str">
            <v>Average Rent</v>
          </cell>
          <cell r="W6" t="str">
            <v>Total Monthly Rent to Landlord</v>
          </cell>
          <cell r="Y6" t="str">
            <v>Total Annual rent to Landlord</v>
          </cell>
          <cell r="AV6" t="str">
            <v xml:space="preserve">    Mortgage Amortization:</v>
          </cell>
          <cell r="AX6">
            <v>35</v>
          </cell>
          <cell r="AY6" t="str">
            <v>years</v>
          </cell>
          <cell r="BA6" t="str">
            <v>5-Year</v>
          </cell>
          <cell r="BD6" t="str">
            <v xml:space="preserve">    Construction Period:</v>
          </cell>
          <cell r="BJ6" t="str">
            <v>HOME Mortgage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2</v>
          </cell>
          <cell r="BQ6">
            <v>20</v>
          </cell>
          <cell r="BR6">
            <v>0.03</v>
          </cell>
          <cell r="BZ6" t="str">
            <v>Commercial Space Pre-Leased:</v>
          </cell>
          <cell r="CC6">
            <v>0</v>
          </cell>
          <cell r="CT6" t="str">
            <v>General Partner</v>
          </cell>
          <cell r="CU6">
            <v>275246.29999999981</v>
          </cell>
          <cell r="CV6">
            <v>1</v>
          </cell>
          <cell r="CW6">
            <v>1</v>
          </cell>
          <cell r="CX6">
            <v>1</v>
          </cell>
          <cell r="CY6">
            <v>1</v>
          </cell>
          <cell r="CZ6">
            <v>1</v>
          </cell>
          <cell r="DA6">
            <v>1</v>
          </cell>
          <cell r="DO6" t="str">
            <v>Less:</v>
          </cell>
          <cell r="DU6" t="str">
            <v>Eligible Project Costs</v>
          </cell>
          <cell r="DW6">
            <v>0</v>
          </cell>
          <cell r="EF6" t="str">
            <v>Asset</v>
          </cell>
          <cell r="EG6" t="str">
            <v>Initial Depreciation</v>
          </cell>
          <cell r="EH6" t="str">
            <v>Adjustments for:</v>
          </cell>
          <cell r="EJ6" t="str">
            <v>Depreciation</v>
          </cell>
          <cell r="EK6" t="str">
            <v>Depreciation</v>
          </cell>
          <cell r="FB6" t="str">
            <v>General Partner</v>
          </cell>
          <cell r="FC6">
            <v>0.43</v>
          </cell>
          <cell r="FD6">
            <v>0.32</v>
          </cell>
          <cell r="FW6" t="str">
            <v>General Partner:</v>
          </cell>
          <cell r="FX6">
            <v>275246.29999999981</v>
          </cell>
          <cell r="FY6">
            <v>0</v>
          </cell>
          <cell r="FZ6">
            <v>304912.62901319354</v>
          </cell>
          <cell r="GA6">
            <v>0</v>
          </cell>
          <cell r="GB6">
            <v>580158.92901319335</v>
          </cell>
        </row>
        <row r="7">
          <cell r="B7" t="str">
            <v>Address:</v>
          </cell>
          <cell r="C7" t="str">
            <v>1951 E 5600 S @ Highland Dr</v>
          </cell>
          <cell r="F7" t="str">
            <v>Four Persons:</v>
          </cell>
          <cell r="H7">
            <v>0</v>
          </cell>
          <cell r="I7">
            <v>0</v>
          </cell>
          <cell r="P7" t="str">
            <v>Type of Unit</v>
          </cell>
          <cell r="R7" t="str">
            <v># of Units</v>
          </cell>
          <cell r="T7" t="str">
            <v>Max. Gross Monthly Rent</v>
          </cell>
          <cell r="V7" t="str">
            <v>Heat and Lights/ Tenant</v>
          </cell>
          <cell r="X7" t="str">
            <v>Monthly Rent/ S.F.</v>
          </cell>
          <cell r="AC7" t="str">
            <v xml:space="preserve">    Retail Space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V7" t="str">
            <v xml:space="preserve">    Initial Put:</v>
          </cell>
          <cell r="AX7">
            <v>35</v>
          </cell>
          <cell r="AY7" t="str">
            <v>years</v>
          </cell>
          <cell r="BA7" t="str">
            <v>10-Year</v>
          </cell>
          <cell r="BD7" t="str">
            <v xml:space="preserve">    Construction Loan Rate:</v>
          </cell>
          <cell r="BJ7" t="str">
            <v>Subordinate Debt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3</v>
          </cell>
          <cell r="BQ7">
            <v>40</v>
          </cell>
          <cell r="BR7">
            <v>0.03</v>
          </cell>
          <cell r="BZ7" t="str">
            <v>Commercial Space Leased/Month:</v>
          </cell>
          <cell r="CC7">
            <v>0</v>
          </cell>
          <cell r="CE7" t="str">
            <v>Construction Period Rent Concession:</v>
          </cell>
          <cell r="CH7">
            <v>0</v>
          </cell>
          <cell r="CT7" t="str">
            <v>Investor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O7" t="str">
            <v>Non-Depreciable Items</v>
          </cell>
          <cell r="DQ7">
            <v>0</v>
          </cell>
          <cell r="DR7">
            <v>0</v>
          </cell>
          <cell r="DS7">
            <v>0</v>
          </cell>
          <cell r="DU7" t="str">
            <v>Credit %</v>
          </cell>
          <cell r="DW7">
            <v>0.2</v>
          </cell>
          <cell r="EG7" t="str">
            <v>Basis</v>
          </cell>
          <cell r="EH7" t="str">
            <v>HRTC</v>
          </cell>
          <cell r="EI7" t="str">
            <v>Grants</v>
          </cell>
          <cell r="EJ7" t="str">
            <v>Basis</v>
          </cell>
          <cell r="EK7" t="str">
            <v>Life</v>
          </cell>
        </row>
        <row r="8">
          <cell r="C8" t="str">
            <v>Salt Lake City, UT  84121</v>
          </cell>
          <cell r="F8" t="str">
            <v>Five Persons:</v>
          </cell>
          <cell r="H8">
            <v>0</v>
          </cell>
          <cell r="I8">
            <v>0</v>
          </cell>
          <cell r="AC8" t="str">
            <v xml:space="preserve">    Other Comercial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V8" t="str">
            <v xml:space="preserve">    Pass Thru Rate:</v>
          </cell>
          <cell r="AX8">
            <v>4.3749999999999997E-2</v>
          </cell>
          <cell r="BA8" t="str">
            <v>30-Year</v>
          </cell>
          <cell r="BD8" t="str">
            <v xml:space="preserve">    Total Net Residential Space (P to P:</v>
          </cell>
          <cell r="BJ8" t="str">
            <v>Tap Fee Deferrals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DO8" t="str">
            <v>Amortized Items</v>
          </cell>
          <cell r="DQ8">
            <v>-154800.5</v>
          </cell>
          <cell r="DR8">
            <v>0</v>
          </cell>
          <cell r="DS8">
            <v>-154800.5</v>
          </cell>
          <cell r="FW8" t="str">
            <v>Total:</v>
          </cell>
          <cell r="FX8">
            <v>275246.29999999981</v>
          </cell>
          <cell r="FY8">
            <v>0</v>
          </cell>
          <cell r="FZ8">
            <v>304912.62901319354</v>
          </cell>
          <cell r="GA8">
            <v>0</v>
          </cell>
          <cell r="GB8">
            <v>580158.92901319335</v>
          </cell>
        </row>
        <row r="9">
          <cell r="M9" t="str">
            <v>Low Income Units :</v>
          </cell>
          <cell r="O9">
            <v>0</v>
          </cell>
          <cell r="P9" t="str">
            <v>Studio</v>
          </cell>
          <cell r="Q9">
            <v>327</v>
          </cell>
          <cell r="R9">
            <v>0</v>
          </cell>
          <cell r="S9">
            <v>0</v>
          </cell>
          <cell r="T9">
            <v>0</v>
          </cell>
          <cell r="U9">
            <v>-27</v>
          </cell>
          <cell r="V9">
            <v>30</v>
          </cell>
          <cell r="W9">
            <v>0</v>
          </cell>
          <cell r="X9">
            <v>0</v>
          </cell>
          <cell r="Y9">
            <v>0</v>
          </cell>
          <cell r="AV9" t="str">
            <v xml:space="preserve">    FHA MIP:</v>
          </cell>
          <cell r="AX9">
            <v>5.0000000000000001E-3</v>
          </cell>
          <cell r="BA9" t="str">
            <v>BBI 20 Year</v>
          </cell>
          <cell r="BB9" t="str">
            <v>N/A</v>
          </cell>
          <cell r="BD9" t="str">
            <v xml:space="preserve">    Load Factor:</v>
          </cell>
          <cell r="BJ9" t="str">
            <v>Subordinated Land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CT9" t="str">
            <v>Totals:</v>
          </cell>
          <cell r="CU9">
            <v>275246.29999999981</v>
          </cell>
          <cell r="CV9">
            <v>1</v>
          </cell>
          <cell r="CW9">
            <v>1</v>
          </cell>
          <cell r="CX9">
            <v>1</v>
          </cell>
          <cell r="CY9">
            <v>1</v>
          </cell>
          <cell r="CZ9">
            <v>1</v>
          </cell>
          <cell r="DA9">
            <v>1</v>
          </cell>
          <cell r="DO9" t="str">
            <v>Expensed Items</v>
          </cell>
          <cell r="DQ9">
            <v>0</v>
          </cell>
          <cell r="DR9">
            <v>0</v>
          </cell>
          <cell r="DS9">
            <v>0</v>
          </cell>
          <cell r="DU9" t="str">
            <v>Credit Amount</v>
          </cell>
          <cell r="DW9">
            <v>0</v>
          </cell>
          <cell r="EF9" t="str">
            <v>Residential Building Acquisition</v>
          </cell>
          <cell r="EG9">
            <v>0</v>
          </cell>
          <cell r="EH9">
            <v>0</v>
          </cell>
          <cell r="EI9">
            <v>0</v>
          </cell>
          <cell r="EJ9">
            <v>0</v>
          </cell>
          <cell r="EK9">
            <v>40</v>
          </cell>
          <cell r="FH9" t="str">
            <v>End of Year of Operation</v>
          </cell>
        </row>
        <row r="10">
          <cell r="F10" t="str">
            <v>Unit Styles</v>
          </cell>
          <cell r="H10" t="str">
            <v>Average Size</v>
          </cell>
          <cell r="J10" t="str">
            <v>Post Rehab</v>
          </cell>
          <cell r="M10">
            <v>0.5</v>
          </cell>
          <cell r="N10" t="str">
            <v>of Median Income</v>
          </cell>
          <cell r="P10" t="str">
            <v>1-Bd,1-Ba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-36</v>
          </cell>
          <cell r="V10">
            <v>40</v>
          </cell>
          <cell r="W10">
            <v>0</v>
          </cell>
          <cell r="X10">
            <v>0</v>
          </cell>
          <cell r="Y10">
            <v>0</v>
          </cell>
          <cell r="AC10" t="str">
            <v>Total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V10" t="str">
            <v xml:space="preserve">    Servicing Fee:</v>
          </cell>
          <cell r="AX10">
            <v>2.5000000000000001E-3</v>
          </cell>
          <cell r="BA10" t="str">
            <v>Reinvestment Rate</v>
          </cell>
          <cell r="BB10" t="str">
            <v>NA</v>
          </cell>
          <cell r="BD10" t="str">
            <v xml:space="preserve">    Adjusted Gross Residential Size:</v>
          </cell>
          <cell r="BJ10" t="str">
            <v>BSPRA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Z10" t="str">
            <v>Monthly Projections</v>
          </cell>
          <cell r="CC10">
            <v>1</v>
          </cell>
          <cell r="CD10">
            <v>2</v>
          </cell>
          <cell r="CE10">
            <v>3</v>
          </cell>
          <cell r="CF10">
            <v>4</v>
          </cell>
          <cell r="CG10">
            <v>5</v>
          </cell>
          <cell r="CH10">
            <v>6</v>
          </cell>
          <cell r="CI10">
            <v>7</v>
          </cell>
          <cell r="CJ10">
            <v>8</v>
          </cell>
          <cell r="CK10">
            <v>9</v>
          </cell>
          <cell r="CL10">
            <v>10</v>
          </cell>
          <cell r="CM10">
            <v>11</v>
          </cell>
          <cell r="CN10">
            <v>12</v>
          </cell>
          <cell r="DO10" t="str">
            <v>Commercial Depreciation</v>
          </cell>
          <cell r="DQ10">
            <v>-100000</v>
          </cell>
          <cell r="DS10">
            <v>-100000</v>
          </cell>
          <cell r="EF10" t="str">
            <v>Construction (less HRTC)</v>
          </cell>
          <cell r="EG10">
            <v>611606.01</v>
          </cell>
          <cell r="EH10">
            <v>0</v>
          </cell>
          <cell r="EI10">
            <v>0</v>
          </cell>
          <cell r="EJ10">
            <v>611606.01</v>
          </cell>
          <cell r="EK10">
            <v>40</v>
          </cell>
          <cell r="FB10" t="str">
            <v>Year</v>
          </cell>
          <cell r="FC10">
            <v>1</v>
          </cell>
          <cell r="FD10">
            <v>2</v>
          </cell>
          <cell r="FE10">
            <v>3</v>
          </cell>
          <cell r="FF10">
            <v>4</v>
          </cell>
          <cell r="FG10">
            <v>5</v>
          </cell>
          <cell r="FH10">
            <v>6</v>
          </cell>
          <cell r="FI10">
            <v>7</v>
          </cell>
          <cell r="FJ10">
            <v>8</v>
          </cell>
          <cell r="FK10">
            <v>9</v>
          </cell>
        </row>
        <row r="11">
          <cell r="B11" t="str">
            <v>Project Name:</v>
          </cell>
          <cell r="C11" t="str">
            <v>Raintree Village Apartments</v>
          </cell>
          <cell r="G11" t="str">
            <v>Number of Units</v>
          </cell>
          <cell r="H11" t="str">
            <v>(Paint to Paint)</v>
          </cell>
          <cell r="I11" t="str">
            <v>Market Rents</v>
          </cell>
          <cell r="J11" t="str">
            <v>Rents</v>
          </cell>
          <cell r="M11">
            <v>0.3</v>
          </cell>
          <cell r="N11" t="str">
            <v>Allocated to Rent</v>
          </cell>
          <cell r="P11" t="str">
            <v>2-Bd,1-Ba</v>
          </cell>
          <cell r="Q11">
            <v>836</v>
          </cell>
          <cell r="R11">
            <v>0</v>
          </cell>
          <cell r="S11">
            <v>0</v>
          </cell>
          <cell r="T11">
            <v>0</v>
          </cell>
          <cell r="U11">
            <v>-45</v>
          </cell>
          <cell r="V11">
            <v>50</v>
          </cell>
          <cell r="W11">
            <v>0</v>
          </cell>
          <cell r="X11">
            <v>0</v>
          </cell>
          <cell r="Y11">
            <v>0</v>
          </cell>
          <cell r="AV11" t="str">
            <v xml:space="preserve">    Asset Mgmt/Issuer</v>
          </cell>
          <cell r="AX11">
            <v>0</v>
          </cell>
          <cell r="BD11" t="str">
            <v xml:space="preserve">    Lease-Up Period</v>
          </cell>
          <cell r="BJ11" t="str">
            <v>Owner Funds</v>
          </cell>
          <cell r="BK11">
            <v>12.299999999813735</v>
          </cell>
          <cell r="BL11">
            <v>12.299999999813735</v>
          </cell>
          <cell r="BM11">
            <v>0</v>
          </cell>
          <cell r="BN11">
            <v>0</v>
          </cell>
          <cell r="BO11">
            <v>0</v>
          </cell>
          <cell r="DO11" t="str">
            <v>HRTC Residential</v>
          </cell>
          <cell r="DQ11">
            <v>0</v>
          </cell>
          <cell r="DS11">
            <v>0</v>
          </cell>
          <cell r="DU11" t="str">
            <v>Commercial HRTC Basis</v>
          </cell>
          <cell r="EF11" t="str">
            <v>Commercial Building Acquisition</v>
          </cell>
          <cell r="EG11">
            <v>0</v>
          </cell>
          <cell r="EH11">
            <v>0</v>
          </cell>
          <cell r="EI11">
            <v>0</v>
          </cell>
          <cell r="EJ11">
            <v>0</v>
          </cell>
          <cell r="EK11">
            <v>39</v>
          </cell>
          <cell r="FV11" t="str">
            <v>Status of Capital Accounts</v>
          </cell>
        </row>
        <row r="12">
          <cell r="B12" t="str">
            <v>Location</v>
          </cell>
          <cell r="C12" t="str">
            <v>9550 Dyer St., El Paso, TX</v>
          </cell>
          <cell r="F12" t="str">
            <v>Studio</v>
          </cell>
          <cell r="G12">
            <v>72</v>
          </cell>
          <cell r="H12">
            <v>327</v>
          </cell>
          <cell r="I12">
            <v>395</v>
          </cell>
          <cell r="J12">
            <v>395</v>
          </cell>
          <cell r="P12" t="str">
            <v>2-Bd,2-Ba</v>
          </cell>
          <cell r="Q12">
            <v>1029</v>
          </cell>
          <cell r="R12">
            <v>0</v>
          </cell>
          <cell r="S12">
            <v>0</v>
          </cell>
          <cell r="T12">
            <v>0</v>
          </cell>
          <cell r="U12">
            <v>-47</v>
          </cell>
          <cell r="V12">
            <v>50</v>
          </cell>
          <cell r="W12">
            <v>0</v>
          </cell>
          <cell r="X12">
            <v>0</v>
          </cell>
          <cell r="Y12">
            <v>0</v>
          </cell>
          <cell r="AD12" t="str">
            <v>Total Annual Commercial Income:</v>
          </cell>
          <cell r="AG12">
            <v>0</v>
          </cell>
          <cell r="AV12" t="str">
            <v xml:space="preserve">    Net Relending Rate:</v>
          </cell>
          <cell r="AX12">
            <v>5.1249999999999997E-2</v>
          </cell>
          <cell r="BA12" t="str">
            <v>Estimated Market Value</v>
          </cell>
          <cell r="BD12" t="str">
            <v xml:space="preserve">    Clubhouse/Mtce</v>
          </cell>
          <cell r="BZ12" t="str">
            <v>Residential Occupancy</v>
          </cell>
          <cell r="CC12">
            <v>0.11636363636363636</v>
          </cell>
          <cell r="CD12">
            <v>0.16</v>
          </cell>
          <cell r="CE12">
            <v>0.20363636363636364</v>
          </cell>
          <cell r="CF12">
            <v>0.24727272727272728</v>
          </cell>
          <cell r="CG12">
            <v>0.29090909090909089</v>
          </cell>
          <cell r="CH12">
            <v>0.33454545454545453</v>
          </cell>
          <cell r="CI12">
            <v>0.37818181818181817</v>
          </cell>
          <cell r="CJ12">
            <v>0.42181818181818181</v>
          </cell>
          <cell r="CK12">
            <v>0.46545454545454545</v>
          </cell>
          <cell r="CL12">
            <v>0.50909090909090904</v>
          </cell>
          <cell r="CM12">
            <v>0.55272727272727273</v>
          </cell>
          <cell r="CN12">
            <v>0.59636363636363643</v>
          </cell>
          <cell r="EF12" t="str">
            <v>Commercial Construction</v>
          </cell>
          <cell r="EG12">
            <v>100000</v>
          </cell>
          <cell r="EH12">
            <v>0</v>
          </cell>
          <cell r="EI12">
            <v>0</v>
          </cell>
          <cell r="EJ12">
            <v>100000</v>
          </cell>
          <cell r="EK12">
            <v>39</v>
          </cell>
          <cell r="FB12" t="str">
            <v>Effective Gross Income</v>
          </cell>
          <cell r="FC12">
            <v>566820.18181818188</v>
          </cell>
          <cell r="FD12">
            <v>1355951.74</v>
          </cell>
          <cell r="FE12">
            <v>1396630.2922</v>
          </cell>
          <cell r="FF12">
            <v>1438529.2009659999</v>
          </cell>
          <cell r="FG12">
            <v>1481685.07699498</v>
          </cell>
          <cell r="FH12">
            <v>1526135.6293048293</v>
          </cell>
          <cell r="FI12">
            <v>1571919.6981839743</v>
          </cell>
          <cell r="FJ12">
            <v>1619077.2891294935</v>
          </cell>
          <cell r="FK12">
            <v>1667649.6078033783</v>
          </cell>
          <cell r="FV12" t="str">
            <v>Initial Cap. Acct.</v>
          </cell>
          <cell r="FX12">
            <v>1</v>
          </cell>
          <cell r="FY12">
            <v>2</v>
          </cell>
          <cell r="FZ12">
            <v>3</v>
          </cell>
          <cell r="GA12">
            <v>4</v>
          </cell>
          <cell r="GB12">
            <v>5</v>
          </cell>
          <cell r="GC12">
            <v>6</v>
          </cell>
          <cell r="GD12">
            <v>7</v>
          </cell>
          <cell r="GE12">
            <v>8</v>
          </cell>
          <cell r="GF12">
            <v>9</v>
          </cell>
          <cell r="GG12">
            <v>10</v>
          </cell>
        </row>
        <row r="13">
          <cell r="B13" t="str">
            <v>City and State:</v>
          </cell>
          <cell r="C13" t="str">
            <v>El Paso</v>
          </cell>
          <cell r="D13" t="str">
            <v>TX</v>
          </cell>
          <cell r="F13" t="str">
            <v>1-Bd,1-Ba</v>
          </cell>
          <cell r="G13">
            <v>200</v>
          </cell>
          <cell r="H13">
            <v>418</v>
          </cell>
          <cell r="I13">
            <v>445</v>
          </cell>
          <cell r="J13">
            <v>445</v>
          </cell>
          <cell r="P13" t="str">
            <v>2-Bd,2-Ba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-48</v>
          </cell>
          <cell r="V13">
            <v>50</v>
          </cell>
          <cell r="W13">
            <v>0</v>
          </cell>
          <cell r="X13">
            <v>0</v>
          </cell>
          <cell r="Y13">
            <v>0</v>
          </cell>
          <cell r="AV13" t="str">
            <v xml:space="preserve">    Debt Service Constant:</v>
          </cell>
          <cell r="AX13">
            <v>6.2723296877691029E-2</v>
          </cell>
          <cell r="BA13" t="str">
            <v>Project NOI:</v>
          </cell>
          <cell r="BB13">
            <v>610008</v>
          </cell>
          <cell r="BD13" t="str">
            <v xml:space="preserve">    Total Commercial Space:</v>
          </cell>
          <cell r="BJ13" t="str">
            <v>Total Financing</v>
          </cell>
          <cell r="BK13">
            <v>5640612.2999999998</v>
          </cell>
          <cell r="BZ13" t="str">
            <v>Commercial Occupancy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G13">
            <v>0</v>
          </cell>
          <cell r="CH13">
            <v>0</v>
          </cell>
          <cell r="CI13">
            <v>0</v>
          </cell>
          <cell r="CJ13">
            <v>0</v>
          </cell>
          <cell r="CK13">
            <v>0</v>
          </cell>
          <cell r="CL13">
            <v>0</v>
          </cell>
          <cell r="CM13">
            <v>0</v>
          </cell>
          <cell r="CN13">
            <v>0</v>
          </cell>
          <cell r="CS13" t="str">
            <v>Schedule Six:  Cash Flow Projection</v>
          </cell>
          <cell r="DU13" t="str">
            <v>Eligible Project Costs</v>
          </cell>
          <cell r="DW13">
            <v>0</v>
          </cell>
          <cell r="EF13" t="str">
            <v>Personal Property</v>
          </cell>
          <cell r="EG13">
            <v>32189.790000000005</v>
          </cell>
          <cell r="EH13">
            <v>0</v>
          </cell>
          <cell r="EI13">
            <v>0</v>
          </cell>
          <cell r="EJ13">
            <v>32189.790000000005</v>
          </cell>
          <cell r="EK13">
            <v>7</v>
          </cell>
        </row>
        <row r="14">
          <cell r="B14" t="str">
            <v>Amenities:</v>
          </cell>
          <cell r="F14" t="str">
            <v>1-Bd,1-Ba</v>
          </cell>
          <cell r="G14">
            <v>0</v>
          </cell>
          <cell r="J14">
            <v>0</v>
          </cell>
          <cell r="P14" t="str">
            <v>3-Bd, 2-Ba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-73</v>
          </cell>
          <cell r="V14">
            <v>85</v>
          </cell>
          <cell r="W14">
            <v>0</v>
          </cell>
          <cell r="X14">
            <v>0</v>
          </cell>
          <cell r="Y14">
            <v>0</v>
          </cell>
          <cell r="AV14" t="str">
            <v xml:space="preserve">    Coverage Factor:</v>
          </cell>
          <cell r="AX14">
            <v>0.57998976466674179</v>
          </cell>
          <cell r="BA14" t="str">
            <v>Est'd Market Cap Rate:</v>
          </cell>
          <cell r="BB14">
            <v>0.09</v>
          </cell>
          <cell r="BD14" t="str">
            <v xml:space="preserve">    Total Project Size</v>
          </cell>
          <cell r="BJ14" t="str">
            <v>Total Project Costs</v>
          </cell>
          <cell r="BK14">
            <v>5640612.2999999998</v>
          </cell>
          <cell r="BZ14" t="str">
            <v>Parking Occupancy</v>
          </cell>
          <cell r="CC14">
            <v>0.11636363636363636</v>
          </cell>
          <cell r="CD14">
            <v>0.16</v>
          </cell>
          <cell r="CE14">
            <v>0.20363636363636364</v>
          </cell>
          <cell r="CF14">
            <v>0.24727272727272728</v>
          </cell>
          <cell r="CG14">
            <v>0.29090909090909089</v>
          </cell>
          <cell r="CH14">
            <v>0.33454545454545453</v>
          </cell>
          <cell r="CI14">
            <v>0.37818181818181817</v>
          </cell>
          <cell r="CJ14">
            <v>0.42181818181818181</v>
          </cell>
          <cell r="CK14">
            <v>0.46545454545454545</v>
          </cell>
          <cell r="CL14">
            <v>0.50909090909090904</v>
          </cell>
          <cell r="CM14">
            <v>0.55272727272727273</v>
          </cell>
          <cell r="CN14">
            <v>0.59636363636363643</v>
          </cell>
          <cell r="DO14" t="str">
            <v>Gross Eligible Basis</v>
          </cell>
          <cell r="DQ14">
            <v>643795.80000000005</v>
          </cell>
          <cell r="DR14">
            <v>0</v>
          </cell>
          <cell r="DS14">
            <v>643795.80000000005</v>
          </cell>
          <cell r="DU14" t="str">
            <v>Credit %</v>
          </cell>
          <cell r="DW14">
            <v>0.2</v>
          </cell>
          <cell r="EF14" t="str">
            <v>Total:</v>
          </cell>
          <cell r="EG14">
            <v>743795.8</v>
          </cell>
          <cell r="EH14">
            <v>0</v>
          </cell>
          <cell r="EI14">
            <v>0</v>
          </cell>
          <cell r="EJ14">
            <v>743795.8</v>
          </cell>
          <cell r="FB14" t="str">
            <v>Expenses</v>
          </cell>
          <cell r="FV14" t="str">
            <v>Investor</v>
          </cell>
        </row>
        <row r="15">
          <cell r="B15" t="str">
            <v>Parking:</v>
          </cell>
          <cell r="C15" t="str">
            <v>Surface</v>
          </cell>
          <cell r="F15" t="str">
            <v>2-Bd,1-Ba</v>
          </cell>
          <cell r="G15">
            <v>2</v>
          </cell>
          <cell r="H15">
            <v>836</v>
          </cell>
          <cell r="I15">
            <v>600</v>
          </cell>
          <cell r="J15">
            <v>600</v>
          </cell>
          <cell r="AB15" t="str">
            <v>Parking Revenue</v>
          </cell>
          <cell r="AV15" t="str">
            <v xml:space="preserve">   Projected Mortgage Amount:</v>
          </cell>
          <cell r="AX15">
            <v>5640600</v>
          </cell>
          <cell r="AY15">
            <v>0.999997819385672</v>
          </cell>
          <cell r="BA15" t="str">
            <v>Est'd Market Value:</v>
          </cell>
          <cell r="BB15">
            <v>6780000</v>
          </cell>
          <cell r="BC15">
            <v>0.83194690265486726</v>
          </cell>
          <cell r="BD15" t="str">
            <v xml:space="preserve">    Construction Loan Period:</v>
          </cell>
          <cell r="BZ15" t="str">
            <v>Other Revenue Occupancy</v>
          </cell>
          <cell r="CC15">
            <v>0.11636363636363636</v>
          </cell>
          <cell r="CD15">
            <v>0.16</v>
          </cell>
          <cell r="CE15">
            <v>0.20363636363636364</v>
          </cell>
          <cell r="CF15">
            <v>0.24727272727272728</v>
          </cell>
          <cell r="CG15">
            <v>0.29090909090909089</v>
          </cell>
          <cell r="CH15">
            <v>0.33454545454545453</v>
          </cell>
          <cell r="CI15">
            <v>0.37818181818181817</v>
          </cell>
          <cell r="CJ15">
            <v>0.42181818181818181</v>
          </cell>
          <cell r="CK15">
            <v>0.46545454545454545</v>
          </cell>
          <cell r="CL15">
            <v>0.50909090909090904</v>
          </cell>
          <cell r="CM15">
            <v>0.55272727272727273</v>
          </cell>
          <cell r="CN15">
            <v>0.59636363636363643</v>
          </cell>
          <cell r="CS15" t="str">
            <v>Annual Inflation Factors</v>
          </cell>
          <cell r="DO15" t="str">
            <v>Allocable Government Grants</v>
          </cell>
          <cell r="DQ15">
            <v>0</v>
          </cell>
          <cell r="DR15">
            <v>0</v>
          </cell>
          <cell r="DS15">
            <v>0</v>
          </cell>
          <cell r="FB15" t="str">
            <v>Project Expenses</v>
          </cell>
          <cell r="FC15">
            <v>557852.88469965325</v>
          </cell>
          <cell r="FD15">
            <v>725944</v>
          </cell>
          <cell r="FE15">
            <v>747722.32000000007</v>
          </cell>
          <cell r="FF15">
            <v>770153.98960000009</v>
          </cell>
          <cell r="FG15">
            <v>793258.60928800015</v>
          </cell>
          <cell r="FH15">
            <v>817056.36756664014</v>
          </cell>
          <cell r="FI15">
            <v>841568.05859363941</v>
          </cell>
          <cell r="FJ15">
            <v>866815.10035144864</v>
          </cell>
          <cell r="FK15">
            <v>892819.55336199212</v>
          </cell>
          <cell r="FV15" t="str">
            <v>Profit (Loss)</v>
          </cell>
          <cell r="FX15">
            <v>0</v>
          </cell>
          <cell r="FY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D15">
            <v>0</v>
          </cell>
          <cell r="GE15">
            <v>0</v>
          </cell>
          <cell r="GF15">
            <v>0</v>
          </cell>
          <cell r="GG15">
            <v>0</v>
          </cell>
        </row>
        <row r="16">
          <cell r="B16" t="str">
            <v>Commercial Space:</v>
          </cell>
          <cell r="C16" t="str">
            <v>None</v>
          </cell>
          <cell r="F16" t="str">
            <v>2-Bd,2-Ba</v>
          </cell>
          <cell r="G16">
            <v>1</v>
          </cell>
          <cell r="H16">
            <v>1029</v>
          </cell>
          <cell r="I16">
            <v>660</v>
          </cell>
          <cell r="J16">
            <v>660</v>
          </cell>
          <cell r="M16" t="str">
            <v xml:space="preserve">Market Rate Units:  </v>
          </cell>
          <cell r="O16">
            <v>1</v>
          </cell>
          <cell r="P16" t="str">
            <v>Studio</v>
          </cell>
          <cell r="Q16">
            <v>327</v>
          </cell>
          <cell r="R16">
            <v>72</v>
          </cell>
          <cell r="S16">
            <v>0</v>
          </cell>
          <cell r="T16">
            <v>0</v>
          </cell>
          <cell r="U16">
            <v>395</v>
          </cell>
          <cell r="V16">
            <v>30</v>
          </cell>
          <cell r="W16">
            <v>28440</v>
          </cell>
          <cell r="X16">
            <v>1.2079510703363914</v>
          </cell>
          <cell r="Y16">
            <v>341280</v>
          </cell>
          <cell r="AV16" t="str">
            <v xml:space="preserve">    Mortgage Amount/Unit:</v>
          </cell>
          <cell r="AX16">
            <v>20511.272727272728</v>
          </cell>
          <cell r="AY16">
            <v>5640600</v>
          </cell>
          <cell r="BA16" t="str">
            <v>Max Loan @ 85% LTV</v>
          </cell>
          <cell r="BB16">
            <v>5763000</v>
          </cell>
          <cell r="BD16" t="str">
            <v xml:space="preserve">    Commercial SF as a % of </v>
          </cell>
          <cell r="BJ16" t="str">
            <v xml:space="preserve">Part Two </v>
          </cell>
          <cell r="BK16" t="str">
            <v>Total Financial Requirements</v>
          </cell>
          <cell r="BP16" t="str">
            <v>Sources &amp; Uses at:</v>
          </cell>
          <cell r="BQ16" t="str">
            <v>Initial Endorsement</v>
          </cell>
          <cell r="BR16" t="str">
            <v>Final Endorsement</v>
          </cell>
          <cell r="CT16" t="str">
            <v>Residential Rents:</v>
          </cell>
          <cell r="CU16">
            <v>0.03</v>
          </cell>
          <cell r="DO16" t="str">
            <v>Allocable Federal Financing</v>
          </cell>
          <cell r="DQ16">
            <v>0</v>
          </cell>
          <cell r="DR16">
            <v>0</v>
          </cell>
          <cell r="DS16">
            <v>0</v>
          </cell>
          <cell r="DU16" t="str">
            <v>Credit Amount</v>
          </cell>
          <cell r="DW16">
            <v>0</v>
          </cell>
          <cell r="FB16" t="str">
            <v>Mortgage &amp; Other Interest</v>
          </cell>
          <cell r="FC16">
            <v>239961.98006659574</v>
          </cell>
          <cell r="FD16">
            <v>285117.25068151462</v>
          </cell>
          <cell r="FE16">
            <v>281868.93488558836</v>
          </cell>
          <cell r="FF16">
            <v>278450.17624059721</v>
          </cell>
          <cell r="FG16">
            <v>274852.03141509742</v>
          </cell>
          <cell r="FH16">
            <v>271065.08781080425</v>
          </cell>
          <cell r="FI16">
            <v>267079.438939624</v>
          </cell>
          <cell r="FJ16">
            <v>262884.65850868955</v>
          </cell>
          <cell r="FK16">
            <v>258469.77314560959</v>
          </cell>
          <cell r="FV16" t="str">
            <v>Cash Distribution</v>
          </cell>
          <cell r="FX16">
            <v>0</v>
          </cell>
          <cell r="FY16">
            <v>0</v>
          </cell>
          <cell r="FZ16">
            <v>0</v>
          </cell>
          <cell r="GA16">
            <v>0</v>
          </cell>
          <cell r="GB16">
            <v>0</v>
          </cell>
          <cell r="GC16">
            <v>0</v>
          </cell>
          <cell r="GD16">
            <v>0</v>
          </cell>
          <cell r="GE16">
            <v>0</v>
          </cell>
          <cell r="GF16">
            <v>0</v>
          </cell>
          <cell r="GG16">
            <v>0</v>
          </cell>
        </row>
        <row r="17">
          <cell r="B17" t="str">
            <v>Census Tract:</v>
          </cell>
          <cell r="F17" t="str">
            <v>2-Bd,2-Ba</v>
          </cell>
          <cell r="G17">
            <v>0</v>
          </cell>
          <cell r="J17">
            <v>0</v>
          </cell>
          <cell r="P17" t="str">
            <v>1-Bd,1-Ba</v>
          </cell>
          <cell r="Q17">
            <v>418</v>
          </cell>
          <cell r="R17">
            <v>200</v>
          </cell>
          <cell r="S17">
            <v>0</v>
          </cell>
          <cell r="T17">
            <v>0</v>
          </cell>
          <cell r="U17">
            <v>445</v>
          </cell>
          <cell r="V17">
            <v>30</v>
          </cell>
          <cell r="W17">
            <v>89000</v>
          </cell>
          <cell r="X17">
            <v>1.0645933014354068</v>
          </cell>
          <cell r="Y17">
            <v>1068000</v>
          </cell>
          <cell r="AC17" t="str">
            <v>Type</v>
          </cell>
          <cell r="AD17" t="str">
            <v># of Spaces</v>
          </cell>
          <cell r="AE17" t="str">
            <v>Monthly Rent/Space</v>
          </cell>
          <cell r="AF17" t="str">
            <v>Monthly Total</v>
          </cell>
          <cell r="AG17" t="str">
            <v>Annual Total</v>
          </cell>
          <cell r="AV17" t="str">
            <v xml:space="preserve">    Annual Mortgage Payment:</v>
          </cell>
          <cell r="AX17">
            <v>353798.39636482985</v>
          </cell>
          <cell r="AZ17" t="str">
            <v>HCF FHA Maximum Mortgage (Based on 160.% HCF)</v>
          </cell>
          <cell r="BD17" t="str">
            <v xml:space="preserve">    Total Project SF:</v>
          </cell>
          <cell r="BM17" t="str">
            <v>Cash</v>
          </cell>
          <cell r="BN17" t="str">
            <v>LOC</v>
          </cell>
          <cell r="BO17" t="str">
            <v>LOC Term</v>
          </cell>
          <cell r="BP17" t="str">
            <v>FHA Loan</v>
          </cell>
          <cell r="BQ17">
            <v>0</v>
          </cell>
          <cell r="BR17">
            <v>0</v>
          </cell>
          <cell r="BZ17" t="str">
            <v>Residential Revenue</v>
          </cell>
          <cell r="CC17">
            <v>13882.181818181818</v>
          </cell>
          <cell r="CD17">
            <v>19088</v>
          </cell>
          <cell r="CE17">
            <v>24293.818181818184</v>
          </cell>
          <cell r="CF17">
            <v>29499.636363636364</v>
          </cell>
          <cell r="CG17">
            <v>34705.454545454544</v>
          </cell>
          <cell r="CH17">
            <v>39911.272727272728</v>
          </cell>
          <cell r="CI17">
            <v>45117.090909090912</v>
          </cell>
          <cell r="CJ17">
            <v>50322.909090909088</v>
          </cell>
          <cell r="CK17">
            <v>55528.727272727272</v>
          </cell>
          <cell r="CL17">
            <v>60734.545454545449</v>
          </cell>
          <cell r="CM17">
            <v>65940.363636363632</v>
          </cell>
          <cell r="CN17">
            <v>71146.181818181823</v>
          </cell>
          <cell r="CO17">
            <v>510170.18181818188</v>
          </cell>
          <cell r="CT17" t="str">
            <v>Expenses:</v>
          </cell>
          <cell r="CU17">
            <v>0.03</v>
          </cell>
          <cell r="EG17">
            <v>1</v>
          </cell>
          <cell r="EH17">
            <v>2</v>
          </cell>
          <cell r="EI17">
            <v>3</v>
          </cell>
          <cell r="EJ17">
            <v>4</v>
          </cell>
          <cell r="EK17">
            <v>5</v>
          </cell>
          <cell r="EL17">
            <v>6</v>
          </cell>
          <cell r="EM17">
            <v>7</v>
          </cell>
          <cell r="EN17">
            <v>8</v>
          </cell>
          <cell r="EO17">
            <v>9</v>
          </cell>
          <cell r="EP17">
            <v>10</v>
          </cell>
          <cell r="FB17" t="str">
            <v>Bridge Loan Interest</v>
          </cell>
          <cell r="FC17">
            <v>0</v>
          </cell>
          <cell r="FD17">
            <v>0</v>
          </cell>
          <cell r="FE17">
            <v>0</v>
          </cell>
          <cell r="FF17">
            <v>0</v>
          </cell>
          <cell r="FG17">
            <v>0</v>
          </cell>
          <cell r="FH17">
            <v>0</v>
          </cell>
          <cell r="FI17">
            <v>0</v>
          </cell>
          <cell r="FJ17">
            <v>0</v>
          </cell>
          <cell r="FK17">
            <v>0</v>
          </cell>
          <cell r="FV17" t="str">
            <v>Capital Account Balance</v>
          </cell>
          <cell r="FW17">
            <v>0</v>
          </cell>
          <cell r="FX17">
            <v>0</v>
          </cell>
          <cell r="FY17">
            <v>0</v>
          </cell>
          <cell r="FZ17">
            <v>0</v>
          </cell>
          <cell r="GA17">
            <v>0</v>
          </cell>
          <cell r="GB17">
            <v>0</v>
          </cell>
          <cell r="GC17">
            <v>0</v>
          </cell>
          <cell r="GD17">
            <v>0</v>
          </cell>
          <cell r="GE17">
            <v>0</v>
          </cell>
          <cell r="GF17">
            <v>0</v>
          </cell>
          <cell r="GG17">
            <v>0</v>
          </cell>
        </row>
        <row r="18">
          <cell r="B18" t="str">
            <v>Percent Low Income:</v>
          </cell>
          <cell r="C18">
            <v>0</v>
          </cell>
          <cell r="F18" t="str">
            <v>3-Bd, 2-Ba</v>
          </cell>
          <cell r="G18">
            <v>0</v>
          </cell>
          <cell r="J18">
            <v>0</v>
          </cell>
          <cell r="P18" t="str">
            <v>1-Bd,1-Ba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40</v>
          </cell>
          <cell r="W18">
            <v>0</v>
          </cell>
          <cell r="X18">
            <v>0</v>
          </cell>
          <cell r="Y18">
            <v>0</v>
          </cell>
          <cell r="AV18" t="str">
            <v xml:space="preserve">    Monthly Mortgage Payment:</v>
          </cell>
          <cell r="AX18">
            <v>29483.199697069154</v>
          </cell>
          <cell r="AZ18" t="str">
            <v>Unit Type</v>
          </cell>
          <cell r="BA18" t="str">
            <v>Total # of Units</v>
          </cell>
          <cell r="BB18" t="str">
            <v>HCF</v>
          </cell>
          <cell r="BC18" t="str">
            <v>Total</v>
          </cell>
          <cell r="BD18" t="str">
            <v xml:space="preserve">    Construction Loan Amount:</v>
          </cell>
          <cell r="BK18" t="str">
            <v>Cash to Close Loan</v>
          </cell>
          <cell r="BM18">
            <v>12.299999999813735</v>
          </cell>
          <cell r="BP18" t="str">
            <v>Subdebt/Grants</v>
          </cell>
          <cell r="BQ18">
            <v>0</v>
          </cell>
          <cell r="BR18">
            <v>0</v>
          </cell>
          <cell r="BZ18" t="str">
            <v>Less Rent Concession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H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N18">
            <v>0</v>
          </cell>
          <cell r="CT18" t="str">
            <v>Commercial:</v>
          </cell>
          <cell r="CU18">
            <v>0.02</v>
          </cell>
          <cell r="DO18" t="str">
            <v>Net Eligible Basis</v>
          </cell>
          <cell r="DQ18">
            <v>643795.80000000005</v>
          </cell>
          <cell r="DR18">
            <v>0</v>
          </cell>
          <cell r="DS18">
            <v>643795.80000000005</v>
          </cell>
          <cell r="DU18" t="str">
            <v>Calculation of Market Value of HRTC</v>
          </cell>
          <cell r="FB18" t="str">
            <v>Depreciation and Amortization</v>
          </cell>
          <cell r="FC18">
            <v>27126.056742673994</v>
          </cell>
          <cell r="FD18">
            <v>27126.056742673994</v>
          </cell>
          <cell r="FE18">
            <v>27126.056742673994</v>
          </cell>
          <cell r="FF18">
            <v>27126.056742673994</v>
          </cell>
          <cell r="FG18">
            <v>27126.056742673994</v>
          </cell>
          <cell r="FH18">
            <v>26208.056742673994</v>
          </cell>
          <cell r="FI18">
            <v>26208.056742673994</v>
          </cell>
          <cell r="FJ18">
            <v>21609.515314102566</v>
          </cell>
          <cell r="FK18">
            <v>21609.515314102566</v>
          </cell>
        </row>
        <row r="19">
          <cell r="B19" t="str">
            <v>Construction Start:</v>
          </cell>
          <cell r="G19">
            <v>275</v>
          </cell>
          <cell r="H19">
            <v>109845</v>
          </cell>
          <cell r="I19">
            <v>119300</v>
          </cell>
          <cell r="J19">
            <v>119300</v>
          </cell>
          <cell r="P19" t="str">
            <v>2-Bd,1-Ba</v>
          </cell>
          <cell r="Q19">
            <v>836</v>
          </cell>
          <cell r="R19">
            <v>2</v>
          </cell>
          <cell r="S19">
            <v>0</v>
          </cell>
          <cell r="T19">
            <v>0</v>
          </cell>
          <cell r="U19">
            <v>600</v>
          </cell>
          <cell r="V19">
            <v>50</v>
          </cell>
          <cell r="W19">
            <v>1200</v>
          </cell>
          <cell r="X19">
            <v>0.71770334928229662</v>
          </cell>
          <cell r="Y19">
            <v>14400</v>
          </cell>
          <cell r="AC19" t="str">
            <v>Garages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BK19" t="str">
            <v>Contractor Profit</v>
          </cell>
          <cell r="BM19">
            <v>0</v>
          </cell>
          <cell r="BP19" t="str">
            <v>LIHTC Equity</v>
          </cell>
          <cell r="BQ19">
            <v>0</v>
          </cell>
          <cell r="BR19">
            <v>0</v>
          </cell>
          <cell r="DO19" t="str">
            <v>% Low Income</v>
          </cell>
          <cell r="DR19">
            <v>0</v>
          </cell>
          <cell r="DS19">
            <v>0</v>
          </cell>
          <cell r="EF19" t="str">
            <v>Residential Building Acquisition</v>
          </cell>
          <cell r="EG19">
            <v>0</v>
          </cell>
          <cell r="EH19">
            <v>0</v>
          </cell>
          <cell r="EI19">
            <v>0</v>
          </cell>
          <cell r="EJ19">
            <v>0</v>
          </cell>
          <cell r="EK19">
            <v>0</v>
          </cell>
          <cell r="EL19">
            <v>0</v>
          </cell>
          <cell r="EM19">
            <v>0</v>
          </cell>
          <cell r="EN19">
            <v>0</v>
          </cell>
          <cell r="EO19">
            <v>0</v>
          </cell>
          <cell r="EP19">
            <v>0</v>
          </cell>
          <cell r="FB19" t="str">
            <v>Land Lease</v>
          </cell>
          <cell r="FC19">
            <v>0</v>
          </cell>
          <cell r="FD19">
            <v>0</v>
          </cell>
          <cell r="FE19">
            <v>0</v>
          </cell>
          <cell r="FF19">
            <v>0</v>
          </cell>
          <cell r="FG19">
            <v>0</v>
          </cell>
          <cell r="FH19">
            <v>0</v>
          </cell>
          <cell r="FI19">
            <v>0</v>
          </cell>
          <cell r="FJ19">
            <v>0</v>
          </cell>
          <cell r="FK19">
            <v>0</v>
          </cell>
          <cell r="FV19" t="str">
            <v>General Partner</v>
          </cell>
        </row>
        <row r="20">
          <cell r="B20" t="str">
            <v>Construction Completion:</v>
          </cell>
          <cell r="H20">
            <v>399.43636363636364</v>
          </cell>
          <cell r="I20">
            <v>433.81818181818181</v>
          </cell>
          <cell r="J20">
            <v>433.81818181818181</v>
          </cell>
          <cell r="P20" t="str">
            <v>2-Bd,2-Ba</v>
          </cell>
          <cell r="Q20">
            <v>1029</v>
          </cell>
          <cell r="R20">
            <v>1</v>
          </cell>
          <cell r="S20">
            <v>0</v>
          </cell>
          <cell r="T20">
            <v>0</v>
          </cell>
          <cell r="U20">
            <v>660</v>
          </cell>
          <cell r="V20">
            <v>50</v>
          </cell>
          <cell r="W20">
            <v>660</v>
          </cell>
          <cell r="X20">
            <v>0.64139941690962099</v>
          </cell>
          <cell r="Y20">
            <v>7920</v>
          </cell>
          <cell r="AC20" t="str">
            <v>Carports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BK20" t="str">
            <v>Development Fee/Overhead</v>
          </cell>
          <cell r="BM20">
            <v>0</v>
          </cell>
          <cell r="BP20" t="str">
            <v xml:space="preserve">   Total</v>
          </cell>
          <cell r="BQ20">
            <v>0</v>
          </cell>
          <cell r="BR20">
            <v>0</v>
          </cell>
          <cell r="BZ20" t="str">
            <v>Commercial Revenue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DU20" t="str">
            <v>Credit Amount</v>
          </cell>
          <cell r="DW20">
            <v>0</v>
          </cell>
          <cell r="EF20" t="str">
            <v>Residential Construction</v>
          </cell>
          <cell r="EG20">
            <v>15290.150250000001</v>
          </cell>
          <cell r="EH20">
            <v>15290.150250000001</v>
          </cell>
          <cell r="EI20">
            <v>15290.150250000001</v>
          </cell>
          <cell r="EJ20">
            <v>15290.150250000001</v>
          </cell>
          <cell r="EK20">
            <v>15290.150250000001</v>
          </cell>
          <cell r="EL20">
            <v>15290.150250000001</v>
          </cell>
          <cell r="EM20">
            <v>15290.150250000001</v>
          </cell>
          <cell r="EN20">
            <v>15290.150250000001</v>
          </cell>
          <cell r="EO20">
            <v>15290.150250000001</v>
          </cell>
          <cell r="EP20">
            <v>15290.150250000001</v>
          </cell>
          <cell r="FB20" t="str">
            <v>Other Expenses</v>
          </cell>
          <cell r="FC20">
            <v>0</v>
          </cell>
          <cell r="FD20">
            <v>0</v>
          </cell>
          <cell r="FE20">
            <v>0</v>
          </cell>
          <cell r="FF20">
            <v>0</v>
          </cell>
          <cell r="FG20">
            <v>0</v>
          </cell>
          <cell r="FH20">
            <v>0</v>
          </cell>
          <cell r="FI20">
            <v>0</v>
          </cell>
          <cell r="FJ20">
            <v>0</v>
          </cell>
          <cell r="FK20">
            <v>0</v>
          </cell>
          <cell r="FV20" t="str">
            <v>Profit (Loss)</v>
          </cell>
          <cell r="FX20">
            <v>-258120.73969074106</v>
          </cell>
          <cell r="FY20">
            <v>317764.4325758114</v>
          </cell>
          <cell r="FZ20">
            <v>339912.98057173751</v>
          </cell>
          <cell r="GA20">
            <v>362798.97838272853</v>
          </cell>
          <cell r="GB20">
            <v>386448.37954920856</v>
          </cell>
          <cell r="GC20">
            <v>411806.11718471092</v>
          </cell>
          <cell r="GD20">
            <v>437064.14390803687</v>
          </cell>
          <cell r="GE20">
            <v>467768.01495525264</v>
          </cell>
          <cell r="GF20">
            <v>494750.76598167396</v>
          </cell>
          <cell r="GG20">
            <v>522642.2070679462</v>
          </cell>
        </row>
        <row r="21">
          <cell r="B21" t="str">
            <v>Site Size:</v>
          </cell>
          <cell r="C21">
            <v>420354</v>
          </cell>
          <cell r="F21" t="str">
            <v>Enter 1 for Yes and 0 for No</v>
          </cell>
          <cell r="I21">
            <v>1.0860758341299104</v>
          </cell>
          <cell r="J21">
            <v>1.0860758341299104</v>
          </cell>
          <cell r="P21" t="str">
            <v>2-Bd,2-Ba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50</v>
          </cell>
          <cell r="W21">
            <v>0</v>
          </cell>
          <cell r="X21">
            <v>0</v>
          </cell>
          <cell r="Y21">
            <v>0</v>
          </cell>
          <cell r="BK21" t="str">
            <v>Contingency</v>
          </cell>
          <cell r="BM21">
            <v>0</v>
          </cell>
          <cell r="BP21" t="str">
            <v>Construction</v>
          </cell>
          <cell r="BQ21">
            <v>0</v>
          </cell>
          <cell r="BR21">
            <v>0</v>
          </cell>
          <cell r="BZ21" t="str">
            <v>Parking Revenue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N21">
            <v>0</v>
          </cell>
          <cell r="CO21">
            <v>0</v>
          </cell>
          <cell r="DO21" t="str">
            <v>Qualified Tax Credit Basis</v>
          </cell>
          <cell r="DR21">
            <v>0</v>
          </cell>
          <cell r="DS21">
            <v>0</v>
          </cell>
          <cell r="DU21" t="str">
            <v>Discount Factor</v>
          </cell>
          <cell r="DW21">
            <v>0.87</v>
          </cell>
          <cell r="EF21" t="str">
            <v>Commercial Building Acquisition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K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P21">
            <v>0</v>
          </cell>
          <cell r="FB21" t="str">
            <v>Asset Management Fee</v>
          </cell>
          <cell r="FC21">
            <v>0</v>
          </cell>
          <cell r="FD21">
            <v>0</v>
          </cell>
          <cell r="FE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J21">
            <v>0</v>
          </cell>
          <cell r="FK21">
            <v>0</v>
          </cell>
          <cell r="FV21" t="str">
            <v>Cash Distribution</v>
          </cell>
          <cell r="FX21">
            <v>24693.294765840401</v>
          </cell>
          <cell r="FY21">
            <v>282983.78236094187</v>
          </cell>
          <cell r="FZ21">
            <v>301884.01456094184</v>
          </cell>
          <cell r="GA21">
            <v>321351.25372694171</v>
          </cell>
          <cell r="GB21">
            <v>341402.51006792171</v>
          </cell>
          <cell r="GC21">
            <v>362055.30409913103</v>
          </cell>
          <cell r="GD21">
            <v>383327.68195127667</v>
          </cell>
          <cell r="GE21">
            <v>405238.23113898677</v>
          </cell>
          <cell r="GF21">
            <v>427806.09680232796</v>
          </cell>
          <cell r="GG21">
            <v>451050.99843556958</v>
          </cell>
        </row>
        <row r="22">
          <cell r="B22" t="str">
            <v>Year Built:</v>
          </cell>
          <cell r="C22">
            <v>1985</v>
          </cell>
          <cell r="F22">
            <v>0</v>
          </cell>
          <cell r="G22" t="str">
            <v>Historic Building</v>
          </cell>
          <cell r="P22" t="str">
            <v>3-Bd, 2-Ba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85</v>
          </cell>
          <cell r="W22">
            <v>0</v>
          </cell>
          <cell r="X22">
            <v>0</v>
          </cell>
          <cell r="Y22">
            <v>0</v>
          </cell>
          <cell r="AC22" t="str">
            <v>Total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BA22">
            <v>275</v>
          </cell>
          <cell r="BC22">
            <v>18100368</v>
          </cell>
          <cell r="BD22" t="str">
            <v xml:space="preserve">    Estimated Construction Cost/Sq.Ft.</v>
          </cell>
          <cell r="BF22">
            <v>5.9216896536028036</v>
          </cell>
          <cell r="BG22" t="str">
            <v>per Net Sq./Ft</v>
          </cell>
          <cell r="BK22" t="str">
            <v>Repair Escrow</v>
          </cell>
          <cell r="BM22">
            <v>275234</v>
          </cell>
          <cell r="BP22" t="str">
            <v>Financing</v>
          </cell>
          <cell r="BQ22">
            <v>0</v>
          </cell>
          <cell r="BR22">
            <v>0</v>
          </cell>
          <cell r="BZ22" t="str">
            <v>Other Revenue</v>
          </cell>
          <cell r="CC22">
            <v>606.06060606060623</v>
          </cell>
          <cell r="CD22">
            <v>837.50000000000011</v>
          </cell>
          <cell r="CE22">
            <v>1068.5606060606065</v>
          </cell>
          <cell r="CF22">
            <v>1300.7575757575762</v>
          </cell>
          <cell r="CG22">
            <v>1534.0909090909092</v>
          </cell>
          <cell r="CH22">
            <v>1768.5606060606062</v>
          </cell>
          <cell r="CI22">
            <v>2004.1666666666674</v>
          </cell>
          <cell r="CJ22">
            <v>2240.9090909090914</v>
          </cell>
          <cell r="CK22">
            <v>2478.7878787878794</v>
          </cell>
          <cell r="CL22">
            <v>2717.8030303030305</v>
          </cell>
          <cell r="CM22">
            <v>2957.9545454545464</v>
          </cell>
          <cell r="CN22">
            <v>3199.2424242424254</v>
          </cell>
          <cell r="CO22">
            <v>22714.393939393947</v>
          </cell>
          <cell r="CS22" t="str">
            <v>Annual Projections (After 14 Month</v>
          </cell>
          <cell r="CU22">
            <v>1</v>
          </cell>
          <cell r="CV22">
            <v>2</v>
          </cell>
          <cell r="CW22">
            <v>3</v>
          </cell>
          <cell r="CX22">
            <v>4</v>
          </cell>
          <cell r="CY22">
            <v>5</v>
          </cell>
          <cell r="CZ22">
            <v>6</v>
          </cell>
          <cell r="DA22">
            <v>7</v>
          </cell>
          <cell r="DB22">
            <v>8</v>
          </cell>
          <cell r="DC22">
            <v>9</v>
          </cell>
          <cell r="DD22">
            <v>10</v>
          </cell>
          <cell r="DO22" t="str">
            <v>Difficult Developmet Area Factor</v>
          </cell>
          <cell r="DR22">
            <v>1</v>
          </cell>
          <cell r="DS22">
            <v>1</v>
          </cell>
          <cell r="EF22" t="str">
            <v>Commercial Construction</v>
          </cell>
          <cell r="EG22">
            <v>2564.102564102564</v>
          </cell>
          <cell r="EH22">
            <v>2564.102564102564</v>
          </cell>
          <cell r="EI22">
            <v>2564.102564102564</v>
          </cell>
          <cell r="EJ22">
            <v>2564.102564102564</v>
          </cell>
          <cell r="EK22">
            <v>2564.102564102564</v>
          </cell>
          <cell r="EL22">
            <v>2564.102564102564</v>
          </cell>
          <cell r="EM22">
            <v>2564.102564102564</v>
          </cell>
          <cell r="EN22">
            <v>2564.102564102564</v>
          </cell>
          <cell r="EO22">
            <v>2564.102564102564</v>
          </cell>
          <cell r="EP22">
            <v>2564.102564102564</v>
          </cell>
          <cell r="FB22" t="str">
            <v>Total Expenses</v>
          </cell>
          <cell r="FC22">
            <v>824940.92150892294</v>
          </cell>
          <cell r="FD22">
            <v>1038187.3074241886</v>
          </cell>
          <cell r="FE22">
            <v>1056717.3116282625</v>
          </cell>
          <cell r="FF22">
            <v>1075730.2225832713</v>
          </cell>
          <cell r="FG22">
            <v>1095236.6974457714</v>
          </cell>
          <cell r="FH22">
            <v>1114329.5121201184</v>
          </cell>
          <cell r="FI22">
            <v>1134855.5542759374</v>
          </cell>
          <cell r="FJ22">
            <v>1151309.2741742409</v>
          </cell>
          <cell r="FK22">
            <v>1172898.8418217043</v>
          </cell>
          <cell r="FV22" t="str">
            <v>Capital Account Balance</v>
          </cell>
          <cell r="FW22">
            <v>580158.92901319335</v>
          </cell>
          <cell r="FX22">
            <v>297344.89455661189</v>
          </cell>
          <cell r="FY22">
            <v>332125.54477148142</v>
          </cell>
          <cell r="FZ22">
            <v>370154.5107822771</v>
          </cell>
          <cell r="GA22">
            <v>411602.23543806392</v>
          </cell>
          <cell r="GB22">
            <v>456648.10491935082</v>
          </cell>
          <cell r="GC22">
            <v>506398.91800493072</v>
          </cell>
          <cell r="GD22">
            <v>560135.37996169087</v>
          </cell>
          <cell r="GE22">
            <v>622665.16377795674</v>
          </cell>
          <cell r="GF22">
            <v>689609.83295730269</v>
          </cell>
          <cell r="GG22">
            <v>761201.04158967931</v>
          </cell>
        </row>
        <row r="23">
          <cell r="F23">
            <v>0</v>
          </cell>
          <cell r="G23" t="str">
            <v>Low Income Housing Tax Credits</v>
          </cell>
          <cell r="M23" t="str">
            <v>Non-Revenue Units:</v>
          </cell>
          <cell r="O23" t="str">
            <v>(Leasing Office)</v>
          </cell>
          <cell r="P23" t="str">
            <v>1-Bd/1-Ba</v>
          </cell>
          <cell r="Q23">
            <v>327</v>
          </cell>
          <cell r="R23">
            <v>0</v>
          </cell>
          <cell r="S23" t="str">
            <v>N/A</v>
          </cell>
          <cell r="T23" t="str">
            <v>N/A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U23" t="str">
            <v>Construction Costs</v>
          </cell>
          <cell r="BD23" t="str">
            <v>Itemization of Tax Credit Basis</v>
          </cell>
          <cell r="BK23" t="str">
            <v>Working Capital</v>
          </cell>
          <cell r="BM23">
            <v>0</v>
          </cell>
          <cell r="BN23">
            <v>0</v>
          </cell>
          <cell r="BO23" t="str">
            <v xml:space="preserve"> 26 - Months</v>
          </cell>
          <cell r="BP23" t="str">
            <v>Bond/Soft Costs</v>
          </cell>
          <cell r="BQ23">
            <v>0</v>
          </cell>
          <cell r="BR23">
            <v>0</v>
          </cell>
          <cell r="CS23" t="str">
            <v>Construction/Lease Up Period)</v>
          </cell>
          <cell r="DU23" t="str">
            <v>Market Value</v>
          </cell>
          <cell r="DW23">
            <v>0</v>
          </cell>
          <cell r="EF23" t="str">
            <v>Personal Property</v>
          </cell>
          <cell r="EG23">
            <v>4598.5414285714296</v>
          </cell>
          <cell r="EH23">
            <v>4598.5414285714296</v>
          </cell>
          <cell r="EI23">
            <v>4598.5414285714296</v>
          </cell>
          <cell r="EJ23">
            <v>4598.5414285714296</v>
          </cell>
          <cell r="EK23">
            <v>4598.5414285714296</v>
          </cell>
          <cell r="EL23">
            <v>4598.5414285714296</v>
          </cell>
          <cell r="EM23">
            <v>4598.5414285714296</v>
          </cell>
          <cell r="EN23">
            <v>0</v>
          </cell>
          <cell r="EO23">
            <v>0</v>
          </cell>
          <cell r="EP23">
            <v>0</v>
          </cell>
          <cell r="FB23" t="str">
            <v>Profit (Loss)</v>
          </cell>
          <cell r="FC23">
            <v>-258120.73969074106</v>
          </cell>
          <cell r="FD23">
            <v>317764.4325758114</v>
          </cell>
          <cell r="FE23">
            <v>339912.98057173751</v>
          </cell>
          <cell r="FF23">
            <v>362798.97838272853</v>
          </cell>
          <cell r="FG23">
            <v>386448.37954920856</v>
          </cell>
          <cell r="FH23">
            <v>411806.11718471092</v>
          </cell>
          <cell r="FI23">
            <v>437064.14390803687</v>
          </cell>
          <cell r="FJ23">
            <v>467768.01495525264</v>
          </cell>
          <cell r="FK23">
            <v>494750.76598167396</v>
          </cell>
        </row>
        <row r="24">
          <cell r="F24">
            <v>0</v>
          </cell>
          <cell r="G24" t="str">
            <v>Tax Exempt Financing</v>
          </cell>
          <cell r="AD24" t="str">
            <v>Total Annual Parking Income:</v>
          </cell>
          <cell r="AG24">
            <v>0</v>
          </cell>
          <cell r="AX24" t="str">
            <v>Per Gross S.F.</v>
          </cell>
          <cell r="AZ24" t="str">
            <v>FHA Budget</v>
          </cell>
          <cell r="BB24" t="str">
            <v>Non-Depreciable</v>
          </cell>
          <cell r="BD24" t="str">
            <v>Commercial</v>
          </cell>
          <cell r="BF24" t="str">
            <v>Expensed</v>
          </cell>
          <cell r="BH24" t="str">
            <v>Historic Rehabilitation</v>
          </cell>
          <cell r="BK24" t="str">
            <v>Operating Deficit</v>
          </cell>
          <cell r="BM24">
            <v>0</v>
          </cell>
          <cell r="BN24">
            <v>0</v>
          </cell>
          <cell r="BO24" t="str">
            <v xml:space="preserve"> 26 - Months</v>
          </cell>
          <cell r="BP24" t="str">
            <v>Offsites</v>
          </cell>
          <cell r="BQ24">
            <v>6500</v>
          </cell>
          <cell r="BR24">
            <v>6500</v>
          </cell>
          <cell r="BZ24" t="str">
            <v>Total Revenue</v>
          </cell>
          <cell r="CC24">
            <v>14488.242424242424</v>
          </cell>
          <cell r="CD24">
            <v>19925.5</v>
          </cell>
          <cell r="CE24">
            <v>25362.378787878792</v>
          </cell>
          <cell r="CF24">
            <v>30800.39393939394</v>
          </cell>
          <cell r="CG24">
            <v>36239.545454545456</v>
          </cell>
          <cell r="CH24">
            <v>41679.833333333336</v>
          </cell>
          <cell r="CI24">
            <v>47121.257575757576</v>
          </cell>
          <cell r="CJ24">
            <v>52563.818181818177</v>
          </cell>
          <cell r="CK24">
            <v>58007.515151515152</v>
          </cell>
          <cell r="CL24">
            <v>63452.34848484848</v>
          </cell>
          <cell r="CM24">
            <v>68898.318181818177</v>
          </cell>
          <cell r="CN24">
            <v>74345.424242424255</v>
          </cell>
          <cell r="CO24">
            <v>532884.5757575758</v>
          </cell>
          <cell r="DR24">
            <v>0</v>
          </cell>
          <cell r="DS24">
            <v>0</v>
          </cell>
          <cell r="FV24" t="str">
            <v>Total</v>
          </cell>
          <cell r="FW24">
            <v>580158.92901319335</v>
          </cell>
        </row>
        <row r="25">
          <cell r="F25">
            <v>0</v>
          </cell>
          <cell r="G25" t="str">
            <v>1.3% Area</v>
          </cell>
          <cell r="N25" t="str">
            <v>Total/Average</v>
          </cell>
          <cell r="Q25">
            <v>109845</v>
          </cell>
          <cell r="R25">
            <v>275</v>
          </cell>
          <cell r="W25">
            <v>119300</v>
          </cell>
          <cell r="X25">
            <v>1.0860758341299104</v>
          </cell>
          <cell r="Y25">
            <v>1431600</v>
          </cell>
          <cell r="AW25" t="str">
            <v>Per Unit</v>
          </cell>
          <cell r="AY25" t="str">
            <v>Total Budget</v>
          </cell>
          <cell r="BA25" t="str">
            <v>Pre-Construct Budget</v>
          </cell>
          <cell r="BC25" t="str">
            <v>Residential</v>
          </cell>
          <cell r="BE25" t="str">
            <v>Amortized</v>
          </cell>
          <cell r="BG25" t="str">
            <v>Total</v>
          </cell>
          <cell r="BK25" t="str">
            <v xml:space="preserve"> Good Faith Deposit</v>
          </cell>
          <cell r="BM25">
            <v>0</v>
          </cell>
          <cell r="BP25" t="str">
            <v>Cash for LoC's</v>
          </cell>
          <cell r="BQ25">
            <v>0</v>
          </cell>
          <cell r="BR25">
            <v>0</v>
          </cell>
          <cell r="CT25" t="str">
            <v>Residential Income</v>
          </cell>
          <cell r="CU25">
            <v>510170.18181818188</v>
          </cell>
          <cell r="CV25">
            <v>1297602.24</v>
          </cell>
          <cell r="CW25">
            <v>1336530.3071999999</v>
          </cell>
          <cell r="CX25">
            <v>1376626.2164159999</v>
          </cell>
          <cell r="CY25">
            <v>1417925.0029084799</v>
          </cell>
          <cell r="CZ25">
            <v>1460462.7529957343</v>
          </cell>
          <cell r="DA25">
            <v>1504276.6355856063</v>
          </cell>
          <cell r="DB25">
            <v>1549404.9346531746</v>
          </cell>
          <cell r="DC25">
            <v>1595887.0826927698</v>
          </cell>
          <cell r="DD25">
            <v>1643763.695173553</v>
          </cell>
          <cell r="DO25" t="str">
            <v>Federal Tax Credit Rate</v>
          </cell>
          <cell r="DR25">
            <v>3.6499999999999998E-2</v>
          </cell>
          <cell r="DS25">
            <v>3.5099999999999999E-2</v>
          </cell>
          <cell r="EF25" t="str">
            <v>Total Annual Depreciation</v>
          </cell>
          <cell r="EG25">
            <v>22452.794242673994</v>
          </cell>
          <cell r="EH25">
            <v>22452.794242673994</v>
          </cell>
          <cell r="EI25">
            <v>22452.794242673994</v>
          </cell>
          <cell r="EJ25">
            <v>22452.794242673994</v>
          </cell>
          <cell r="EK25">
            <v>22452.794242673994</v>
          </cell>
          <cell r="EL25">
            <v>22452.794242673994</v>
          </cell>
          <cell r="EM25">
            <v>22452.794242673994</v>
          </cell>
          <cell r="EN25">
            <v>17854.252814102565</v>
          </cell>
          <cell r="EO25">
            <v>17854.252814102565</v>
          </cell>
          <cell r="EP25">
            <v>17854.252814102565</v>
          </cell>
        </row>
        <row r="26">
          <cell r="F26">
            <v>0</v>
          </cell>
          <cell r="G26" t="str">
            <v>501 (c)(3)</v>
          </cell>
          <cell r="BK26" t="str">
            <v>Bond Issue Costs in Excess of 5.5%</v>
          </cell>
          <cell r="BM26">
            <v>0</v>
          </cell>
          <cell r="BN26">
            <v>0</v>
          </cell>
          <cell r="BO26" t="str">
            <v xml:space="preserve"> 60-Months</v>
          </cell>
          <cell r="BP26" t="str">
            <v>Excess Cost of Issuance</v>
          </cell>
          <cell r="BQ26">
            <v>0</v>
          </cell>
          <cell r="BR26">
            <v>0</v>
          </cell>
          <cell r="CA26" t="str">
            <v>Management Fee</v>
          </cell>
          <cell r="CC26">
            <v>506.88705234159778</v>
          </cell>
          <cell r="CD26">
            <v>697.11547237315256</v>
          </cell>
          <cell r="CE26">
            <v>887.33064009530244</v>
          </cell>
          <cell r="CF26">
            <v>1077.5855647456672</v>
          </cell>
          <cell r="CG26">
            <v>1267.8802463242473</v>
          </cell>
          <cell r="CH26">
            <v>1458.2146848310426</v>
          </cell>
          <cell r="CI26">
            <v>1648.5888802660529</v>
          </cell>
          <cell r="CJ26">
            <v>1839.0028326292784</v>
          </cell>
          <cell r="CK26">
            <v>2029.4565419207192</v>
          </cell>
          <cell r="CL26">
            <v>2219.9500081403748</v>
          </cell>
          <cell r="CM26">
            <v>2410.4832312882459</v>
          </cell>
          <cell r="CN26">
            <v>2601.0562113643327</v>
          </cell>
          <cell r="CO26" t="str">
            <v xml:space="preserve"> </v>
          </cell>
          <cell r="CT26" t="str">
            <v>Commercial Income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>
            <v>0</v>
          </cell>
          <cell r="DC26">
            <v>0</v>
          </cell>
          <cell r="DD26">
            <v>0</v>
          </cell>
          <cell r="FB26" t="str">
            <v>Allocation of Profits/Losses</v>
          </cell>
        </row>
        <row r="27">
          <cell r="N27" t="str">
            <v>Low Income Floor Space</v>
          </cell>
          <cell r="Q27">
            <v>0</v>
          </cell>
          <cell r="AB27" t="str">
            <v>Other Project Revenue</v>
          </cell>
          <cell r="AU27" t="str">
            <v xml:space="preserve">    Site Development/Utility Connections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C27">
            <v>0</v>
          </cell>
          <cell r="BD27">
            <v>0</v>
          </cell>
          <cell r="BG27">
            <v>0</v>
          </cell>
          <cell r="BH27">
            <v>0</v>
          </cell>
          <cell r="BK27" t="str">
            <v>Bond Issue (Lag)</v>
          </cell>
          <cell r="BM27">
            <v>0</v>
          </cell>
          <cell r="BP27" t="str">
            <v>GC Fee</v>
          </cell>
          <cell r="BQ27">
            <v>0</v>
          </cell>
          <cell r="BR27">
            <v>0</v>
          </cell>
          <cell r="CA27" t="str">
            <v>Other Admin. Expenses</v>
          </cell>
          <cell r="CC27">
            <v>1958.3333333333333</v>
          </cell>
          <cell r="CD27">
            <v>1958.3333333333333</v>
          </cell>
          <cell r="CE27">
            <v>1958.3333333333333</v>
          </cell>
          <cell r="CF27">
            <v>1958.3333333333333</v>
          </cell>
          <cell r="CG27">
            <v>1958.3333333333333</v>
          </cell>
          <cell r="CH27">
            <v>1958.3333333333333</v>
          </cell>
          <cell r="CI27">
            <v>1958.3333333333333</v>
          </cell>
          <cell r="CJ27">
            <v>1958.3333333333333</v>
          </cell>
          <cell r="CK27">
            <v>1958.3333333333333</v>
          </cell>
          <cell r="CL27">
            <v>1958.3333333333333</v>
          </cell>
          <cell r="CM27">
            <v>1958.3333333333333</v>
          </cell>
          <cell r="CN27">
            <v>1958.3333333333333</v>
          </cell>
          <cell r="CO27">
            <v>23499.999999999996</v>
          </cell>
          <cell r="CT27" t="str">
            <v>Parking Income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>
            <v>0</v>
          </cell>
          <cell r="DC27">
            <v>0</v>
          </cell>
          <cell r="DD27">
            <v>0</v>
          </cell>
          <cell r="DO27" t="str">
            <v>Annual Credit Amount</v>
          </cell>
          <cell r="DR27">
            <v>0</v>
          </cell>
          <cell r="DS27">
            <v>0</v>
          </cell>
          <cell r="EF27" t="str">
            <v>Cumulative Total Depreciation</v>
          </cell>
          <cell r="EG27">
            <v>22452.794242673994</v>
          </cell>
          <cell r="EH27">
            <v>44905.588485347987</v>
          </cell>
          <cell r="EI27">
            <v>67358.382728021985</v>
          </cell>
          <cell r="EJ27">
            <v>89811.176970695975</v>
          </cell>
          <cell r="EK27">
            <v>112263.97121336996</v>
          </cell>
          <cell r="EL27">
            <v>134716.76545604397</v>
          </cell>
          <cell r="EM27">
            <v>157169.55969871796</v>
          </cell>
          <cell r="EN27">
            <v>175023.81251282053</v>
          </cell>
          <cell r="EO27">
            <v>192878.0653269231</v>
          </cell>
          <cell r="EP27">
            <v>210732.31814102567</v>
          </cell>
          <cell r="FV27" t="str">
            <v>Schedule Thirteen:  Basis Analysis</v>
          </cell>
        </row>
        <row r="28">
          <cell r="AU28" t="str">
            <v xml:space="preserve">    Residential Repairs</v>
          </cell>
          <cell r="AW28">
            <v>2001.7018181818182</v>
          </cell>
          <cell r="AX28">
            <v>4.176096620996252</v>
          </cell>
          <cell r="AY28">
            <v>550468</v>
          </cell>
          <cell r="AZ28">
            <v>550468</v>
          </cell>
          <cell r="BC28">
            <v>550468</v>
          </cell>
          <cell r="BD28">
            <v>0</v>
          </cell>
          <cell r="BG28">
            <v>550468</v>
          </cell>
          <cell r="BH28">
            <v>550468</v>
          </cell>
          <cell r="BK28" t="str">
            <v>Bond Issue (NA)</v>
          </cell>
          <cell r="BM28">
            <v>0</v>
          </cell>
          <cell r="BN28">
            <v>0</v>
          </cell>
          <cell r="BP28" t="str">
            <v>Dev Fee</v>
          </cell>
          <cell r="BQ28">
            <v>-6500</v>
          </cell>
          <cell r="BR28">
            <v>-6500</v>
          </cell>
          <cell r="CA28" t="str">
            <v>Payroll</v>
          </cell>
          <cell r="CC28">
            <v>13333.333333333334</v>
          </cell>
          <cell r="CD28">
            <v>13333.333333333334</v>
          </cell>
          <cell r="CE28">
            <v>13333.333333333334</v>
          </cell>
          <cell r="CF28">
            <v>13333.333333333334</v>
          </cell>
          <cell r="CG28">
            <v>13333.333333333334</v>
          </cell>
          <cell r="CH28">
            <v>13333.333333333334</v>
          </cell>
          <cell r="CI28">
            <v>13333.333333333334</v>
          </cell>
          <cell r="CJ28">
            <v>13333.333333333334</v>
          </cell>
          <cell r="CK28">
            <v>13333.333333333334</v>
          </cell>
          <cell r="CL28">
            <v>13333.333333333334</v>
          </cell>
          <cell r="CM28">
            <v>13333.333333333334</v>
          </cell>
          <cell r="CN28">
            <v>13333.333333333334</v>
          </cell>
          <cell r="CT28" t="str">
            <v>Other Income</v>
          </cell>
          <cell r="CU28">
            <v>56650.000000000015</v>
          </cell>
          <cell r="CV28">
            <v>58349.500000000015</v>
          </cell>
          <cell r="CW28">
            <v>60099.985000000015</v>
          </cell>
          <cell r="CX28">
            <v>61902.984550000016</v>
          </cell>
          <cell r="CY28">
            <v>63760.074086500019</v>
          </cell>
          <cell r="CZ28">
            <v>65672.876309095023</v>
          </cell>
          <cell r="DA28">
            <v>67643.062598367876</v>
          </cell>
          <cell r="DB28">
            <v>69672.354476318913</v>
          </cell>
          <cell r="DC28">
            <v>71762.525110608476</v>
          </cell>
          <cell r="DD28">
            <v>73915.400863926727</v>
          </cell>
          <cell r="FB28" t="str">
            <v>Investor</v>
          </cell>
          <cell r="FC28">
            <v>0</v>
          </cell>
          <cell r="FD28">
            <v>0</v>
          </cell>
          <cell r="FE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J28">
            <v>0</v>
          </cell>
          <cell r="FK28">
            <v>0</v>
          </cell>
        </row>
        <row r="29">
          <cell r="N29" t="str">
            <v>As a % of Total Space</v>
          </cell>
          <cell r="Q29">
            <v>0</v>
          </cell>
          <cell r="AC29" t="str">
            <v>Catagory</v>
          </cell>
          <cell r="AD29" t="str">
            <v>Number of Units</v>
          </cell>
          <cell r="AE29" t="str">
            <v>Monthly Revenue/Unit</v>
          </cell>
          <cell r="AF29" t="str">
            <v>Monthly Total</v>
          </cell>
          <cell r="AG29" t="str">
            <v>Annual Total</v>
          </cell>
          <cell r="AU29" t="str">
            <v xml:space="preserve">    Initial Deposit to Reserves</v>
          </cell>
          <cell r="AW29">
            <v>363.63636363636363</v>
          </cell>
          <cell r="AX29">
            <v>0.75864475700608436</v>
          </cell>
          <cell r="AY29">
            <v>100000</v>
          </cell>
          <cell r="AZ29">
            <v>100000</v>
          </cell>
          <cell r="BC29">
            <v>0</v>
          </cell>
          <cell r="BD29">
            <v>100000</v>
          </cell>
          <cell r="BG29">
            <v>100000</v>
          </cell>
          <cell r="BH29">
            <v>100000</v>
          </cell>
          <cell r="BK29" t="str">
            <v>Additional Fees</v>
          </cell>
          <cell r="BP29" t="str">
            <v>Contingency</v>
          </cell>
          <cell r="BQ29">
            <v>0</v>
          </cell>
          <cell r="BR29">
            <v>0</v>
          </cell>
          <cell r="CA29" t="str">
            <v>Utilities</v>
          </cell>
          <cell r="CC29">
            <v>6833.333333333333</v>
          </cell>
          <cell r="CD29">
            <v>6833.333333333333</v>
          </cell>
          <cell r="CE29">
            <v>6833.333333333333</v>
          </cell>
          <cell r="CF29">
            <v>6833.333333333333</v>
          </cell>
          <cell r="CG29">
            <v>6833.333333333333</v>
          </cell>
          <cell r="CH29">
            <v>6833.333333333333</v>
          </cell>
          <cell r="CI29">
            <v>6833.333333333333</v>
          </cell>
          <cell r="CJ29">
            <v>6833.333333333333</v>
          </cell>
          <cell r="CK29">
            <v>6833.333333333333</v>
          </cell>
          <cell r="CL29">
            <v>6833.333333333333</v>
          </cell>
          <cell r="CM29">
            <v>6833.333333333333</v>
          </cell>
          <cell r="CN29">
            <v>6833.333333333333</v>
          </cell>
          <cell r="CT29" t="str">
            <v>Effective Gross Income</v>
          </cell>
          <cell r="CU29">
            <v>566820.18181818188</v>
          </cell>
          <cell r="CV29">
            <v>1355951.74</v>
          </cell>
          <cell r="CW29">
            <v>1396630.2922</v>
          </cell>
          <cell r="CX29">
            <v>1438529.2009659999</v>
          </cell>
          <cell r="CY29">
            <v>1481685.07699498</v>
          </cell>
          <cell r="CZ29">
            <v>1526135.6293048293</v>
          </cell>
          <cell r="DA29">
            <v>1571919.6981839743</v>
          </cell>
          <cell r="DB29">
            <v>1619077.2891294935</v>
          </cell>
          <cell r="DC29">
            <v>1667649.6078033783</v>
          </cell>
          <cell r="DD29">
            <v>1717679.0960374796</v>
          </cell>
          <cell r="DO29" t="str">
            <v>Individual Investors Required to Maximize LIHTC</v>
          </cell>
          <cell r="DS29">
            <v>0</v>
          </cell>
          <cell r="FB29" t="str">
            <v>General Partner</v>
          </cell>
          <cell r="FC29">
            <v>-258120.73969074106</v>
          </cell>
          <cell r="FD29">
            <v>317764.4325758114</v>
          </cell>
          <cell r="FE29">
            <v>339912.98057173751</v>
          </cell>
          <cell r="FF29">
            <v>362798.97838272853</v>
          </cell>
          <cell r="FG29">
            <v>386448.37954920856</v>
          </cell>
          <cell r="FH29">
            <v>411806.11718471092</v>
          </cell>
          <cell r="FI29">
            <v>437064.14390803687</v>
          </cell>
          <cell r="FJ29">
            <v>467768.01495525264</v>
          </cell>
          <cell r="FK29">
            <v>494750.76598167396</v>
          </cell>
          <cell r="FX29" t="str">
            <v xml:space="preserve">Capital </v>
          </cell>
          <cell r="FY29" t="str">
            <v>Non-Recourse</v>
          </cell>
          <cell r="FZ29" t="str">
            <v>Affiliated</v>
          </cell>
          <cell r="GA29" t="str">
            <v>Contributed</v>
          </cell>
          <cell r="GB29" t="str">
            <v xml:space="preserve">Contributed </v>
          </cell>
          <cell r="GC29" t="str">
            <v>Total Partner</v>
          </cell>
        </row>
        <row r="30">
          <cell r="AU30" t="str">
            <v xml:space="preserve">    Clubhouse/Pool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C30">
            <v>0</v>
          </cell>
          <cell r="BD30">
            <v>0</v>
          </cell>
          <cell r="BG30">
            <v>0</v>
          </cell>
          <cell r="BH30">
            <v>0</v>
          </cell>
          <cell r="CA30" t="str">
            <v>Maintenance</v>
          </cell>
          <cell r="CC30">
            <v>1098.6666666666665</v>
          </cell>
          <cell r="CD30">
            <v>1510.6666666666665</v>
          </cell>
          <cell r="CE30">
            <v>1922.6666666666665</v>
          </cell>
          <cell r="CF30">
            <v>2334.6666666666665</v>
          </cell>
          <cell r="CG30">
            <v>2746.6666666666665</v>
          </cell>
          <cell r="CH30">
            <v>3158.6666666666665</v>
          </cell>
          <cell r="CI30">
            <v>3570.6666666666665</v>
          </cell>
          <cell r="CJ30">
            <v>3982.6666666666665</v>
          </cell>
          <cell r="CK30">
            <v>4394.6666666666661</v>
          </cell>
          <cell r="CL30">
            <v>4806.6666666666661</v>
          </cell>
          <cell r="CM30">
            <v>5218.6666666666661</v>
          </cell>
          <cell r="CN30">
            <v>5630.666666666667</v>
          </cell>
          <cell r="CT30" t="str">
            <v>Project Expenses</v>
          </cell>
          <cell r="CU30">
            <v>557852.88469965325</v>
          </cell>
          <cell r="CV30">
            <v>725944</v>
          </cell>
          <cell r="CW30">
            <v>747722.32000000007</v>
          </cell>
          <cell r="CX30">
            <v>770153.98960000009</v>
          </cell>
          <cell r="CY30">
            <v>793258.60928800015</v>
          </cell>
          <cell r="CZ30">
            <v>817056.36756664014</v>
          </cell>
          <cell r="DA30">
            <v>841568.05859363941</v>
          </cell>
          <cell r="DB30">
            <v>866815.10035144864</v>
          </cell>
          <cell r="DC30">
            <v>892819.55336199212</v>
          </cell>
          <cell r="DD30">
            <v>919604.13996285188</v>
          </cell>
          <cell r="EF30" t="str">
            <v>Annual Amortization</v>
          </cell>
          <cell r="FX30" t="str">
            <v>Contributed</v>
          </cell>
          <cell r="FY30" t="str">
            <v>Debt</v>
          </cell>
          <cell r="FZ30" t="str">
            <v>Party Debt</v>
          </cell>
          <cell r="GA30" t="str">
            <v>Land</v>
          </cell>
          <cell r="GB30" t="str">
            <v>Services</v>
          </cell>
          <cell r="GC30" t="str">
            <v>Basis</v>
          </cell>
        </row>
        <row r="31">
          <cell r="N31" t="str">
            <v>Total Annual Residential Income:</v>
          </cell>
          <cell r="Q31">
            <v>1431600</v>
          </cell>
          <cell r="AB31" t="str">
            <v>Rental</v>
          </cell>
          <cell r="AC31" t="str">
            <v>Laundry</v>
          </cell>
          <cell r="AD31">
            <v>275</v>
          </cell>
          <cell r="AE31">
            <v>6.2727393939393998</v>
          </cell>
          <cell r="AF31">
            <v>1725.0033333333349</v>
          </cell>
          <cell r="AG31">
            <v>20700.040000000019</v>
          </cell>
          <cell r="AU31" t="str">
            <v xml:space="preserve">    General Requirements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C31">
            <v>0</v>
          </cell>
          <cell r="BD31">
            <v>0</v>
          </cell>
          <cell r="BG31">
            <v>0</v>
          </cell>
          <cell r="BH31">
            <v>0</v>
          </cell>
          <cell r="CA31" t="str">
            <v>Taxes</v>
          </cell>
          <cell r="CC31">
            <v>0</v>
          </cell>
          <cell r="CD31">
            <v>0</v>
          </cell>
          <cell r="CE31">
            <v>11666.666666666666</v>
          </cell>
          <cell r="CF31">
            <v>11666.666666666666</v>
          </cell>
          <cell r="CG31">
            <v>11666.666666666666</v>
          </cell>
          <cell r="CH31">
            <v>11666.666666666666</v>
          </cell>
          <cell r="CI31">
            <v>11666.666666666666</v>
          </cell>
          <cell r="CJ31">
            <v>11666.666666666666</v>
          </cell>
          <cell r="CK31">
            <v>11666.666666666666</v>
          </cell>
          <cell r="CL31">
            <v>11666.666666666666</v>
          </cell>
          <cell r="CM31">
            <v>11666.666666666666</v>
          </cell>
          <cell r="CN31">
            <v>11666.666666666666</v>
          </cell>
          <cell r="CT31" t="str">
            <v>Net Operating Income</v>
          </cell>
          <cell r="CU31">
            <v>8967.2971185286297</v>
          </cell>
          <cell r="CV31">
            <v>630007.74</v>
          </cell>
          <cell r="CW31">
            <v>648907.97219999996</v>
          </cell>
          <cell r="CX31">
            <v>668375.21136599977</v>
          </cell>
          <cell r="CY31">
            <v>688426.46770697983</v>
          </cell>
          <cell r="CZ31">
            <v>709079.26173818915</v>
          </cell>
          <cell r="DA31">
            <v>730351.63959033485</v>
          </cell>
          <cell r="DB31">
            <v>752262.18877804489</v>
          </cell>
          <cell r="DC31">
            <v>774830.05444138614</v>
          </cell>
          <cell r="DD31">
            <v>798074.9560746277</v>
          </cell>
        </row>
        <row r="32">
          <cell r="AC32" t="str">
            <v>Furniture Rental</v>
          </cell>
          <cell r="AD32">
            <v>136</v>
          </cell>
          <cell r="AE32">
            <v>0</v>
          </cell>
          <cell r="AF32">
            <v>0</v>
          </cell>
          <cell r="AG32">
            <v>0</v>
          </cell>
          <cell r="AU32" t="str">
            <v xml:space="preserve">    Contractor Overhead  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C32">
            <v>0</v>
          </cell>
          <cell r="BD32">
            <v>0</v>
          </cell>
          <cell r="BG32">
            <v>0</v>
          </cell>
          <cell r="BH32">
            <v>0</v>
          </cell>
          <cell r="CA32" t="str">
            <v>Insurance</v>
          </cell>
          <cell r="CC32">
            <v>0</v>
          </cell>
          <cell r="CD32">
            <v>0</v>
          </cell>
          <cell r="CE32">
            <v>3750</v>
          </cell>
          <cell r="CF32">
            <v>3750</v>
          </cell>
          <cell r="CG32">
            <v>3750</v>
          </cell>
          <cell r="CH32">
            <v>3750</v>
          </cell>
          <cell r="CI32">
            <v>3750</v>
          </cell>
          <cell r="CJ32">
            <v>3750</v>
          </cell>
          <cell r="CK32">
            <v>3750</v>
          </cell>
          <cell r="CL32">
            <v>3750</v>
          </cell>
          <cell r="CM32">
            <v>3750</v>
          </cell>
          <cell r="CN32">
            <v>3750</v>
          </cell>
          <cell r="CT32" t="str">
            <v>Draw Operating Def. Reserve</v>
          </cell>
          <cell r="CU32">
            <v>304912.62901319354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>
            <v>0</v>
          </cell>
          <cell r="DC32">
            <v>0</v>
          </cell>
          <cell r="DD32">
            <v>0</v>
          </cell>
          <cell r="FV32" t="str">
            <v>Investor</v>
          </cell>
          <cell r="FX32">
            <v>0</v>
          </cell>
          <cell r="FY32">
            <v>0</v>
          </cell>
          <cell r="FZ32">
            <v>0</v>
          </cell>
          <cell r="GA32">
            <v>0</v>
          </cell>
          <cell r="GB32">
            <v>0</v>
          </cell>
          <cell r="GC32">
            <v>0</v>
          </cell>
        </row>
        <row r="33">
          <cell r="AC33" t="str">
            <v>Other</v>
          </cell>
          <cell r="AD33">
            <v>275</v>
          </cell>
          <cell r="AE33">
            <v>12.666654545454541</v>
          </cell>
          <cell r="AF33">
            <v>3483.329999999999</v>
          </cell>
          <cell r="AG33">
            <v>41799.959999999992</v>
          </cell>
          <cell r="AU33" t="str">
            <v xml:space="preserve">    Contractor Profit        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C33">
            <v>0</v>
          </cell>
          <cell r="BD33">
            <v>0</v>
          </cell>
          <cell r="BG33">
            <v>0</v>
          </cell>
          <cell r="BH33">
            <v>0</v>
          </cell>
          <cell r="CA33" t="str">
            <v>Reserve</v>
          </cell>
          <cell r="CC33">
            <v>0</v>
          </cell>
          <cell r="CD33">
            <v>0</v>
          </cell>
          <cell r="CE33">
            <v>6416.666666666667</v>
          </cell>
          <cell r="CF33">
            <v>6416.666666666667</v>
          </cell>
          <cell r="CG33">
            <v>6416.666666666667</v>
          </cell>
          <cell r="CH33">
            <v>6416.666666666667</v>
          </cell>
          <cell r="CI33">
            <v>6416.666666666667</v>
          </cell>
          <cell r="CJ33">
            <v>6416.666666666667</v>
          </cell>
          <cell r="CK33">
            <v>6416.666666666667</v>
          </cell>
          <cell r="CL33">
            <v>6416.666666666667</v>
          </cell>
          <cell r="CM33">
            <v>6416.666666666667</v>
          </cell>
          <cell r="CN33">
            <v>6416.666666666667</v>
          </cell>
          <cell r="CT33" t="str">
            <v>FHA Insured Loan</v>
          </cell>
          <cell r="EF33" t="str">
            <v>Asset</v>
          </cell>
          <cell r="EG33" t="str">
            <v>Adjusted Amortization</v>
          </cell>
          <cell r="EH33" t="str">
            <v>Amortization</v>
          </cell>
          <cell r="FA33" t="str">
            <v>Schedule Eleven:  Income Tax Projection</v>
          </cell>
          <cell r="FV33" t="str">
            <v>General Partner</v>
          </cell>
          <cell r="FX33">
            <v>580158.92901319335</v>
          </cell>
          <cell r="FY33">
            <v>5640600</v>
          </cell>
          <cell r="FZ33">
            <v>0</v>
          </cell>
          <cell r="GA33">
            <v>0</v>
          </cell>
          <cell r="GB33">
            <v>0</v>
          </cell>
          <cell r="GC33">
            <v>6220758.9290131936</v>
          </cell>
        </row>
        <row r="34">
          <cell r="AU34" t="str">
            <v xml:space="preserve">    Performance Bond Premium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C34">
            <v>0</v>
          </cell>
          <cell r="BD34">
            <v>0</v>
          </cell>
          <cell r="BG34">
            <v>0</v>
          </cell>
          <cell r="BH34">
            <v>0</v>
          </cell>
          <cell r="CA34" t="str">
            <v>Marketing</v>
          </cell>
          <cell r="CC34">
            <v>0</v>
          </cell>
          <cell r="CD34">
            <v>0</v>
          </cell>
          <cell r="CE34">
            <v>1500</v>
          </cell>
          <cell r="CF34">
            <v>1500</v>
          </cell>
          <cell r="CG34">
            <v>1500</v>
          </cell>
          <cell r="CH34">
            <v>1500</v>
          </cell>
          <cell r="CI34">
            <v>1500</v>
          </cell>
          <cell r="CJ34">
            <v>1500</v>
          </cell>
          <cell r="CK34">
            <v>1500</v>
          </cell>
          <cell r="CL34">
            <v>1500</v>
          </cell>
          <cell r="CM34">
            <v>1500</v>
          </cell>
          <cell r="CN34">
            <v>1500</v>
          </cell>
          <cell r="CT34" t="str">
            <v xml:space="preserve">    Principal</v>
          </cell>
          <cell r="CU34">
            <v>49224.651299286037</v>
          </cell>
          <cell r="CV34">
            <v>61906.706957543487</v>
          </cell>
          <cell r="CW34">
            <v>65155.022753469777</v>
          </cell>
          <cell r="CX34">
            <v>68573.781398460866</v>
          </cell>
          <cell r="CY34">
            <v>72171.926223960691</v>
          </cell>
          <cell r="CZ34">
            <v>75958.869828253853</v>
          </cell>
          <cell r="DA34">
            <v>79944.518699434193</v>
          </cell>
          <cell r="DB34">
            <v>84139.29913036857</v>
          </cell>
          <cell r="DC34">
            <v>88554.184493448571</v>
          </cell>
          <cell r="DD34">
            <v>93200.723946479324</v>
          </cell>
          <cell r="EG34" t="str">
            <v>Basis</v>
          </cell>
          <cell r="EH34" t="str">
            <v>Life</v>
          </cell>
        </row>
        <row r="35">
          <cell r="AC35" t="str">
            <v>Total</v>
          </cell>
          <cell r="AD35">
            <v>686</v>
          </cell>
          <cell r="AE35">
            <v>18.939393939393941</v>
          </cell>
          <cell r="AF35">
            <v>5208.3333333333339</v>
          </cell>
          <cell r="AG35">
            <v>62500.000000000015</v>
          </cell>
          <cell r="AU35" t="str">
            <v xml:space="preserve">    Architect Design        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C35">
            <v>0</v>
          </cell>
          <cell r="BD35">
            <v>0</v>
          </cell>
          <cell r="BG35">
            <v>0</v>
          </cell>
          <cell r="BH35">
            <v>0</v>
          </cell>
          <cell r="CA35" t="str">
            <v xml:space="preserve">Other 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  <cell r="CG35">
            <v>0</v>
          </cell>
          <cell r="CH35">
            <v>0</v>
          </cell>
          <cell r="CI35">
            <v>0</v>
          </cell>
          <cell r="CJ35">
            <v>0</v>
          </cell>
          <cell r="CK35">
            <v>0</v>
          </cell>
          <cell r="CL35">
            <v>0</v>
          </cell>
          <cell r="CM35">
            <v>0</v>
          </cell>
          <cell r="CN35">
            <v>0</v>
          </cell>
          <cell r="CT35" t="str">
            <v xml:space="preserve">    Interest</v>
          </cell>
          <cell r="CU35">
            <v>239961.98006659574</v>
          </cell>
          <cell r="CV35">
            <v>285117.25068151462</v>
          </cell>
          <cell r="CW35">
            <v>281868.93488558836</v>
          </cell>
          <cell r="CX35">
            <v>278450.17624059721</v>
          </cell>
          <cell r="CY35">
            <v>274852.03141509742</v>
          </cell>
          <cell r="CZ35">
            <v>271065.08781080425</v>
          </cell>
          <cell r="DA35">
            <v>267079.438939624</v>
          </cell>
          <cell r="DB35">
            <v>262884.65850868955</v>
          </cell>
          <cell r="DC35">
            <v>258469.77314560959</v>
          </cell>
          <cell r="DD35">
            <v>253823.2336925788</v>
          </cell>
          <cell r="DP35">
            <v>1</v>
          </cell>
          <cell r="DQ35">
            <v>2</v>
          </cell>
          <cell r="DR35">
            <v>3</v>
          </cell>
          <cell r="DS35">
            <v>4</v>
          </cell>
          <cell r="DT35">
            <v>5</v>
          </cell>
          <cell r="DU35">
            <v>6</v>
          </cell>
          <cell r="DV35">
            <v>7</v>
          </cell>
          <cell r="DW35">
            <v>8</v>
          </cell>
          <cell r="DX35">
            <v>9</v>
          </cell>
          <cell r="DY35">
            <v>10</v>
          </cell>
          <cell r="EF35" t="str">
            <v>Financing Costs/Fees</v>
          </cell>
          <cell r="EG35">
            <v>150210.5</v>
          </cell>
          <cell r="EH35">
            <v>40</v>
          </cell>
          <cell r="FG35" t="str">
            <v>End of Year of Operation</v>
          </cell>
          <cell r="FV35" t="str">
            <v>Total</v>
          </cell>
          <cell r="FX35">
            <v>580158.92901319335</v>
          </cell>
          <cell r="FY35">
            <v>5640600</v>
          </cell>
          <cell r="FZ35">
            <v>0</v>
          </cell>
          <cell r="GA35">
            <v>0</v>
          </cell>
          <cell r="GB35">
            <v>0</v>
          </cell>
          <cell r="GC35">
            <v>6220758.9290131936</v>
          </cell>
        </row>
        <row r="36">
          <cell r="AU36" t="str">
            <v xml:space="preserve">    Architect Supervisor   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C36">
            <v>0</v>
          </cell>
          <cell r="BD36">
            <v>0</v>
          </cell>
          <cell r="BG36">
            <v>0</v>
          </cell>
          <cell r="BH36">
            <v>0</v>
          </cell>
          <cell r="CT36" t="str">
            <v>HOME Mortgage</v>
          </cell>
          <cell r="EF36" t="str">
            <v>Partnership Legal/Acct.</v>
          </cell>
          <cell r="EG36">
            <v>4590</v>
          </cell>
          <cell r="EH36">
            <v>5</v>
          </cell>
          <cell r="FB36" t="str">
            <v>Year</v>
          </cell>
          <cell r="FC36">
            <v>1</v>
          </cell>
          <cell r="FD36">
            <v>2</v>
          </cell>
          <cell r="FE36">
            <v>3</v>
          </cell>
          <cell r="FF36">
            <v>4</v>
          </cell>
          <cell r="FG36">
            <v>5</v>
          </cell>
          <cell r="FH36">
            <v>6</v>
          </cell>
          <cell r="FI36">
            <v>7</v>
          </cell>
          <cell r="FJ36">
            <v>8</v>
          </cell>
          <cell r="FK36">
            <v>9</v>
          </cell>
        </row>
        <row r="37">
          <cell r="AD37" t="str">
            <v>Total Other Project Revenue:</v>
          </cell>
          <cell r="AG37">
            <v>62500.000000000015</v>
          </cell>
          <cell r="AU37" t="str">
            <v xml:space="preserve">    Municipal/Other Fees (Owner - Net)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C37">
            <v>0</v>
          </cell>
          <cell r="BD37">
            <v>0</v>
          </cell>
          <cell r="BG37">
            <v>0</v>
          </cell>
          <cell r="BH37">
            <v>0</v>
          </cell>
          <cell r="CA37" t="str">
            <v>Total Expenses</v>
          </cell>
          <cell r="CC37">
            <v>23730.553719008265</v>
          </cell>
          <cell r="CD37">
            <v>24332.78213903982</v>
          </cell>
          <cell r="CE37">
            <v>48268.330640095301</v>
          </cell>
          <cell r="CF37">
            <v>48870.585564745663</v>
          </cell>
          <cell r="CG37">
            <v>49472.880246324246</v>
          </cell>
          <cell r="CH37">
            <v>50075.214684831037</v>
          </cell>
          <cell r="CI37">
            <v>50677.588880266048</v>
          </cell>
          <cell r="CJ37">
            <v>51280.002832629274</v>
          </cell>
          <cell r="CK37">
            <v>51882.456541920714</v>
          </cell>
          <cell r="CL37">
            <v>52484.950008140368</v>
          </cell>
          <cell r="CM37">
            <v>53087.483231288243</v>
          </cell>
          <cell r="CN37">
            <v>53690.056211364332</v>
          </cell>
          <cell r="CO37">
            <v>557852.88469965325</v>
          </cell>
          <cell r="CT37" t="str">
            <v xml:space="preserve">    Principal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>
            <v>0</v>
          </cell>
          <cell r="DC37">
            <v>0</v>
          </cell>
          <cell r="DD37">
            <v>0</v>
          </cell>
          <cell r="DP37">
            <v>0</v>
          </cell>
          <cell r="DQ37">
            <v>0</v>
          </cell>
          <cell r="DR37">
            <v>0</v>
          </cell>
          <cell r="DS37">
            <v>0</v>
          </cell>
          <cell r="DT37">
            <v>0</v>
          </cell>
          <cell r="DU37">
            <v>0</v>
          </cell>
          <cell r="DV37">
            <v>0</v>
          </cell>
          <cell r="DW37">
            <v>0</v>
          </cell>
          <cell r="DX37">
            <v>0</v>
          </cell>
          <cell r="DY37">
            <v>0</v>
          </cell>
          <cell r="EF37" t="str">
            <v>Marketing &amp; Leasing</v>
          </cell>
          <cell r="EG37">
            <v>0</v>
          </cell>
          <cell r="EH37">
            <v>5</v>
          </cell>
          <cell r="FB37" t="str">
            <v>Investor</v>
          </cell>
        </row>
        <row r="38">
          <cell r="AU38" t="str">
            <v xml:space="preserve">    Other Fees (Contractor)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C38">
            <v>0</v>
          </cell>
          <cell r="BD38">
            <v>0</v>
          </cell>
          <cell r="BG38">
            <v>0</v>
          </cell>
          <cell r="BH38">
            <v>0</v>
          </cell>
          <cell r="CA38" t="str">
            <v>Net Operating Income</v>
          </cell>
          <cell r="CC38">
            <v>-9242.311294765841</v>
          </cell>
          <cell r="CD38">
            <v>-4407.2821390398203</v>
          </cell>
          <cell r="CE38">
            <v>-22905.951852216509</v>
          </cell>
          <cell r="CF38">
            <v>-18070.191625351723</v>
          </cell>
          <cell r="CG38">
            <v>-13233.334791778791</v>
          </cell>
          <cell r="CH38">
            <v>-8395.381351497701</v>
          </cell>
          <cell r="CI38">
            <v>-3556.3313045084724</v>
          </cell>
          <cell r="CJ38">
            <v>1283.8153491889025</v>
          </cell>
          <cell r="CK38">
            <v>6125.0586095944382</v>
          </cell>
          <cell r="CL38">
            <v>10967.398476708113</v>
          </cell>
          <cell r="CM38">
            <v>15810.834950529934</v>
          </cell>
          <cell r="CN38">
            <v>20655.368031059923</v>
          </cell>
          <cell r="CO38">
            <v>-24968.30894207755</v>
          </cell>
          <cell r="CT38" t="str">
            <v xml:space="preserve">    Interest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>
            <v>0</v>
          </cell>
          <cell r="DC38">
            <v>0</v>
          </cell>
          <cell r="DD38">
            <v>0</v>
          </cell>
          <cell r="DP38">
            <v>0</v>
          </cell>
          <cell r="DQ38">
            <v>0</v>
          </cell>
          <cell r="DR38">
            <v>0</v>
          </cell>
          <cell r="DS38">
            <v>0</v>
          </cell>
          <cell r="DT38">
            <v>0</v>
          </cell>
          <cell r="DU38">
            <v>0</v>
          </cell>
          <cell r="DV38">
            <v>0</v>
          </cell>
          <cell r="DW38">
            <v>0</v>
          </cell>
          <cell r="DX38">
            <v>0</v>
          </cell>
          <cell r="DY38">
            <v>0</v>
          </cell>
          <cell r="EF38" t="str">
            <v>Capital Equity Costs</v>
          </cell>
          <cell r="EG38">
            <v>0</v>
          </cell>
          <cell r="EH38">
            <v>5</v>
          </cell>
          <cell r="FB38" t="str">
            <v>Profits/Losses</v>
          </cell>
          <cell r="FC38">
            <v>0</v>
          </cell>
          <cell r="FD38">
            <v>0</v>
          </cell>
          <cell r="FE38">
            <v>0</v>
          </cell>
          <cell r="FF38">
            <v>0</v>
          </cell>
          <cell r="FG38">
            <v>0</v>
          </cell>
          <cell r="FH38">
            <v>0</v>
          </cell>
          <cell r="FI38">
            <v>0</v>
          </cell>
          <cell r="FJ38">
            <v>0</v>
          </cell>
          <cell r="FK38">
            <v>0</v>
          </cell>
          <cell r="FX38">
            <v>1</v>
          </cell>
          <cell r="FY38">
            <v>2</v>
          </cell>
          <cell r="FZ38">
            <v>3</v>
          </cell>
          <cell r="GA38">
            <v>4</v>
          </cell>
          <cell r="GB38">
            <v>5</v>
          </cell>
          <cell r="GC38">
            <v>6</v>
          </cell>
          <cell r="GD38">
            <v>7</v>
          </cell>
          <cell r="GE38">
            <v>8</v>
          </cell>
          <cell r="GF38">
            <v>9</v>
          </cell>
          <cell r="GG38">
            <v>10</v>
          </cell>
        </row>
        <row r="39">
          <cell r="AD39" t="str">
            <v>Total Annual Project Income:</v>
          </cell>
          <cell r="AG39">
            <v>1494100</v>
          </cell>
          <cell r="AU39" t="str">
            <v xml:space="preserve">    Survey/Testing/Environmental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C39">
            <v>0</v>
          </cell>
          <cell r="BD39">
            <v>0</v>
          </cell>
          <cell r="BG39">
            <v>0</v>
          </cell>
          <cell r="BH39">
            <v>0</v>
          </cell>
          <cell r="CT39" t="str">
            <v>Subordinate Debt</v>
          </cell>
          <cell r="DP39">
            <v>0</v>
          </cell>
          <cell r="DQ39">
            <v>0</v>
          </cell>
          <cell r="DR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X39">
            <v>0</v>
          </cell>
          <cell r="DY39">
            <v>0</v>
          </cell>
          <cell r="FB39" t="str">
            <v>Passive Loss Carryforward</v>
          </cell>
          <cell r="FC39">
            <v>0</v>
          </cell>
          <cell r="FD39">
            <v>0</v>
          </cell>
          <cell r="FE39">
            <v>0</v>
          </cell>
          <cell r="FF39">
            <v>0</v>
          </cell>
          <cell r="FG39">
            <v>0</v>
          </cell>
          <cell r="FH39">
            <v>0</v>
          </cell>
          <cell r="FI39">
            <v>0</v>
          </cell>
          <cell r="FJ39">
            <v>0</v>
          </cell>
          <cell r="FK39">
            <v>0</v>
          </cell>
          <cell r="FV39" t="str">
            <v>Investor</v>
          </cell>
        </row>
        <row r="40">
          <cell r="AW40">
            <v>0</v>
          </cell>
          <cell r="CA40" t="str">
            <v>Debt Service - Year One</v>
          </cell>
          <cell r="CT40" t="str">
            <v xml:space="preserve">    Principal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EF40" t="str">
            <v>Total:</v>
          </cell>
          <cell r="EG40">
            <v>154800.5</v>
          </cell>
          <cell r="FB40" t="str">
            <v>Cumulative Carryforward</v>
          </cell>
          <cell r="FC40">
            <v>0</v>
          </cell>
          <cell r="FD40">
            <v>0</v>
          </cell>
          <cell r="FE40">
            <v>0</v>
          </cell>
          <cell r="FF40">
            <v>0</v>
          </cell>
          <cell r="FG40">
            <v>0</v>
          </cell>
          <cell r="FH40">
            <v>0</v>
          </cell>
          <cell r="FI40">
            <v>0</v>
          </cell>
          <cell r="FJ40">
            <v>0</v>
          </cell>
          <cell r="FK40">
            <v>0</v>
          </cell>
          <cell r="FV40" t="str">
            <v>Beginning Balance</v>
          </cell>
          <cell r="FX40">
            <v>0</v>
          </cell>
          <cell r="FY40">
            <v>0</v>
          </cell>
          <cell r="FZ40">
            <v>0</v>
          </cell>
          <cell r="GA40">
            <v>0</v>
          </cell>
          <cell r="GB40">
            <v>0</v>
          </cell>
          <cell r="GC40">
            <v>0</v>
          </cell>
          <cell r="GD40">
            <v>0</v>
          </cell>
          <cell r="GE40">
            <v>0</v>
          </cell>
          <cell r="GF40">
            <v>0</v>
          </cell>
          <cell r="GG40">
            <v>0</v>
          </cell>
        </row>
        <row r="41">
          <cell r="AB41" t="str">
            <v>Vacancy Factor</v>
          </cell>
          <cell r="AU41" t="str">
            <v xml:space="preserve">            Subtotal:</v>
          </cell>
          <cell r="AW41">
            <v>2365.338181818182</v>
          </cell>
          <cell r="AX41">
            <v>4.9347413780023368</v>
          </cell>
          <cell r="AY41">
            <v>650468</v>
          </cell>
          <cell r="AZ41">
            <v>650468</v>
          </cell>
          <cell r="BA41">
            <v>0</v>
          </cell>
          <cell r="BB41">
            <v>0</v>
          </cell>
          <cell r="BC41">
            <v>550468</v>
          </cell>
          <cell r="BD41">
            <v>100000</v>
          </cell>
          <cell r="BE41">
            <v>0</v>
          </cell>
          <cell r="BF41">
            <v>0</v>
          </cell>
          <cell r="BG41">
            <v>650468</v>
          </cell>
          <cell r="BH41">
            <v>650468</v>
          </cell>
          <cell r="CA41" t="str">
            <v>FHA Insured Loan</v>
          </cell>
          <cell r="CT41" t="str">
            <v xml:space="preserve">    Interest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>
            <v>0</v>
          </cell>
          <cell r="DC41">
            <v>0</v>
          </cell>
          <cell r="DD41">
            <v>0</v>
          </cell>
          <cell r="DP41">
            <v>0</v>
          </cell>
          <cell r="DQ41">
            <v>0</v>
          </cell>
          <cell r="DR41">
            <v>0</v>
          </cell>
          <cell r="DS41">
            <v>0</v>
          </cell>
          <cell r="DT41">
            <v>0</v>
          </cell>
          <cell r="DU41">
            <v>0</v>
          </cell>
          <cell r="DV41">
            <v>0</v>
          </cell>
          <cell r="DW41">
            <v>0</v>
          </cell>
          <cell r="DX41">
            <v>0</v>
          </cell>
          <cell r="DY41">
            <v>0</v>
          </cell>
          <cell r="FB41" t="str">
            <v>Taxes Due</v>
          </cell>
          <cell r="FC41">
            <v>0</v>
          </cell>
          <cell r="FD41">
            <v>0</v>
          </cell>
          <cell r="FE41">
            <v>0</v>
          </cell>
          <cell r="FF41">
            <v>0</v>
          </cell>
          <cell r="FG41">
            <v>0</v>
          </cell>
          <cell r="FH41">
            <v>0</v>
          </cell>
          <cell r="FI41">
            <v>0</v>
          </cell>
          <cell r="FJ41">
            <v>0</v>
          </cell>
          <cell r="FK41">
            <v>0</v>
          </cell>
          <cell r="FV41" t="str">
            <v xml:space="preserve"> + Profit/Gain</v>
          </cell>
          <cell r="FX41">
            <v>0</v>
          </cell>
          <cell r="FY41">
            <v>0</v>
          </cell>
          <cell r="FZ41">
            <v>0</v>
          </cell>
          <cell r="GA41">
            <v>0</v>
          </cell>
          <cell r="GB41">
            <v>0</v>
          </cell>
          <cell r="GC41">
            <v>0</v>
          </cell>
          <cell r="GD41">
            <v>0</v>
          </cell>
          <cell r="GE41">
            <v>0</v>
          </cell>
          <cell r="GF41">
            <v>0</v>
          </cell>
          <cell r="GG41">
            <v>0</v>
          </cell>
        </row>
        <row r="42">
          <cell r="CA42" t="str">
            <v xml:space="preserve">    Principal</v>
          </cell>
          <cell r="CC42">
            <v>0</v>
          </cell>
          <cell r="CD42">
            <v>0</v>
          </cell>
          <cell r="CE42">
            <v>4828.6006365881767</v>
          </cell>
          <cell r="CF42">
            <v>4849.2227851402749</v>
          </cell>
          <cell r="CG42">
            <v>4869.9330074518111</v>
          </cell>
          <cell r="CH42">
            <v>4890.7316796711384</v>
          </cell>
          <cell r="CI42">
            <v>4911.6191795530649</v>
          </cell>
          <cell r="CJ42">
            <v>4932.5958864657441</v>
          </cell>
          <cell r="CK42">
            <v>4953.6621813975253</v>
          </cell>
          <cell r="CL42">
            <v>4974.8184469639127</v>
          </cell>
          <cell r="CM42">
            <v>4996.0650674144854</v>
          </cell>
          <cell r="CN42">
            <v>5017.4024286399035</v>
          </cell>
          <cell r="DP42">
            <v>0</v>
          </cell>
          <cell r="DQ42">
            <v>0</v>
          </cell>
          <cell r="DR42">
            <v>0</v>
          </cell>
          <cell r="DS42">
            <v>0</v>
          </cell>
          <cell r="DT42">
            <v>0</v>
          </cell>
          <cell r="DU42">
            <v>0</v>
          </cell>
          <cell r="DV42">
            <v>0</v>
          </cell>
          <cell r="DW42">
            <v>0</v>
          </cell>
          <cell r="DX42">
            <v>0</v>
          </cell>
          <cell r="DY42">
            <v>0</v>
          </cell>
          <cell r="FB42" t="str">
            <v>LIHTC/HRTC</v>
          </cell>
          <cell r="FC42">
            <v>0</v>
          </cell>
          <cell r="FD42">
            <v>0</v>
          </cell>
          <cell r="FE42">
            <v>0</v>
          </cell>
          <cell r="FF42">
            <v>0</v>
          </cell>
          <cell r="FG42">
            <v>0</v>
          </cell>
          <cell r="FH42">
            <v>0</v>
          </cell>
          <cell r="FI42">
            <v>0</v>
          </cell>
          <cell r="FJ42">
            <v>0</v>
          </cell>
          <cell r="FK42">
            <v>0</v>
          </cell>
          <cell r="FV42" t="str">
            <v xml:space="preserve"> -Losses</v>
          </cell>
          <cell r="FX42">
            <v>0</v>
          </cell>
          <cell r="FY42">
            <v>0</v>
          </cell>
          <cell r="FZ42">
            <v>0</v>
          </cell>
          <cell r="GA42">
            <v>0</v>
          </cell>
          <cell r="GB42">
            <v>0</v>
          </cell>
          <cell r="GC42">
            <v>0</v>
          </cell>
          <cell r="GD42">
            <v>0</v>
          </cell>
          <cell r="GE42">
            <v>0</v>
          </cell>
          <cell r="GF42">
            <v>0</v>
          </cell>
          <cell r="GG42">
            <v>0</v>
          </cell>
        </row>
        <row r="43">
          <cell r="AC43" t="str">
            <v>Residential</v>
          </cell>
          <cell r="AD43">
            <v>0.88</v>
          </cell>
          <cell r="AG43">
            <v>1259808</v>
          </cell>
          <cell r="AU43" t="str">
            <v>Carrying Charges &amp; Other Fees</v>
          </cell>
          <cell r="CA43" t="str">
            <v xml:space="preserve">    Interest</v>
          </cell>
          <cell r="CC43">
            <v>0</v>
          </cell>
          <cell r="CD43">
            <v>0</v>
          </cell>
          <cell r="CE43">
            <v>24090.0625</v>
          </cell>
          <cell r="CF43">
            <v>24069.440351447902</v>
          </cell>
          <cell r="CG43">
            <v>24048.730129136366</v>
          </cell>
          <cell r="CH43">
            <v>24027.931456917038</v>
          </cell>
          <cell r="CI43">
            <v>24007.043957035112</v>
          </cell>
          <cell r="CJ43">
            <v>23986.067250122433</v>
          </cell>
          <cell r="CK43">
            <v>23965.000955190651</v>
          </cell>
          <cell r="CL43">
            <v>23943.844689624264</v>
          </cell>
          <cell r="CM43">
            <v>23922.598069173691</v>
          </cell>
          <cell r="CN43">
            <v>23901.260707948273</v>
          </cell>
          <cell r="CT43" t="str">
            <v>Asset Management Fee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>
            <v>0</v>
          </cell>
          <cell r="DC43">
            <v>0</v>
          </cell>
          <cell r="DD43">
            <v>0</v>
          </cell>
          <cell r="EG43">
            <v>1</v>
          </cell>
          <cell r="EH43">
            <v>2</v>
          </cell>
          <cell r="EI43">
            <v>3</v>
          </cell>
          <cell r="EJ43">
            <v>4</v>
          </cell>
          <cell r="EK43">
            <v>5</v>
          </cell>
          <cell r="EL43">
            <v>6</v>
          </cell>
          <cell r="EM43">
            <v>7</v>
          </cell>
          <cell r="EN43">
            <v>8</v>
          </cell>
          <cell r="EO43">
            <v>9</v>
          </cell>
          <cell r="EP43">
            <v>10</v>
          </cell>
          <cell r="FB43" t="str">
            <v>LIHTC Carryforward</v>
          </cell>
          <cell r="FC43">
            <v>0</v>
          </cell>
          <cell r="FD43">
            <v>0</v>
          </cell>
          <cell r="FE43">
            <v>0</v>
          </cell>
          <cell r="FF43">
            <v>0</v>
          </cell>
          <cell r="FG43">
            <v>0</v>
          </cell>
          <cell r="FH43">
            <v>0</v>
          </cell>
          <cell r="FI43">
            <v>0</v>
          </cell>
          <cell r="FJ43">
            <v>0</v>
          </cell>
          <cell r="FK43">
            <v>0</v>
          </cell>
          <cell r="FV43" t="str">
            <v xml:space="preserve"> -Cash Distribution</v>
          </cell>
          <cell r="FX43">
            <v>0</v>
          </cell>
          <cell r="FY43">
            <v>0</v>
          </cell>
          <cell r="FZ43">
            <v>0</v>
          </cell>
          <cell r="GA43">
            <v>0</v>
          </cell>
          <cell r="GB43">
            <v>0</v>
          </cell>
          <cell r="GC43">
            <v>0</v>
          </cell>
          <cell r="GD43">
            <v>0</v>
          </cell>
          <cell r="GE43">
            <v>0</v>
          </cell>
          <cell r="GF43">
            <v>0</v>
          </cell>
          <cell r="GG43">
            <v>0</v>
          </cell>
        </row>
        <row r="44">
          <cell r="AC44" t="str">
            <v>Commercial</v>
          </cell>
          <cell r="AD44">
            <v>0.87</v>
          </cell>
          <cell r="AG44">
            <v>0</v>
          </cell>
          <cell r="AV44" t="str">
            <v xml:space="preserve"> % of Mortgage</v>
          </cell>
          <cell r="AX44" t="str">
            <v>Per Gross S.F.</v>
          </cell>
          <cell r="AZ44" t="str">
            <v>FHA Budget</v>
          </cell>
          <cell r="BB44" t="str">
            <v>Non-Depreciable</v>
          </cell>
          <cell r="BD44" t="str">
            <v>Commercial</v>
          </cell>
          <cell r="BF44" t="str">
            <v>Expensed</v>
          </cell>
          <cell r="BH44" t="str">
            <v>Historic Rehabilitation</v>
          </cell>
          <cell r="CA44" t="str">
            <v>HOME Mortgage</v>
          </cell>
          <cell r="FB44" t="str">
            <v>Cumulative LIHTC Carryforward</v>
          </cell>
          <cell r="FC44">
            <v>0</v>
          </cell>
          <cell r="FD44">
            <v>0</v>
          </cell>
          <cell r="FE44">
            <v>0</v>
          </cell>
          <cell r="FF44">
            <v>0</v>
          </cell>
          <cell r="FG44">
            <v>0</v>
          </cell>
          <cell r="FH44">
            <v>0</v>
          </cell>
          <cell r="FI44">
            <v>0</v>
          </cell>
          <cell r="FJ44">
            <v>0</v>
          </cell>
          <cell r="FK44">
            <v>0</v>
          </cell>
          <cell r="FV44" t="str">
            <v xml:space="preserve"> +Add'l Contribution</v>
          </cell>
          <cell r="FX44">
            <v>0</v>
          </cell>
          <cell r="FY44">
            <v>0</v>
          </cell>
          <cell r="FZ44">
            <v>0</v>
          </cell>
          <cell r="GA44">
            <v>0</v>
          </cell>
          <cell r="GB44">
            <v>0</v>
          </cell>
          <cell r="GC44">
            <v>0</v>
          </cell>
          <cell r="GD44">
            <v>0</v>
          </cell>
          <cell r="GE44">
            <v>0</v>
          </cell>
          <cell r="GF44">
            <v>0</v>
          </cell>
          <cell r="GG44">
            <v>0</v>
          </cell>
        </row>
        <row r="45">
          <cell r="AC45" t="str">
            <v>Parking</v>
          </cell>
          <cell r="AD45">
            <v>0.87</v>
          </cell>
          <cell r="AG45">
            <v>0</v>
          </cell>
          <cell r="AW45" t="str">
            <v>Per Unit</v>
          </cell>
          <cell r="AY45" t="str">
            <v>Total Budget</v>
          </cell>
          <cell r="BA45" t="str">
            <v>Pre-Construct Budget</v>
          </cell>
          <cell r="BC45" t="str">
            <v>Residential</v>
          </cell>
          <cell r="BE45" t="str">
            <v>Amortized</v>
          </cell>
          <cell r="BG45" t="str">
            <v>Total</v>
          </cell>
          <cell r="CA45" t="str">
            <v xml:space="preserve">    Principal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T45" t="str">
            <v xml:space="preserve">  Total Debt Service/AMF</v>
          </cell>
          <cell r="CU45">
            <v>289186.63136588177</v>
          </cell>
          <cell r="CV45">
            <v>347023.95763905812</v>
          </cell>
          <cell r="CW45">
            <v>347023.95763905812</v>
          </cell>
          <cell r="CX45">
            <v>347023.95763905806</v>
          </cell>
          <cell r="CY45">
            <v>347023.95763905812</v>
          </cell>
          <cell r="CZ45">
            <v>347023.95763905812</v>
          </cell>
          <cell r="DA45">
            <v>347023.95763905818</v>
          </cell>
          <cell r="DB45">
            <v>347023.95763905812</v>
          </cell>
          <cell r="DC45">
            <v>347023.95763905818</v>
          </cell>
          <cell r="DD45">
            <v>347023.95763905812</v>
          </cell>
          <cell r="EF45" t="str">
            <v>Financing</v>
          </cell>
          <cell r="EG45">
            <v>3755.2624999999998</v>
          </cell>
          <cell r="EH45">
            <v>3755.2624999999998</v>
          </cell>
          <cell r="EI45">
            <v>3755.2624999999998</v>
          </cell>
          <cell r="EJ45">
            <v>3755.2624999999998</v>
          </cell>
          <cell r="EK45">
            <v>3755.2624999999998</v>
          </cell>
          <cell r="EL45">
            <v>3755.2624999999998</v>
          </cell>
          <cell r="EM45">
            <v>3755.2624999999998</v>
          </cell>
          <cell r="EN45">
            <v>3755.2624999999998</v>
          </cell>
          <cell r="EO45">
            <v>3755.2624999999998</v>
          </cell>
          <cell r="EP45">
            <v>3755.2624999999998</v>
          </cell>
          <cell r="FB45" t="str">
            <v>Taxes Paid</v>
          </cell>
          <cell r="FC45">
            <v>0</v>
          </cell>
          <cell r="FD45">
            <v>0</v>
          </cell>
          <cell r="FE45">
            <v>0</v>
          </cell>
          <cell r="FF45">
            <v>0</v>
          </cell>
          <cell r="FG45">
            <v>0</v>
          </cell>
          <cell r="FH45">
            <v>0</v>
          </cell>
          <cell r="FI45">
            <v>0</v>
          </cell>
          <cell r="FJ45">
            <v>0</v>
          </cell>
          <cell r="FK45">
            <v>0</v>
          </cell>
          <cell r="FV45" t="str">
            <v xml:space="preserve"> + Increase QND</v>
          </cell>
          <cell r="FX45">
            <v>0</v>
          </cell>
          <cell r="FY45">
            <v>0</v>
          </cell>
          <cell r="FZ45">
            <v>0</v>
          </cell>
          <cell r="GA45">
            <v>0</v>
          </cell>
          <cell r="GB45">
            <v>0</v>
          </cell>
          <cell r="GC45">
            <v>0</v>
          </cell>
          <cell r="GD45">
            <v>0</v>
          </cell>
          <cell r="GE45">
            <v>0</v>
          </cell>
          <cell r="GF45">
            <v>0</v>
          </cell>
          <cell r="GG45">
            <v>0</v>
          </cell>
        </row>
        <row r="46">
          <cell r="AC46" t="str">
            <v>Other Revenue</v>
          </cell>
          <cell r="AD46">
            <v>0.88</v>
          </cell>
          <cell r="AG46">
            <v>55000.000000000015</v>
          </cell>
          <cell r="AV46" t="str">
            <v xml:space="preserve"> </v>
          </cell>
          <cell r="CA46" t="str">
            <v xml:space="preserve">    Interest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EF46" t="str">
            <v>Legal/Acct.</v>
          </cell>
          <cell r="EG46">
            <v>918</v>
          </cell>
          <cell r="EH46">
            <v>918</v>
          </cell>
          <cell r="EI46">
            <v>918</v>
          </cell>
          <cell r="EJ46">
            <v>918</v>
          </cell>
          <cell r="EK46">
            <v>918</v>
          </cell>
          <cell r="EL46">
            <v>0</v>
          </cell>
          <cell r="EM46">
            <v>0</v>
          </cell>
          <cell r="EN46">
            <v>0</v>
          </cell>
          <cell r="EO46">
            <v>0</v>
          </cell>
          <cell r="EP46">
            <v>0</v>
          </cell>
          <cell r="FV46" t="str">
            <v xml:space="preserve"> - Decrease QND</v>
          </cell>
          <cell r="FX46">
            <v>0</v>
          </cell>
          <cell r="FY46">
            <v>0</v>
          </cell>
          <cell r="FZ46">
            <v>0</v>
          </cell>
          <cell r="GA46">
            <v>0</v>
          </cell>
          <cell r="GB46">
            <v>0</v>
          </cell>
          <cell r="GC46">
            <v>0</v>
          </cell>
          <cell r="GD46">
            <v>0</v>
          </cell>
          <cell r="GE46">
            <v>0</v>
          </cell>
          <cell r="GF46">
            <v>0</v>
          </cell>
          <cell r="GG46">
            <v>0</v>
          </cell>
        </row>
        <row r="47">
          <cell r="AU47" t="str">
            <v xml:space="preserve">    Construction Period Interest</v>
          </cell>
          <cell r="AV47" t="str">
            <v xml:space="preserve"> 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C47">
            <v>0</v>
          </cell>
          <cell r="BD47">
            <v>0</v>
          </cell>
          <cell r="BG47">
            <v>0</v>
          </cell>
          <cell r="BH47">
            <v>0</v>
          </cell>
          <cell r="CA47" t="str">
            <v>Subordinate Debt</v>
          </cell>
          <cell r="EF47" t="str">
            <v>Marketing</v>
          </cell>
          <cell r="EG47">
            <v>0</v>
          </cell>
          <cell r="EH47">
            <v>0</v>
          </cell>
          <cell r="EI47">
            <v>0</v>
          </cell>
          <cell r="EJ47">
            <v>0</v>
          </cell>
          <cell r="EK47">
            <v>0</v>
          </cell>
          <cell r="EL47">
            <v>0</v>
          </cell>
          <cell r="EM47">
            <v>0</v>
          </cell>
          <cell r="EN47">
            <v>0</v>
          </cell>
          <cell r="EO47">
            <v>0</v>
          </cell>
          <cell r="EP47">
            <v>0</v>
          </cell>
          <cell r="FB47" t="str">
            <v>General Partner</v>
          </cell>
          <cell r="FV47" t="str">
            <v xml:space="preserve"> + Gain on Sale of Asset</v>
          </cell>
        </row>
        <row r="48">
          <cell r="AD48" t="str">
            <v>Total Revenue after Vacancy:</v>
          </cell>
          <cell r="AG48">
            <v>1314808</v>
          </cell>
          <cell r="AU48" t="str">
            <v xml:space="preserve">    Construction Inspection</v>
          </cell>
          <cell r="AV48" t="str">
            <v xml:space="preserve"> 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C48">
            <v>0</v>
          </cell>
          <cell r="BD48">
            <v>0</v>
          </cell>
          <cell r="BG48">
            <v>0</v>
          </cell>
          <cell r="BH48">
            <v>0</v>
          </cell>
          <cell r="CA48" t="str">
            <v xml:space="preserve">    Principal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EF48" t="str">
            <v>Cap. Equity</v>
          </cell>
          <cell r="EG48">
            <v>0</v>
          </cell>
          <cell r="EH48">
            <v>0</v>
          </cell>
          <cell r="EI48">
            <v>0</v>
          </cell>
          <cell r="EJ48">
            <v>0</v>
          </cell>
          <cell r="EK48">
            <v>0</v>
          </cell>
          <cell r="EL48">
            <v>0</v>
          </cell>
          <cell r="EM48">
            <v>0</v>
          </cell>
          <cell r="EN48">
            <v>0</v>
          </cell>
          <cell r="EO48">
            <v>0</v>
          </cell>
          <cell r="EP48">
            <v>0</v>
          </cell>
          <cell r="FB48" t="str">
            <v>Profits/Losses</v>
          </cell>
          <cell r="FC48">
            <v>-258120.73969074106</v>
          </cell>
          <cell r="FD48">
            <v>317764.4325758114</v>
          </cell>
          <cell r="FE48">
            <v>339912.98057173751</v>
          </cell>
          <cell r="FF48">
            <v>362798.97838272853</v>
          </cell>
          <cell r="FG48">
            <v>386448.37954920856</v>
          </cell>
          <cell r="FH48">
            <v>411806.11718471092</v>
          </cell>
          <cell r="FI48">
            <v>437064.14390803687</v>
          </cell>
          <cell r="FJ48">
            <v>467768.01495525264</v>
          </cell>
          <cell r="FK48">
            <v>494750.76598167396</v>
          </cell>
        </row>
        <row r="49">
          <cell r="AU49" t="str">
            <v xml:space="preserve">    Property Taxes</v>
          </cell>
          <cell r="AV49" t="str">
            <v xml:space="preserve"> 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C49">
            <v>0</v>
          </cell>
          <cell r="BD49">
            <v>0</v>
          </cell>
          <cell r="BG49">
            <v>0</v>
          </cell>
          <cell r="BH49">
            <v>0</v>
          </cell>
          <cell r="CA49" t="str">
            <v xml:space="preserve">    Interest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FB49" t="str">
            <v>Passive Loss Carryforward</v>
          </cell>
          <cell r="FC49">
            <v>258120.73969074106</v>
          </cell>
          <cell r="FD49">
            <v>-317764.4325758114</v>
          </cell>
          <cell r="FE49">
            <v>-339912.98057173751</v>
          </cell>
          <cell r="FF49">
            <v>-362798.97838272853</v>
          </cell>
          <cell r="FG49">
            <v>0</v>
          </cell>
          <cell r="FH49">
            <v>0</v>
          </cell>
          <cell r="FI49">
            <v>0</v>
          </cell>
          <cell r="FJ49">
            <v>0</v>
          </cell>
          <cell r="FK49">
            <v>0</v>
          </cell>
          <cell r="FW49" t="str">
            <v>Total:</v>
          </cell>
          <cell r="FX49">
            <v>0</v>
          </cell>
          <cell r="FY49">
            <v>0</v>
          </cell>
          <cell r="FZ49">
            <v>0</v>
          </cell>
          <cell r="GA49">
            <v>0</v>
          </cell>
          <cell r="GB49">
            <v>0</v>
          </cell>
          <cell r="GC49">
            <v>0</v>
          </cell>
          <cell r="GD49">
            <v>0</v>
          </cell>
          <cell r="GE49">
            <v>0</v>
          </cell>
          <cell r="GF49">
            <v>0</v>
          </cell>
          <cell r="GG49">
            <v>0</v>
          </cell>
        </row>
        <row r="50">
          <cell r="AU50" t="str">
            <v xml:space="preserve">    Builders Risk Insurance</v>
          </cell>
          <cell r="AV50" t="str">
            <v xml:space="preserve"> 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C50">
            <v>0</v>
          </cell>
          <cell r="BD50">
            <v>0</v>
          </cell>
          <cell r="BG50">
            <v>0</v>
          </cell>
          <cell r="BH50">
            <v>0</v>
          </cell>
          <cell r="CA50" t="str">
            <v xml:space="preserve">  Asset Management Fee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EF50" t="str">
            <v>Annual Total</v>
          </cell>
          <cell r="EG50">
            <v>4673.2624999999998</v>
          </cell>
          <cell r="EH50">
            <v>4673.2624999999998</v>
          </cell>
          <cell r="EI50">
            <v>4673.2624999999998</v>
          </cell>
          <cell r="EJ50">
            <v>4673.2624999999998</v>
          </cell>
          <cell r="EK50">
            <v>4673.2624999999998</v>
          </cell>
          <cell r="EL50">
            <v>3755.2624999999998</v>
          </cell>
          <cell r="EM50">
            <v>3755.2624999999998</v>
          </cell>
          <cell r="EN50">
            <v>3755.2624999999998</v>
          </cell>
          <cell r="EO50">
            <v>3755.2624999999998</v>
          </cell>
          <cell r="EP50">
            <v>3755.2624999999998</v>
          </cell>
          <cell r="FB50" t="str">
            <v>Cumulative Carryforward</v>
          </cell>
          <cell r="FC50">
            <v>258120.73969074106</v>
          </cell>
          <cell r="FD50">
            <v>0</v>
          </cell>
          <cell r="FE50">
            <v>0</v>
          </cell>
          <cell r="FF50">
            <v>0</v>
          </cell>
          <cell r="FG50">
            <v>0</v>
          </cell>
          <cell r="FH50">
            <v>0</v>
          </cell>
          <cell r="FI50">
            <v>0</v>
          </cell>
          <cell r="FJ50">
            <v>0</v>
          </cell>
          <cell r="FK50">
            <v>0</v>
          </cell>
        </row>
        <row r="51">
          <cell r="AU51" t="str">
            <v xml:space="preserve">    FHA MIP</v>
          </cell>
          <cell r="AV51">
            <v>0.01</v>
          </cell>
          <cell r="AW51">
            <v>205.11272727272728</v>
          </cell>
          <cell r="AX51">
            <v>0.42792116163685195</v>
          </cell>
          <cell r="AY51">
            <v>56406</v>
          </cell>
          <cell r="AZ51">
            <v>56406</v>
          </cell>
          <cell r="BC51">
            <v>56406</v>
          </cell>
          <cell r="BD51">
            <v>0</v>
          </cell>
          <cell r="BG51">
            <v>56406</v>
          </cell>
          <cell r="BH51">
            <v>56406</v>
          </cell>
          <cell r="EF51" t="str">
            <v>Cumulative To Date</v>
          </cell>
          <cell r="EG51">
            <v>4673.2624999999998</v>
          </cell>
          <cell r="EH51">
            <v>9346.5249999999996</v>
          </cell>
          <cell r="EI51">
            <v>14019.787499999999</v>
          </cell>
          <cell r="EJ51">
            <v>18693.05</v>
          </cell>
          <cell r="EK51">
            <v>23366.3125</v>
          </cell>
          <cell r="EL51">
            <v>27121.575000000001</v>
          </cell>
          <cell r="EM51">
            <v>30876.837500000001</v>
          </cell>
          <cell r="EN51">
            <v>34632.1</v>
          </cell>
          <cell r="EO51">
            <v>38387.362499999996</v>
          </cell>
          <cell r="EP51">
            <v>42142.624999999993</v>
          </cell>
          <cell r="FB51" t="str">
            <v>Taxes Due</v>
          </cell>
          <cell r="FC51">
            <v>0</v>
          </cell>
          <cell r="FD51">
            <v>25646.787940580245</v>
          </cell>
          <cell r="FE51">
            <v>146162.58164584712</v>
          </cell>
          <cell r="FF51">
            <v>156003.56070457326</v>
          </cell>
          <cell r="FG51">
            <v>166172.80320615968</v>
          </cell>
          <cell r="FH51">
            <v>177076.6303894257</v>
          </cell>
          <cell r="FI51">
            <v>187937.58188045587</v>
          </cell>
          <cell r="FJ51">
            <v>201140.24643075862</v>
          </cell>
          <cell r="FK51">
            <v>212742.8293721198</v>
          </cell>
          <cell r="FV51" t="str">
            <v>General Partner</v>
          </cell>
        </row>
        <row r="52">
          <cell r="AU52" t="str">
            <v xml:space="preserve">    Placement Fee</v>
          </cell>
          <cell r="AV52">
            <v>2.5000000000000001E-3</v>
          </cell>
          <cell r="AW52">
            <v>51.278181818181821</v>
          </cell>
          <cell r="AX52">
            <v>0.10698029040921299</v>
          </cell>
          <cell r="AY52">
            <v>14101.5</v>
          </cell>
          <cell r="AZ52">
            <v>14101.5</v>
          </cell>
          <cell r="BC52">
            <v>0</v>
          </cell>
          <cell r="BD52">
            <v>0</v>
          </cell>
          <cell r="BE52">
            <v>14101.5</v>
          </cell>
          <cell r="BG52">
            <v>14101.5</v>
          </cell>
          <cell r="BH52">
            <v>0</v>
          </cell>
          <cell r="CA52" t="str">
            <v>Total Debt Service/Lease</v>
          </cell>
          <cell r="CC52">
            <v>0</v>
          </cell>
          <cell r="CD52">
            <v>0</v>
          </cell>
          <cell r="CE52">
            <v>28918.663136588177</v>
          </cell>
          <cell r="CF52">
            <v>28918.663136588177</v>
          </cell>
          <cell r="CG52">
            <v>28918.663136588177</v>
          </cell>
          <cell r="CH52">
            <v>28918.663136588177</v>
          </cell>
          <cell r="CI52">
            <v>28918.663136588177</v>
          </cell>
          <cell r="CJ52">
            <v>28918.663136588177</v>
          </cell>
          <cell r="CK52">
            <v>28918.663136588177</v>
          </cell>
          <cell r="CL52">
            <v>28918.663136588177</v>
          </cell>
          <cell r="CM52">
            <v>28918.663136588177</v>
          </cell>
          <cell r="CN52">
            <v>28918.663136588177</v>
          </cell>
          <cell r="FB52" t="str">
            <v>LIHTC/HRTC</v>
          </cell>
          <cell r="FC52">
            <v>0</v>
          </cell>
          <cell r="FD52">
            <v>0</v>
          </cell>
          <cell r="FE52">
            <v>0</v>
          </cell>
          <cell r="FF52">
            <v>0</v>
          </cell>
          <cell r="FG52">
            <v>0</v>
          </cell>
          <cell r="FH52">
            <v>0</v>
          </cell>
          <cell r="FI52">
            <v>0</v>
          </cell>
          <cell r="FJ52">
            <v>0</v>
          </cell>
          <cell r="FK52">
            <v>0</v>
          </cell>
          <cell r="FV52" t="str">
            <v>Beginning Balance</v>
          </cell>
          <cell r="FX52">
            <v>6220758.9290131936</v>
          </cell>
          <cell r="FY52">
            <v>5888720.243257327</v>
          </cell>
          <cell r="FZ52">
            <v>5861594.1865146533</v>
          </cell>
          <cell r="GA52">
            <v>5834468.1297719795</v>
          </cell>
          <cell r="GB52">
            <v>5807342.0730293058</v>
          </cell>
          <cell r="GC52">
            <v>5780216.016286632</v>
          </cell>
          <cell r="GD52">
            <v>5754007.9595439574</v>
          </cell>
          <cell r="GE52">
            <v>5727799.9028012827</v>
          </cell>
          <cell r="GF52">
            <v>5706190.3874871796</v>
          </cell>
          <cell r="GG52">
            <v>5684580.8721730774</v>
          </cell>
        </row>
        <row r="53">
          <cell r="AU53" t="str">
            <v xml:space="preserve">    Mortgagee Fee (Inc Legal &amp; Arch)</v>
          </cell>
          <cell r="AV53">
            <v>1.4999999999999999E-2</v>
          </cell>
          <cell r="AW53">
            <v>380.39636363636362</v>
          </cell>
          <cell r="AX53">
            <v>0.79361069385649474</v>
          </cell>
          <cell r="AY53">
            <v>104609</v>
          </cell>
          <cell r="AZ53">
            <v>104609</v>
          </cell>
          <cell r="BA53">
            <v>10000</v>
          </cell>
          <cell r="BC53">
            <v>0</v>
          </cell>
          <cell r="BD53">
            <v>0</v>
          </cell>
          <cell r="BE53">
            <v>104609</v>
          </cell>
          <cell r="BG53">
            <v>104609</v>
          </cell>
          <cell r="BH53">
            <v>0</v>
          </cell>
          <cell r="FB53" t="str">
            <v>Taxes Paid</v>
          </cell>
          <cell r="FC53">
            <v>0</v>
          </cell>
          <cell r="FD53">
            <v>0</v>
          </cell>
          <cell r="FE53">
            <v>0</v>
          </cell>
          <cell r="FF53">
            <v>0</v>
          </cell>
          <cell r="FG53">
            <v>0</v>
          </cell>
          <cell r="FH53">
            <v>0</v>
          </cell>
          <cell r="FI53">
            <v>0</v>
          </cell>
          <cell r="FJ53">
            <v>0</v>
          </cell>
          <cell r="FK53">
            <v>0</v>
          </cell>
          <cell r="FV53" t="str">
            <v xml:space="preserve"> + Profit/Gain</v>
          </cell>
          <cell r="FX53">
            <v>0</v>
          </cell>
          <cell r="FY53">
            <v>317764.4325758114</v>
          </cell>
          <cell r="FZ53">
            <v>339912.98057173751</v>
          </cell>
          <cell r="GA53">
            <v>362798.97838272853</v>
          </cell>
          <cell r="GB53">
            <v>386448.37954920856</v>
          </cell>
          <cell r="GC53">
            <v>411806.11718471092</v>
          </cell>
          <cell r="GD53">
            <v>437064.14390803687</v>
          </cell>
          <cell r="GE53">
            <v>467768.01495525264</v>
          </cell>
          <cell r="GF53">
            <v>494750.76598167396</v>
          </cell>
          <cell r="GG53">
            <v>522642.2070679462</v>
          </cell>
        </row>
        <row r="54">
          <cell r="AU54" t="str">
            <v xml:space="preserve">    Title and Recording</v>
          </cell>
          <cell r="AV54" t="str">
            <v xml:space="preserve"> </v>
          </cell>
          <cell r="AW54">
            <v>90.909090909090907</v>
          </cell>
          <cell r="AX54">
            <v>0.18966118925152109</v>
          </cell>
          <cell r="AY54">
            <v>25000</v>
          </cell>
          <cell r="AZ54">
            <v>25000</v>
          </cell>
          <cell r="BC54">
            <v>0</v>
          </cell>
          <cell r="BD54">
            <v>0</v>
          </cell>
          <cell r="BE54">
            <v>25000</v>
          </cell>
          <cell r="BG54">
            <v>25000</v>
          </cell>
          <cell r="BH54">
            <v>0</v>
          </cell>
          <cell r="BZ54" t="str">
            <v>Income After Debt Service</v>
          </cell>
          <cell r="CC54">
            <v>-9242.311294765841</v>
          </cell>
          <cell r="CD54">
            <v>-4407.2821390398203</v>
          </cell>
          <cell r="CE54">
            <v>-51824.614988804686</v>
          </cell>
          <cell r="CF54">
            <v>-46988.854761939903</v>
          </cell>
          <cell r="CG54">
            <v>-42151.997928366967</v>
          </cell>
          <cell r="CH54">
            <v>-37314.044488085878</v>
          </cell>
          <cell r="CI54">
            <v>-32474.994441096649</v>
          </cell>
          <cell r="CJ54">
            <v>-27634.847787399274</v>
          </cell>
          <cell r="CK54">
            <v>-22793.604526993739</v>
          </cell>
          <cell r="CL54">
            <v>-17951.264659880064</v>
          </cell>
          <cell r="CM54">
            <v>-13107.828186058243</v>
          </cell>
          <cell r="CN54">
            <v>-8263.2951055282538</v>
          </cell>
          <cell r="FV54" t="str">
            <v xml:space="preserve"> -Losses</v>
          </cell>
          <cell r="FX54">
            <v>-258120.73969074106</v>
          </cell>
          <cell r="FY54">
            <v>0</v>
          </cell>
          <cell r="FZ54">
            <v>0</v>
          </cell>
          <cell r="GA54">
            <v>0</v>
          </cell>
          <cell r="GB54">
            <v>0</v>
          </cell>
          <cell r="GC54">
            <v>0</v>
          </cell>
          <cell r="GD54">
            <v>0</v>
          </cell>
          <cell r="GE54">
            <v>0</v>
          </cell>
          <cell r="GF54">
            <v>0</v>
          </cell>
          <cell r="GG54">
            <v>0</v>
          </cell>
        </row>
        <row r="55">
          <cell r="AU55" t="str">
            <v xml:space="preserve">    Borrower Legal</v>
          </cell>
          <cell r="AV55" t="str">
            <v xml:space="preserve"> </v>
          </cell>
          <cell r="AW55">
            <v>54.545454545454547</v>
          </cell>
          <cell r="AX55">
            <v>0.11379671355091266</v>
          </cell>
          <cell r="AY55">
            <v>15000</v>
          </cell>
          <cell r="AZ55">
            <v>15000</v>
          </cell>
          <cell r="BC55">
            <v>15000</v>
          </cell>
          <cell r="BD55">
            <v>0</v>
          </cell>
          <cell r="BG55">
            <v>15000</v>
          </cell>
          <cell r="BH55">
            <v>15000</v>
          </cell>
          <cell r="BZ55" t="str">
            <v>Operating Deficit</v>
          </cell>
          <cell r="CC55">
            <v>-9242.311294765841</v>
          </cell>
          <cell r="CD55">
            <v>-4407.2821390398203</v>
          </cell>
          <cell r="CE55">
            <v>-51824.614988804686</v>
          </cell>
          <cell r="CF55">
            <v>-46988.854761939903</v>
          </cell>
          <cell r="CG55">
            <v>-42151.997928366967</v>
          </cell>
          <cell r="CH55">
            <v>-37314.044488085878</v>
          </cell>
          <cell r="CI55">
            <v>-32474.994441096649</v>
          </cell>
          <cell r="CJ55">
            <v>-27634.847787399274</v>
          </cell>
          <cell r="CK55">
            <v>-22793.604526993739</v>
          </cell>
          <cell r="CL55">
            <v>-17951.264659880064</v>
          </cell>
          <cell r="CM55">
            <v>-13107.828186058243</v>
          </cell>
          <cell r="CN55">
            <v>-8263.2951055282538</v>
          </cell>
          <cell r="FV55" t="str">
            <v xml:space="preserve"> -Cash Distribution</v>
          </cell>
          <cell r="FX55">
            <v>-24693.294765840401</v>
          </cell>
          <cell r="FY55">
            <v>-282983.78236094187</v>
          </cell>
          <cell r="FZ55">
            <v>-301884.01456094184</v>
          </cell>
          <cell r="GA55">
            <v>-321351.25372694171</v>
          </cell>
          <cell r="GB55">
            <v>-341402.51006792171</v>
          </cell>
          <cell r="GC55">
            <v>-362055.30409913103</v>
          </cell>
          <cell r="GD55">
            <v>-383327.68195127667</v>
          </cell>
          <cell r="GE55">
            <v>-405238.23113898677</v>
          </cell>
          <cell r="GF55">
            <v>-427806.09680232796</v>
          </cell>
          <cell r="GG55">
            <v>-451050.99843556958</v>
          </cell>
        </row>
        <row r="56">
          <cell r="AU56" t="str">
            <v xml:space="preserve">    Accounting/Organization</v>
          </cell>
          <cell r="AV56" t="str">
            <v xml:space="preserve"> </v>
          </cell>
          <cell r="AW56">
            <v>18.181818181818183</v>
          </cell>
          <cell r="AX56">
            <v>3.7932237850304217E-2</v>
          </cell>
          <cell r="AY56">
            <v>5000</v>
          </cell>
          <cell r="AZ56">
            <v>5000</v>
          </cell>
          <cell r="BC56">
            <v>5000</v>
          </cell>
          <cell r="BD56">
            <v>0</v>
          </cell>
          <cell r="BG56">
            <v>5000</v>
          </cell>
          <cell r="BH56">
            <v>5000</v>
          </cell>
          <cell r="BZ56" t="str">
            <v>Cumulative Operating Deficit</v>
          </cell>
          <cell r="CC56">
            <v>-9242.311294765841</v>
          </cell>
          <cell r="CD56">
            <v>-4407.2821390398203</v>
          </cell>
          <cell r="CE56">
            <v>-56231.89712784451</v>
          </cell>
          <cell r="CF56">
            <v>-103220.75188978441</v>
          </cell>
          <cell r="CG56">
            <v>-145372.74981815138</v>
          </cell>
          <cell r="CH56">
            <v>-182686.79430623725</v>
          </cell>
          <cell r="CI56">
            <v>-215161.78874733389</v>
          </cell>
          <cell r="CJ56">
            <v>-242796.63653473317</v>
          </cell>
          <cell r="CK56">
            <v>-265590.24106172693</v>
          </cell>
          <cell r="CL56">
            <v>-283541.50572160701</v>
          </cell>
          <cell r="CM56">
            <v>-296649.33390766528</v>
          </cell>
          <cell r="CN56">
            <v>-304912.62901319354</v>
          </cell>
          <cell r="FV56" t="str">
            <v xml:space="preserve"> +Add'l Contribution</v>
          </cell>
          <cell r="FX56">
            <v>0</v>
          </cell>
          <cell r="FY56">
            <v>0</v>
          </cell>
          <cell r="FZ56">
            <v>0</v>
          </cell>
          <cell r="GA56">
            <v>0</v>
          </cell>
          <cell r="GB56">
            <v>0</v>
          </cell>
          <cell r="GC56">
            <v>0</v>
          </cell>
          <cell r="GD56">
            <v>0</v>
          </cell>
          <cell r="GE56">
            <v>0</v>
          </cell>
          <cell r="GF56">
            <v>0</v>
          </cell>
          <cell r="GG56">
            <v>0</v>
          </cell>
        </row>
        <row r="57">
          <cell r="AU57" t="str">
            <v xml:space="preserve">    FHA Exam Fee</v>
          </cell>
          <cell r="AV57">
            <v>3.0000000000000001E-3</v>
          </cell>
          <cell r="AW57">
            <v>61.533818181818177</v>
          </cell>
          <cell r="AX57">
            <v>0.12837634849105559</v>
          </cell>
          <cell r="AY57">
            <v>16921.8</v>
          </cell>
          <cell r="AZ57">
            <v>16921.8</v>
          </cell>
          <cell r="BA57">
            <v>5584.1940000000004</v>
          </cell>
          <cell r="BC57">
            <v>16921.8</v>
          </cell>
          <cell r="BD57">
            <v>0</v>
          </cell>
          <cell r="BG57">
            <v>16921.8</v>
          </cell>
          <cell r="BH57">
            <v>16921.8</v>
          </cell>
          <cell r="FV57" t="str">
            <v xml:space="preserve"> + Increase QND</v>
          </cell>
          <cell r="FX57">
            <v>0</v>
          </cell>
          <cell r="FY57">
            <v>0</v>
          </cell>
          <cell r="FZ57">
            <v>0</v>
          </cell>
          <cell r="GA57">
            <v>0</v>
          </cell>
          <cell r="GB57">
            <v>0</v>
          </cell>
          <cell r="GC57">
            <v>0</v>
          </cell>
          <cell r="GD57">
            <v>0</v>
          </cell>
          <cell r="GE57">
            <v>0</v>
          </cell>
          <cell r="GF57">
            <v>0</v>
          </cell>
          <cell r="GG57">
            <v>0</v>
          </cell>
        </row>
        <row r="58">
          <cell r="AU58" t="str">
            <v xml:space="preserve">   FHA Inspection Fee @ $30 per unit</v>
          </cell>
          <cell r="AW58">
            <v>30</v>
          </cell>
          <cell r="AY58">
            <v>8250</v>
          </cell>
          <cell r="AZ58">
            <v>8250</v>
          </cell>
          <cell r="FV58" t="str">
            <v xml:space="preserve"> - Decrease QND</v>
          </cell>
          <cell r="FX58">
            <v>-49224.651299286037</v>
          </cell>
          <cell r="FY58">
            <v>-61906.706957543487</v>
          </cell>
          <cell r="FZ58">
            <v>-65155.022753469777</v>
          </cell>
          <cell r="GA58">
            <v>-68573.781398460866</v>
          </cell>
          <cell r="GB58">
            <v>-72171.926223960691</v>
          </cell>
          <cell r="GC58">
            <v>-75958.869828253853</v>
          </cell>
          <cell r="GD58">
            <v>-79944.518699434193</v>
          </cell>
          <cell r="GE58">
            <v>-84139.29913036857</v>
          </cell>
          <cell r="GF58">
            <v>-88554.184493448571</v>
          </cell>
          <cell r="GG58">
            <v>-93200.723946479324</v>
          </cell>
        </row>
        <row r="59">
          <cell r="AU59" t="str">
            <v xml:space="preserve">             Subtotal:</v>
          </cell>
          <cell r="AW59">
            <v>891.95745454545454</v>
          </cell>
          <cell r="AX59">
            <v>1.8608668274993552</v>
          </cell>
          <cell r="AY59">
            <v>245288.3</v>
          </cell>
          <cell r="AZ59">
            <v>245288.3</v>
          </cell>
          <cell r="BA59">
            <v>15584.194</v>
          </cell>
          <cell r="BB59">
            <v>0</v>
          </cell>
          <cell r="BC59">
            <v>93327.8</v>
          </cell>
          <cell r="BD59">
            <v>0</v>
          </cell>
          <cell r="BE59">
            <v>143710.5</v>
          </cell>
          <cell r="BG59">
            <v>245288.3</v>
          </cell>
          <cell r="BH59">
            <v>93327.8</v>
          </cell>
          <cell r="FV59" t="str">
            <v xml:space="preserve"> + Gain on Sale of Asset</v>
          </cell>
        </row>
        <row r="61">
          <cell r="FW61" t="str">
            <v>Total:</v>
          </cell>
          <cell r="FX61">
            <v>5888720.243257327</v>
          </cell>
          <cell r="FY61">
            <v>5861594.1865146533</v>
          </cell>
          <cell r="FZ61">
            <v>5834468.1297719795</v>
          </cell>
          <cell r="GA61">
            <v>5807342.0730293058</v>
          </cell>
          <cell r="GB61">
            <v>5780216.016286632</v>
          </cell>
          <cell r="GC61">
            <v>5754007.9595439574</v>
          </cell>
          <cell r="GD61">
            <v>5727799.9028012827</v>
          </cell>
          <cell r="GE61">
            <v>5706190.3874871796</v>
          </cell>
          <cell r="GF61">
            <v>5684580.8721730774</v>
          </cell>
          <cell r="GG61">
            <v>5662971.3568589743</v>
          </cell>
        </row>
        <row r="66">
          <cell r="AU66" t="str">
            <v xml:space="preserve">    Construction Contingency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C66">
            <v>0</v>
          </cell>
          <cell r="BD66">
            <v>0</v>
          </cell>
          <cell r="BG66">
            <v>0</v>
          </cell>
          <cell r="BH66">
            <v>0</v>
          </cell>
        </row>
        <row r="67">
          <cell r="AU67" t="str">
            <v xml:space="preserve">    BSPRA/Development Fee</v>
          </cell>
          <cell r="AV67" t="str">
            <v xml:space="preserve"> 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C67">
            <v>0</v>
          </cell>
          <cell r="BD67">
            <v>0</v>
          </cell>
          <cell r="BG67">
            <v>0</v>
          </cell>
          <cell r="BH67">
            <v>0</v>
          </cell>
        </row>
        <row r="68">
          <cell r="AU68" t="str">
            <v xml:space="preserve">    Good Faith Deposit</v>
          </cell>
          <cell r="AV68" t="str">
            <v xml:space="preserve"> 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C68">
            <v>0</v>
          </cell>
          <cell r="BD68">
            <v>0</v>
          </cell>
          <cell r="BE68">
            <v>0</v>
          </cell>
          <cell r="BG68">
            <v>0</v>
          </cell>
          <cell r="BH68">
            <v>0</v>
          </cell>
        </row>
        <row r="69">
          <cell r="AU69" t="str">
            <v xml:space="preserve">    Marketing Leasing and Advertising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C69">
            <v>0</v>
          </cell>
          <cell r="BD69">
            <v>0</v>
          </cell>
          <cell r="BE69">
            <v>0</v>
          </cell>
          <cell r="BG69">
            <v>0</v>
          </cell>
          <cell r="BH69">
            <v>0</v>
          </cell>
        </row>
        <row r="70">
          <cell r="AU70" t="str">
            <v xml:space="preserve">    LIHTC Fees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C70">
            <v>0</v>
          </cell>
          <cell r="BD70">
            <v>0</v>
          </cell>
          <cell r="BE70">
            <v>0</v>
          </cell>
          <cell r="BG70">
            <v>0</v>
          </cell>
          <cell r="BH70">
            <v>0</v>
          </cell>
        </row>
        <row r="71">
          <cell r="AU71" t="str">
            <v>Apprasial</v>
          </cell>
          <cell r="AW71">
            <v>23.636363636363637</v>
          </cell>
          <cell r="AX71">
            <v>4.9311909205395479E-2</v>
          </cell>
          <cell r="AY71">
            <v>6500</v>
          </cell>
          <cell r="AZ71">
            <v>6500</v>
          </cell>
          <cell r="BB71">
            <v>0</v>
          </cell>
          <cell r="BC71">
            <v>0</v>
          </cell>
          <cell r="BD71">
            <v>0</v>
          </cell>
          <cell r="BE71">
            <v>6500</v>
          </cell>
          <cell r="BG71">
            <v>6500</v>
          </cell>
          <cell r="BH71">
            <v>0</v>
          </cell>
        </row>
        <row r="72">
          <cell r="AU72" t="str">
            <v>PCNA Report</v>
          </cell>
          <cell r="AV72" t="str">
            <v xml:space="preserve"> </v>
          </cell>
          <cell r="AW72">
            <v>16.690909090909091</v>
          </cell>
          <cell r="AX72">
            <v>3.4821794346579268E-2</v>
          </cell>
          <cell r="AY72">
            <v>4590</v>
          </cell>
          <cell r="AZ72">
            <v>4590</v>
          </cell>
          <cell r="BC72">
            <v>0</v>
          </cell>
          <cell r="BD72">
            <v>0</v>
          </cell>
          <cell r="BE72">
            <v>4590</v>
          </cell>
          <cell r="BG72">
            <v>4590</v>
          </cell>
          <cell r="BH72">
            <v>0</v>
          </cell>
        </row>
        <row r="73">
          <cell r="AU73" t="str">
            <v xml:space="preserve">    Bond Issue Lag Reserve</v>
          </cell>
          <cell r="AV73" t="str">
            <v xml:space="preserve"> 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G73">
            <v>0</v>
          </cell>
          <cell r="BH73">
            <v>0</v>
          </cell>
        </row>
        <row r="74">
          <cell r="AU74" t="str">
            <v xml:space="preserve">    Partnership Legal/Acct. Fee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C74">
            <v>0</v>
          </cell>
          <cell r="BD74">
            <v>0</v>
          </cell>
          <cell r="BG74">
            <v>0</v>
          </cell>
          <cell r="BH74">
            <v>0</v>
          </cell>
        </row>
        <row r="75">
          <cell r="AU75" t="str">
            <v xml:space="preserve">    Bond Issue Negative Arbitrage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C75">
            <v>0</v>
          </cell>
          <cell r="BD75">
            <v>0</v>
          </cell>
          <cell r="BG75">
            <v>0</v>
          </cell>
          <cell r="BH75">
            <v>0</v>
          </cell>
        </row>
        <row r="76">
          <cell r="AW76">
            <v>0</v>
          </cell>
        </row>
        <row r="77">
          <cell r="AU77" t="str">
            <v xml:space="preserve">             Subtotal:</v>
          </cell>
          <cell r="AW77">
            <v>40.327272727272728</v>
          </cell>
          <cell r="AX77">
            <v>8.4133703551974748E-2</v>
          </cell>
          <cell r="AY77">
            <v>11090</v>
          </cell>
          <cell r="AZ77">
            <v>11090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11090</v>
          </cell>
          <cell r="BF77">
            <v>0</v>
          </cell>
          <cell r="BG77">
            <v>11090</v>
          </cell>
          <cell r="BH77">
            <v>0</v>
          </cell>
        </row>
        <row r="78">
          <cell r="AW78">
            <v>0</v>
          </cell>
        </row>
        <row r="79">
          <cell r="AW79">
            <v>0</v>
          </cell>
        </row>
        <row r="80">
          <cell r="AU80" t="str">
            <v xml:space="preserve">    Building Shell (Rehabilitation Only)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G80">
            <v>0</v>
          </cell>
          <cell r="BH80">
            <v>0</v>
          </cell>
        </row>
        <row r="81">
          <cell r="AU81" t="str">
            <v xml:space="preserve">    Land Value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G81">
            <v>0</v>
          </cell>
          <cell r="BH81">
            <v>0</v>
          </cell>
        </row>
        <row r="82">
          <cell r="AU82" t="str">
            <v xml:space="preserve">    Existing Indebtedness </v>
          </cell>
          <cell r="AY82">
            <v>4733766</v>
          </cell>
          <cell r="AZ82">
            <v>4733766</v>
          </cell>
        </row>
        <row r="84">
          <cell r="AW84" t="str">
            <v>Total Project Costs</v>
          </cell>
          <cell r="BD84" t="str">
            <v>Tax Credit Basis</v>
          </cell>
        </row>
        <row r="85">
          <cell r="AW85" t="str">
            <v>Per Unit</v>
          </cell>
          <cell r="AX85" t="str">
            <v>Per Gross S.F.</v>
          </cell>
          <cell r="AY85" t="str">
            <v>Total Budget</v>
          </cell>
          <cell r="AZ85" t="str">
            <v>FHA Budget</v>
          </cell>
          <cell r="BA85" t="str">
            <v>Pre-Construct Budget</v>
          </cell>
          <cell r="BB85" t="str">
            <v>Non-Depreciable</v>
          </cell>
          <cell r="BC85" t="str">
            <v>Residential</v>
          </cell>
          <cell r="BD85" t="str">
            <v>Commercial</v>
          </cell>
          <cell r="BE85" t="str">
            <v>Amortized</v>
          </cell>
          <cell r="BF85" t="str">
            <v>Expensed</v>
          </cell>
          <cell r="BG85" t="str">
            <v>Total</v>
          </cell>
          <cell r="BH85" t="str">
            <v>Historic Rehabilitation</v>
          </cell>
        </row>
        <row r="87">
          <cell r="AU87" t="str">
            <v>Total Project Costs:</v>
          </cell>
          <cell r="AW87">
            <v>3297.6229090909092</v>
          </cell>
          <cell r="AX87">
            <v>6.8797419090536671</v>
          </cell>
          <cell r="AY87">
            <v>5640612.2999999998</v>
          </cell>
          <cell r="AZ87">
            <v>5640612.2999999998</v>
          </cell>
          <cell r="BA87">
            <v>15584.194</v>
          </cell>
          <cell r="BB87">
            <v>0</v>
          </cell>
          <cell r="BC87">
            <v>643795.80000000005</v>
          </cell>
          <cell r="BD87">
            <v>100000</v>
          </cell>
          <cell r="BE87">
            <v>154800.5</v>
          </cell>
          <cell r="BF87">
            <v>0</v>
          </cell>
          <cell r="BG87">
            <v>898596.3</v>
          </cell>
          <cell r="BH87">
            <v>743795.8</v>
          </cell>
        </row>
        <row r="89">
          <cell r="AU89" t="str">
            <v>Mortgage as a % of Total Project Costs:</v>
          </cell>
          <cell r="AY89">
            <v>0.999997819385672</v>
          </cell>
          <cell r="AZ89">
            <v>0.999997819385672</v>
          </cell>
        </row>
        <row r="93">
          <cell r="BA93">
            <v>366438.76</v>
          </cell>
        </row>
      </sheetData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Ad Valorem Tax Analysis"/>
      <sheetName val="Summ"/>
      <sheetName val="Land Grid"/>
      <sheetName val="Cost Approach"/>
      <sheetName val="Rent Comp Grid"/>
      <sheetName val="Expense Comps &amp; Forecast"/>
      <sheetName val="Lease Up"/>
      <sheetName val="Direct Cap."/>
      <sheetName val="DCF "/>
      <sheetName val="Improved Sales Comp."/>
    </sheetNames>
    <sheetDataSet>
      <sheetData sheetId="0" refreshError="1">
        <row r="4">
          <cell r="B4" t="str">
            <v>HCC Information Technology Building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/>
      <sheetData sheetId="8" refreshError="1"/>
      <sheetData sheetId="9"/>
      <sheetData sheetId="1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Rate Build-up"/>
      <sheetName val="CAL,RLL,ARM"/>
      <sheetName val="FNMA Bond"/>
      <sheetName val="Bifurcation Analysis"/>
      <sheetName val="Rent Roll"/>
      <sheetName val="PRO FORMA"/>
      <sheetName val="IncExp Summary"/>
      <sheetName val="SOURCE AND USE"/>
      <sheetName val="Int. and RU Reserve"/>
      <sheetName val="S&amp;U Recap"/>
      <sheetName val="Acq-Fwd S&amp;U"/>
      <sheetName val="Debt Exit Strategy"/>
      <sheetName val="PNA"/>
      <sheetName val="Sizing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&amp;U Summary"/>
      <sheetName val="P2&amp;P4 Waterfall"/>
      <sheetName val="Consolidated Cash Flows"/>
      <sheetName val="L-A Peak Equity Summary"/>
      <sheetName val="P2&amp;P4 Assum"/>
      <sheetName val="P2&amp;P4 Mon"/>
      <sheetName val="P2&amp;P4 Ann"/>
      <sheetName val="Consolidated annual Phase 1"/>
      <sheetName val="P2B1 Sales"/>
      <sheetName val="P2B2 Sales"/>
      <sheetName val="P4B1 Matrix"/>
      <sheetName val="P4B2 Sales"/>
      <sheetName val="Dean Phase 1"/>
      <sheetName val="P4B1 Condos"/>
      <sheetName val="P4Apt-condo Assum"/>
      <sheetName val="P4B1 50% Assumptions"/>
      <sheetName val="P4B1 50% each"/>
      <sheetName val="P4B1 50% Argus"/>
      <sheetName val="Dean Phase 1A"/>
      <sheetName val="Dean Phase 2"/>
      <sheetName val="P1&amp;P5 Sales Matrix"/>
      <sheetName val="P4Apt CF"/>
      <sheetName val="P4Apt arg"/>
      <sheetName val="Land Allocation"/>
      <sheetName val="P1&amp;P5 Sum"/>
      <sheetName val="P1&amp;P5 Assum"/>
      <sheetName val="P1&amp;P5 Mon"/>
      <sheetName val="P1&amp;P5 Ann"/>
      <sheetName val="P1 Mon"/>
      <sheetName val="P1 Assum "/>
      <sheetName val="P1 Ann "/>
      <sheetName val="P5Apt  Assum"/>
      <sheetName val="P5Apt CF"/>
      <sheetName val="P5Apt arg"/>
      <sheetName val="Consolidated CF"/>
      <sheetName val="Consolidation"/>
      <sheetName val="P2&amp;P4 Sales 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5399165362"/>
      <sheetName val="Template"/>
      <sheetName val="Sheet3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 Yr Rate Curves"/>
      <sheetName val="Lakeland s3- Exec Summary (1)"/>
      <sheetName val="Lakeland s3- HUD Calcs (2)"/>
      <sheetName val="Lakeland Const Sched"/>
      <sheetName val="Lakeland s3- Pro Forma (3)"/>
      <sheetName val="Lakeland s3- HUD Loan Amort (4)"/>
      <sheetName val="Lakeland s3-IRRWorksht10Yr (5)"/>
      <sheetName val="Lakeland s3 - Waterfall (6)"/>
      <sheetName val="Project Data Sheet"/>
      <sheetName val="Storage Unit SF"/>
      <sheetName val="Lakeland RE Taxes"/>
      <sheetName val="Adroc HUD Terms"/>
      <sheetName val="2328 - GC Fee"/>
      <sheetName val="Other costs"/>
      <sheetName val="HUD Fees"/>
      <sheetName val="Lakeland A&amp;E"/>
      <sheetName val="Lakeland Interiors"/>
      <sheetName val="Lakeland Const Cost"/>
      <sheetName val="Lakeland Unit Mix"/>
      <sheetName val="Lakeland Comps"/>
      <sheetName val="Lakeland Impact Fees"/>
      <sheetName val="Storage Units"/>
      <sheetName val="FFE"/>
      <sheetName val="Other Fee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 EB-5 (1)"/>
      <sheetName val="Exec Summary (2)"/>
      <sheetName val="HUD Calculations (3)"/>
      <sheetName val="Sheet1"/>
      <sheetName val="Jordan Break-out"/>
      <sheetName val="rent work sheet"/>
      <sheetName val="Pro Forma (4)"/>
      <sheetName val="Construction Cash Flow (5)"/>
      <sheetName val="Sheet2"/>
      <sheetName val="Rents &amp; Mix 9-5-14"/>
      <sheetName val="Sheet3"/>
      <sheetName val="Tax Credit Calc (4)"/>
      <sheetName val="Operating Workshheet"/>
      <sheetName val="Bond Related Costs (5)"/>
      <sheetName val="Loan Amortization (6)"/>
      <sheetName val="Statutory Limits 2013"/>
      <sheetName val="Income Limits Rent calcs"/>
      <sheetName val="City of Dallas Loan 1"/>
      <sheetName val="Operating Deficit"/>
      <sheetName val="IRR Worksheet 10 Yr (7)"/>
      <sheetName val="Predevelopment Costs (8)"/>
      <sheetName val="Development Budget (9)"/>
      <sheetName val="HUD 2328 &amp; Soft Costs (10)"/>
      <sheetName val="Sheet4"/>
    </sheetNames>
    <sheetDataSet>
      <sheetData sheetId="0"/>
      <sheetData sheetId="1"/>
      <sheetData sheetId="2">
        <row r="1">
          <cell r="B1" t="str">
            <v>Proposed Dev</v>
          </cell>
        </row>
      </sheetData>
      <sheetData sheetId="3"/>
      <sheetData sheetId="4"/>
      <sheetData sheetId="5"/>
      <sheetData sheetId="6"/>
      <sheetData sheetId="7">
        <row r="13">
          <cell r="D13">
            <v>3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peterpurcell@polk-county.net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BD7B-BE24-704F-B22F-A58F5CADA887}">
  <sheetPr codeName="Sheet13">
    <outlinePr summaryBelow="0"/>
  </sheetPr>
  <dimension ref="B1:F12"/>
  <sheetViews>
    <sheetView showGridLines="0" workbookViewId="0">
      <selection activeCell="I19" sqref="I19"/>
    </sheetView>
  </sheetViews>
  <sheetFormatPr baseColWidth="10" defaultRowHeight="16" outlineLevelRow="1" outlineLevelCol="1"/>
  <cols>
    <col min="3" max="3" width="6.5" bestFit="1" customWidth="1"/>
    <col min="4" max="5" width="12.6640625" bestFit="1" customWidth="1" outlineLevel="1"/>
  </cols>
  <sheetData>
    <row r="1" spans="2:6" ht="17" thickBot="1"/>
    <row r="2" spans="2:6" ht="19">
      <c r="B2" s="564" t="s">
        <v>467</v>
      </c>
      <c r="C2" s="564"/>
      <c r="D2" s="569"/>
      <c r="E2" s="569"/>
    </row>
    <row r="3" spans="2:6" ht="19" collapsed="1">
      <c r="B3" s="563"/>
      <c r="C3" s="563"/>
      <c r="D3" s="570" t="s">
        <v>469</v>
      </c>
      <c r="E3" s="570" t="s">
        <v>464</v>
      </c>
    </row>
    <row r="4" spans="2:6" ht="36" hidden="1" outlineLevel="1">
      <c r="B4" s="566"/>
      <c r="C4" s="566"/>
      <c r="D4" s="560"/>
      <c r="E4" s="572" t="s">
        <v>466</v>
      </c>
    </row>
    <row r="5" spans="2:6">
      <c r="B5" s="567" t="s">
        <v>468</v>
      </c>
      <c r="C5" s="567"/>
      <c r="D5" s="565"/>
      <c r="E5" s="565"/>
    </row>
    <row r="6" spans="2:6" outlineLevel="1">
      <c r="B6" s="566"/>
      <c r="C6" s="566" t="s">
        <v>465</v>
      </c>
      <c r="D6" s="561">
        <v>10760000</v>
      </c>
      <c r="E6" s="571">
        <v>2000000</v>
      </c>
    </row>
    <row r="7" spans="2:6">
      <c r="B7" s="567" t="s">
        <v>470</v>
      </c>
      <c r="C7" s="567"/>
      <c r="D7" s="565"/>
      <c r="E7" s="565"/>
    </row>
    <row r="8" spans="2:6" ht="17" outlineLevel="1" thickBot="1">
      <c r="B8" s="568"/>
      <c r="C8" s="568" t="s">
        <v>463</v>
      </c>
      <c r="D8" s="562">
        <v>13300119.3981141</v>
      </c>
      <c r="E8" s="562">
        <v>6299894.7117256904</v>
      </c>
    </row>
    <row r="9" spans="2:6">
      <c r="B9" t="s">
        <v>36</v>
      </c>
      <c r="E9" s="229">
        <f>E6</f>
        <v>2000000</v>
      </c>
    </row>
    <row r="10" spans="2:6">
      <c r="B10" t="s">
        <v>121</v>
      </c>
      <c r="E10" s="229">
        <f>E8-E9</f>
        <v>4299894.7117256904</v>
      </c>
    </row>
    <row r="11" spans="2:6">
      <c r="B11" t="s">
        <v>471</v>
      </c>
      <c r="E11" s="297">
        <f>E10*F11</f>
        <v>429989.47117256909</v>
      </c>
      <c r="F11" s="228">
        <v>0.1</v>
      </c>
    </row>
    <row r="12" spans="2:6">
      <c r="B12" t="s">
        <v>472</v>
      </c>
      <c r="E12" s="300">
        <f>E10-E11</f>
        <v>3869905.2405531211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32A0-0B7B-FA48-B0FB-7C0FD331ED91}">
  <sheetPr codeName="Sheet1">
    <tabColor rgb="FF00B050"/>
    <pageSetUpPr fitToPage="1"/>
  </sheetPr>
  <dimension ref="A2:BD131"/>
  <sheetViews>
    <sheetView topLeftCell="A2" zoomScaleNormal="160" workbookViewId="0">
      <selection activeCell="G21" sqref="G21"/>
    </sheetView>
  </sheetViews>
  <sheetFormatPr baseColWidth="10" defaultColWidth="12.6640625" defaultRowHeight="13"/>
  <cols>
    <col min="1" max="1" width="6.33203125" style="2" customWidth="1"/>
    <col min="2" max="2" width="27.5" style="2" customWidth="1"/>
    <col min="3" max="3" width="18.83203125" style="2" customWidth="1"/>
    <col min="4" max="4" width="12.33203125" style="2" customWidth="1"/>
    <col min="5" max="5" width="9.83203125" style="2" customWidth="1"/>
    <col min="6" max="6" width="15.1640625" style="2" customWidth="1"/>
    <col min="7" max="7" width="15" style="2" customWidth="1"/>
    <col min="8" max="8" width="17.1640625" style="2" customWidth="1"/>
    <col min="9" max="9" width="3.5" style="2" customWidth="1"/>
    <col min="10" max="10" width="19.1640625" style="2" customWidth="1"/>
    <col min="11" max="11" width="15.5" style="2" customWidth="1"/>
    <col min="12" max="12" width="10.6640625" style="2" customWidth="1"/>
    <col min="13" max="14" width="15.5" style="2" customWidth="1"/>
    <col min="15" max="15" width="13" style="2" customWidth="1"/>
    <col min="16" max="16" width="21.1640625" style="2" customWidth="1"/>
    <col min="17" max="17" width="35.5" style="2" customWidth="1"/>
    <col min="18" max="18" width="14.1640625" style="2" customWidth="1"/>
    <col min="19" max="19" width="42" style="2" customWidth="1"/>
    <col min="20" max="21" width="12.1640625" style="2" customWidth="1"/>
    <col min="22" max="22" width="19.1640625" style="2" customWidth="1"/>
    <col min="23" max="16384" width="12.6640625" style="2"/>
  </cols>
  <sheetData>
    <row r="2" spans="2:55" ht="16">
      <c r="B2" s="1" t="s">
        <v>303</v>
      </c>
    </row>
    <row r="3" spans="2:55" ht="16">
      <c r="B3" s="3"/>
      <c r="O3" s="4"/>
      <c r="P3"/>
      <c r="Q3"/>
    </row>
    <row r="4" spans="2:55" ht="16">
      <c r="B4" s="5" t="s">
        <v>0</v>
      </c>
      <c r="O4" s="21"/>
      <c r="P4"/>
      <c r="Q4"/>
    </row>
    <row r="5" spans="2:55" ht="14" thickBot="1">
      <c r="E5" s="424" t="s">
        <v>360</v>
      </c>
      <c r="F5" s="372"/>
      <c r="G5" s="372"/>
      <c r="H5" s="372"/>
      <c r="J5" s="7"/>
      <c r="T5" s="8"/>
    </row>
    <row r="6" spans="2:55" ht="16">
      <c r="B6" s="10" t="s">
        <v>1</v>
      </c>
      <c r="C6" s="105" t="s">
        <v>304</v>
      </c>
      <c r="D6" s="372"/>
      <c r="E6" s="10" t="s">
        <v>361</v>
      </c>
      <c r="F6" s="11"/>
      <c r="G6" s="12">
        <v>5.5E-2</v>
      </c>
      <c r="H6" s="425"/>
      <c r="J6" s="13" t="s">
        <v>2</v>
      </c>
      <c r="O6" s="456"/>
    </row>
    <row r="7" spans="2:55">
      <c r="B7" s="15" t="s">
        <v>3</v>
      </c>
      <c r="C7" s="61"/>
      <c r="E7" s="15" t="s">
        <v>362</v>
      </c>
      <c r="F7" s="14"/>
      <c r="G7" s="16">
        <v>0.65</v>
      </c>
      <c r="H7" s="425"/>
    </row>
    <row r="8" spans="2:55" ht="14" thickBot="1">
      <c r="B8" s="15" t="s">
        <v>4</v>
      </c>
      <c r="C8" s="417" t="s">
        <v>347</v>
      </c>
      <c r="E8" s="15" t="s">
        <v>363</v>
      </c>
      <c r="F8" s="14"/>
      <c r="G8" s="17">
        <v>30</v>
      </c>
      <c r="H8" s="426"/>
      <c r="J8" s="18" t="s">
        <v>6</v>
      </c>
    </row>
    <row r="9" spans="2:55" ht="16">
      <c r="B9" s="15" t="s">
        <v>7</v>
      </c>
      <c r="C9" s="418">
        <v>44805</v>
      </c>
      <c r="E9" s="15" t="s">
        <v>364</v>
      </c>
      <c r="F9" s="41"/>
      <c r="G9" s="17">
        <v>3</v>
      </c>
      <c r="H9" s="426"/>
      <c r="J9" s="10" t="s">
        <v>173</v>
      </c>
      <c r="K9" s="11"/>
      <c r="L9" s="11"/>
      <c r="M9" s="19">
        <f ca="1">O9/$O$13</f>
        <v>0.65</v>
      </c>
      <c r="N9" s="19"/>
      <c r="O9" s="20">
        <f ca="1">'Grand Prairie- Loan Calcs (2)'!J35</f>
        <v>57217401.309118159</v>
      </c>
      <c r="P9" s="21"/>
      <c r="Q9" s="22" t="s">
        <v>8</v>
      </c>
      <c r="R9" s="23"/>
      <c r="S9" s="18"/>
      <c r="T9" s="18"/>
      <c r="U9" s="18"/>
      <c r="V9" s="24"/>
    </row>
    <row r="10" spans="2:55">
      <c r="B10" s="15" t="s">
        <v>9</v>
      </c>
      <c r="C10" s="418">
        <f>C9</f>
        <v>44805</v>
      </c>
      <c r="E10" s="15" t="s">
        <v>348</v>
      </c>
      <c r="F10" s="41"/>
      <c r="G10" s="17">
        <v>5</v>
      </c>
      <c r="J10" s="15" t="s">
        <v>305</v>
      </c>
      <c r="K10" s="14"/>
      <c r="L10" s="25"/>
      <c r="M10" s="25">
        <f ca="1">O10/O13</f>
        <v>0.19999999999999998</v>
      </c>
      <c r="N10" s="25"/>
      <c r="O10" s="375">
        <f ca="1">'Grand Prairie- Loan Amort (4)'!AE13</f>
        <v>17605354.248959433</v>
      </c>
      <c r="Q10" s="27" t="s">
        <v>11</v>
      </c>
      <c r="R10" s="28">
        <f ca="1">O11</f>
        <v>13204015.686719578</v>
      </c>
      <c r="S10" s="18"/>
      <c r="T10" s="18"/>
      <c r="U10" s="18"/>
      <c r="W10" s="29"/>
    </row>
    <row r="11" spans="2:55" ht="14" thickBot="1">
      <c r="B11" s="15" t="s">
        <v>12</v>
      </c>
      <c r="C11" s="61">
        <v>24</v>
      </c>
      <c r="E11" s="54" t="s">
        <v>365</v>
      </c>
      <c r="F11" s="122"/>
      <c r="G11" s="474">
        <v>1.2</v>
      </c>
      <c r="J11" s="15" t="s">
        <v>302</v>
      </c>
      <c r="K11" s="41"/>
      <c r="L11" s="44"/>
      <c r="M11" s="25">
        <f ca="1">O11/$O$13</f>
        <v>0.15000000000000002</v>
      </c>
      <c r="N11" s="25"/>
      <c r="O11" s="35">
        <f ca="1">O13-O9-O10-O12</f>
        <v>13204015.686719578</v>
      </c>
      <c r="Q11" s="42" t="s">
        <v>19</v>
      </c>
      <c r="R11" s="43">
        <f ca="1">SUM(R10:R10)</f>
        <v>13204015.686719578</v>
      </c>
      <c r="S11" s="18"/>
      <c r="T11" s="18"/>
      <c r="U11" s="18"/>
      <c r="V11" s="33"/>
      <c r="W11" s="29"/>
      <c r="AG11" s="34"/>
    </row>
    <row r="12" spans="2:55" ht="14" thickBot="1">
      <c r="B12" s="42" t="s">
        <v>14</v>
      </c>
      <c r="C12" s="441">
        <f>EDATE(C10,C11)</f>
        <v>45536</v>
      </c>
      <c r="H12" s="442"/>
      <c r="J12" s="554"/>
      <c r="K12" s="405"/>
      <c r="L12" s="555"/>
      <c r="M12" s="556"/>
      <c r="N12" s="556"/>
      <c r="O12" s="557"/>
      <c r="Q12" s="3"/>
      <c r="S12" s="36"/>
      <c r="T12" s="36"/>
      <c r="U12" s="36"/>
      <c r="V12" s="37"/>
      <c r="W12" s="37"/>
      <c r="X12" s="37"/>
      <c r="Y12" s="24"/>
      <c r="AA12" s="38"/>
      <c r="AH12" s="34"/>
    </row>
    <row r="13" spans="2:55" ht="14" thickBot="1">
      <c r="B13" s="54" t="s">
        <v>20</v>
      </c>
      <c r="C13" s="439">
        <v>0</v>
      </c>
      <c r="E13" s="421" t="s">
        <v>353</v>
      </c>
      <c r="F13" s="422"/>
      <c r="G13" s="423">
        <v>0.2</v>
      </c>
      <c r="H13" s="443"/>
      <c r="J13" s="42" t="s">
        <v>22</v>
      </c>
      <c r="K13" s="49"/>
      <c r="L13" s="49"/>
      <c r="M13" s="52">
        <f ca="1">SUM(M9:M12)</f>
        <v>1</v>
      </c>
      <c r="N13" s="52"/>
      <c r="O13" s="43">
        <f ca="1">O55</f>
        <v>88026771.24479717</v>
      </c>
      <c r="Q13" s="47" t="s">
        <v>11</v>
      </c>
      <c r="R13" s="48">
        <f ca="1">O11</f>
        <v>13204015.686719578</v>
      </c>
      <c r="S13" s="360"/>
      <c r="T13" s="18"/>
      <c r="U13" s="18"/>
      <c r="X13" s="39"/>
    </row>
    <row r="14" spans="2:55" ht="17" thickBot="1">
      <c r="B14" s="419" t="s">
        <v>18</v>
      </c>
      <c r="C14" s="440" t="s">
        <v>15</v>
      </c>
      <c r="E14" s="15" t="s">
        <v>307</v>
      </c>
      <c r="F14" s="14"/>
      <c r="G14" s="454">
        <v>5.2499999999999998E-2</v>
      </c>
      <c r="H14" s="444"/>
      <c r="J14"/>
      <c r="K14"/>
      <c r="L14"/>
      <c r="M14"/>
      <c r="N14"/>
      <c r="O14"/>
      <c r="AG14" s="34"/>
    </row>
    <row r="15" spans="2:55" ht="14" thickBot="1">
      <c r="B15" s="47" t="s">
        <v>352</v>
      </c>
      <c r="C15" s="469">
        <v>5</v>
      </c>
      <c r="E15" s="15" t="s">
        <v>350</v>
      </c>
      <c r="F15" s="41"/>
      <c r="G15" s="455">
        <v>5</v>
      </c>
      <c r="J15" s="457"/>
      <c r="K15" s="457"/>
      <c r="L15" s="457"/>
      <c r="M15" s="458"/>
      <c r="N15" s="458"/>
      <c r="O15" s="457"/>
      <c r="Q15" s="47" t="s">
        <v>21</v>
      </c>
      <c r="R15" s="48">
        <f ca="1">R11-P30</f>
        <v>13204015.686719578</v>
      </c>
      <c r="W15" s="34"/>
      <c r="BC15" s="45"/>
    </row>
    <row r="16" spans="2:55" ht="17" thickBot="1">
      <c r="E16" s="15" t="s">
        <v>351</v>
      </c>
      <c r="F16" s="14"/>
      <c r="G16" s="455">
        <v>30</v>
      </c>
      <c r="H16" s="443"/>
      <c r="J16" s="457"/>
      <c r="K16" s="459"/>
      <c r="L16" s="459"/>
      <c r="M16" s="459"/>
      <c r="N16" s="459"/>
      <c r="O16" s="457"/>
      <c r="W16" s="34"/>
    </row>
    <row r="17" spans="2:55" ht="17" thickBot="1">
      <c r="B17" s="10" t="s">
        <v>10</v>
      </c>
      <c r="C17" s="12">
        <v>0.05</v>
      </c>
      <c r="E17" s="54" t="s">
        <v>308</v>
      </c>
      <c r="F17" s="122"/>
      <c r="G17" s="427">
        <f>G16</f>
        <v>30</v>
      </c>
      <c r="H17" s="450"/>
      <c r="I17" s="362"/>
      <c r="J17"/>
      <c r="K17"/>
      <c r="L17"/>
      <c r="M17"/>
      <c r="N17"/>
      <c r="O17"/>
      <c r="T17" s="18"/>
      <c r="AD17" s="29"/>
      <c r="AG17" s="34"/>
    </row>
    <row r="18" spans="2:55" ht="14" thickBot="1">
      <c r="B18" s="367" t="s">
        <v>13</v>
      </c>
      <c r="C18" s="414">
        <v>0.03</v>
      </c>
      <c r="E18" s="453"/>
      <c r="H18" s="445"/>
      <c r="J18" s="18" t="s">
        <v>28</v>
      </c>
      <c r="K18" s="18"/>
      <c r="M18" s="57" t="s">
        <v>29</v>
      </c>
      <c r="N18" s="57"/>
      <c r="O18" s="18"/>
      <c r="T18" s="18"/>
      <c r="U18" s="50"/>
      <c r="AD18" s="29"/>
      <c r="AG18" s="29"/>
      <c r="BB18" s="51"/>
    </row>
    <row r="19" spans="2:55" ht="16">
      <c r="B19" s="415" t="s">
        <v>16</v>
      </c>
      <c r="C19" s="416">
        <f ca="1">(O9+O10)/(O13)</f>
        <v>0.85</v>
      </c>
      <c r="E19"/>
      <c r="F19"/>
      <c r="G19"/>
      <c r="H19" s="426"/>
      <c r="J19" s="466"/>
      <c r="K19" s="467"/>
      <c r="L19" s="468"/>
      <c r="M19" s="467"/>
      <c r="N19" s="467"/>
      <c r="O19" s="120"/>
      <c r="Q19" s="558"/>
      <c r="R19"/>
      <c r="T19" s="18"/>
      <c r="AD19" s="29"/>
      <c r="AG19" s="4"/>
      <c r="BB19" s="51"/>
      <c r="BC19" s="29"/>
    </row>
    <row r="20" spans="2:55" ht="17" thickBot="1">
      <c r="B20" s="54"/>
      <c r="C20" s="420"/>
      <c r="E20"/>
      <c r="F20"/>
      <c r="G20"/>
      <c r="H20" s="450"/>
      <c r="J20" s="367" t="s">
        <v>36</v>
      </c>
      <c r="K20" s="9"/>
      <c r="L20" s="368"/>
      <c r="M20" s="9"/>
      <c r="N20" s="9"/>
      <c r="O20" s="369">
        <v>10760000</v>
      </c>
      <c r="T20" s="18"/>
      <c r="AD20" s="29"/>
      <c r="AG20" s="4"/>
      <c r="BB20" s="51"/>
      <c r="BC20" s="29"/>
    </row>
    <row r="21" spans="2:55" ht="16">
      <c r="B21"/>
      <c r="C21"/>
      <c r="E21"/>
      <c r="F21"/>
      <c r="G21"/>
      <c r="J21" s="15" t="s">
        <v>38</v>
      </c>
      <c r="K21" s="66">
        <f>N21/IF(C14="HUD",#REF!,C35)</f>
        <v>162060.68390804599</v>
      </c>
      <c r="L21" s="67">
        <v>178.5</v>
      </c>
      <c r="M21" s="68">
        <f>D39*(1+C13)</f>
        <v>310348</v>
      </c>
      <c r="N21" s="69">
        <f>M21*L21+1000000</f>
        <v>56397118</v>
      </c>
      <c r="O21" s="35"/>
      <c r="Q21" s="559"/>
      <c r="R21"/>
      <c r="T21" s="18"/>
      <c r="AD21" s="29"/>
      <c r="AG21" s="4"/>
      <c r="BB21" s="51"/>
      <c r="BC21" s="29"/>
    </row>
    <row r="22" spans="2:55" customFormat="1" ht="16">
      <c r="D22" s="2"/>
      <c r="H22" s="425"/>
      <c r="I22" s="2"/>
      <c r="J22" s="40" t="s">
        <v>17</v>
      </c>
      <c r="K22" s="370"/>
      <c r="L22" s="371">
        <v>2.5291636640729798E-2</v>
      </c>
      <c r="M22" s="70"/>
      <c r="N22" s="71">
        <f>L22*N21</f>
        <v>1426375.4160403621</v>
      </c>
      <c r="O22" s="72"/>
      <c r="P22" s="2"/>
    </row>
    <row r="23" spans="2:55" ht="17" thickBot="1">
      <c r="B23" s="7" t="s">
        <v>23</v>
      </c>
      <c r="H23" s="425"/>
      <c r="I23"/>
      <c r="J23" s="40" t="s">
        <v>41</v>
      </c>
      <c r="K23" s="372"/>
      <c r="L23" s="73">
        <v>0.02</v>
      </c>
      <c r="M23" s="372"/>
      <c r="N23" s="373">
        <f>N21*L23</f>
        <v>1127942.3600000001</v>
      </c>
      <c r="O23" s="72"/>
      <c r="P23"/>
      <c r="V23" s="18"/>
      <c r="X23" s="29"/>
      <c r="Z23" s="29"/>
      <c r="AD23" s="29"/>
    </row>
    <row r="24" spans="2:55">
      <c r="B24" s="55" t="s">
        <v>15</v>
      </c>
      <c r="C24" s="56" t="s">
        <v>24</v>
      </c>
      <c r="D24" s="56"/>
      <c r="E24" s="56" t="s">
        <v>25</v>
      </c>
      <c r="F24" s="56" t="s">
        <v>26</v>
      </c>
      <c r="G24" s="53" t="s">
        <v>27</v>
      </c>
      <c r="H24" s="426"/>
      <c r="J24" s="15" t="s">
        <v>355</v>
      </c>
      <c r="K24" s="14"/>
      <c r="L24" s="77"/>
      <c r="M24" s="14"/>
      <c r="N24" s="365">
        <v>500000</v>
      </c>
      <c r="O24" s="35"/>
      <c r="S24" s="18"/>
      <c r="W24" s="59"/>
      <c r="X24" s="29"/>
      <c r="Z24" s="29"/>
      <c r="AD24" s="29"/>
      <c r="AH24" s="8"/>
      <c r="BB24" s="18"/>
    </row>
    <row r="25" spans="2:55">
      <c r="B25" s="60" t="s">
        <v>30</v>
      </c>
      <c r="C25" s="30" t="s">
        <v>31</v>
      </c>
      <c r="D25" s="30" t="s">
        <v>32</v>
      </c>
      <c r="E25" s="30" t="s">
        <v>33</v>
      </c>
      <c r="F25" s="574" t="s">
        <v>34</v>
      </c>
      <c r="G25" s="61" t="s">
        <v>35</v>
      </c>
      <c r="H25" s="446"/>
      <c r="J25" s="15" t="s">
        <v>356</v>
      </c>
      <c r="K25" s="14"/>
      <c r="L25" s="78"/>
      <c r="M25" s="14"/>
      <c r="N25" s="365">
        <v>1200000</v>
      </c>
      <c r="O25" s="26"/>
      <c r="Q25" s="18"/>
      <c r="Y25" s="63"/>
      <c r="Z25" s="29"/>
      <c r="AD25" s="29"/>
      <c r="AG25" s="29"/>
      <c r="AH25" s="29"/>
      <c r="BB25" s="18"/>
    </row>
    <row r="26" spans="2:55">
      <c r="B26" s="60" t="s">
        <v>37</v>
      </c>
      <c r="C26" s="64">
        <f>72+4+4+16+8</f>
        <v>104</v>
      </c>
      <c r="D26" s="64">
        <v>725</v>
      </c>
      <c r="E26" s="65">
        <f>F26/D26</f>
        <v>2.1379310344827585</v>
      </c>
      <c r="F26" s="64">
        <v>1550</v>
      </c>
      <c r="G26" s="61">
        <f t="shared" ref="G26:G33" si="0">C26*F26*12</f>
        <v>1934400</v>
      </c>
      <c r="H26" s="426"/>
      <c r="I26" s="8"/>
      <c r="J26" s="15" t="s">
        <v>357</v>
      </c>
      <c r="K26" s="14"/>
      <c r="L26" s="78"/>
      <c r="M26" s="14"/>
      <c r="N26" s="365">
        <v>500000</v>
      </c>
      <c r="O26" s="26"/>
      <c r="R26" s="2" t="s">
        <v>43</v>
      </c>
      <c r="BB26" s="18"/>
      <c r="BC26" s="45"/>
    </row>
    <row r="27" spans="2:55">
      <c r="B27" s="60" t="s">
        <v>39</v>
      </c>
      <c r="C27" s="64">
        <f>40</f>
        <v>40</v>
      </c>
      <c r="D27" s="64">
        <v>762</v>
      </c>
      <c r="E27" s="65">
        <f t="shared" ref="E27:E33" si="1">F27/D27</f>
        <v>2.1259842519685042</v>
      </c>
      <c r="F27" s="64">
        <v>1620</v>
      </c>
      <c r="G27" s="61">
        <f t="shared" si="0"/>
        <v>777600</v>
      </c>
      <c r="I27" s="8"/>
      <c r="J27" s="15" t="s">
        <v>48</v>
      </c>
      <c r="K27" s="14"/>
      <c r="L27" s="78"/>
      <c r="M27" s="14"/>
      <c r="N27" s="365">
        <v>500000</v>
      </c>
      <c r="O27" s="79"/>
      <c r="S27" s="45"/>
      <c r="V27" s="29"/>
      <c r="BB27" s="18"/>
    </row>
    <row r="28" spans="2:55">
      <c r="B28" s="60" t="s">
        <v>40</v>
      </c>
      <c r="C28" s="428">
        <f>24</f>
        <v>24</v>
      </c>
      <c r="D28" s="428">
        <v>803</v>
      </c>
      <c r="E28" s="65">
        <f t="shared" si="1"/>
        <v>2.1481942714819429</v>
      </c>
      <c r="F28" s="428">
        <v>1725</v>
      </c>
      <c r="G28" s="61">
        <f t="shared" si="0"/>
        <v>496800</v>
      </c>
      <c r="H28" s="373"/>
      <c r="I28" s="8"/>
      <c r="J28" s="15" t="s">
        <v>325</v>
      </c>
      <c r="L28" s="78"/>
      <c r="M28" s="14"/>
      <c r="N28" s="430">
        <v>3000000</v>
      </c>
      <c r="O28" s="79"/>
      <c r="S28" s="45"/>
      <c r="T28" s="18"/>
      <c r="X28" s="45"/>
      <c r="BB28" s="18"/>
    </row>
    <row r="29" spans="2:55">
      <c r="B29" s="60" t="s">
        <v>42</v>
      </c>
      <c r="C29" s="428">
        <f>32</f>
        <v>32</v>
      </c>
      <c r="D29" s="428">
        <v>874</v>
      </c>
      <c r="E29" s="65">
        <f t="shared" si="1"/>
        <v>2.1739130434782608</v>
      </c>
      <c r="F29" s="428">
        <v>1900</v>
      </c>
      <c r="G29" s="61">
        <f t="shared" si="0"/>
        <v>729600</v>
      </c>
      <c r="H29" s="447"/>
      <c r="J29" s="15" t="s">
        <v>50</v>
      </c>
      <c r="K29" s="66">
        <f>(O29)/C38</f>
        <v>185779.98786218493</v>
      </c>
      <c r="L29" s="366">
        <f>O29/M21</f>
        <v>208.31916357134688</v>
      </c>
      <c r="M29" s="25"/>
      <c r="N29" s="75"/>
      <c r="O29" s="35">
        <f>SUM(N21:N28)</f>
        <v>64651435.77604036</v>
      </c>
      <c r="S29" s="45"/>
      <c r="X29" s="76"/>
      <c r="BB29" s="18"/>
    </row>
    <row r="30" spans="2:55" ht="16">
      <c r="B30" s="60" t="s">
        <v>44</v>
      </c>
      <c r="C30" s="428">
        <f>28+2</f>
        <v>30</v>
      </c>
      <c r="D30" s="428">
        <v>930</v>
      </c>
      <c r="E30" s="65">
        <f t="shared" si="1"/>
        <v>2.150537634408602</v>
      </c>
      <c r="F30" s="428">
        <v>2000</v>
      </c>
      <c r="G30" s="61">
        <f t="shared" si="0"/>
        <v>720000</v>
      </c>
      <c r="H30" s="447"/>
      <c r="J30" s="15" t="s">
        <v>52</v>
      </c>
      <c r="K30" s="14"/>
      <c r="L30" s="92">
        <v>0</v>
      </c>
      <c r="M30" s="14"/>
      <c r="N30" s="93"/>
      <c r="O30" s="363">
        <v>30000</v>
      </c>
      <c r="P30" s="74"/>
      <c r="Q30"/>
      <c r="R30"/>
      <c r="S30" s="45"/>
      <c r="X30" s="76"/>
      <c r="BB30" s="18"/>
    </row>
    <row r="31" spans="2:55">
      <c r="B31" s="429" t="s">
        <v>45</v>
      </c>
      <c r="C31" s="428">
        <f>48+6+6+12</f>
        <v>72</v>
      </c>
      <c r="D31" s="64">
        <v>1060</v>
      </c>
      <c r="E31" s="65">
        <f t="shared" si="1"/>
        <v>2.2641509433962264</v>
      </c>
      <c r="F31" s="64">
        <v>2400</v>
      </c>
      <c r="G31" s="61">
        <f t="shared" si="0"/>
        <v>2073600</v>
      </c>
      <c r="H31" s="447"/>
      <c r="J31" s="15" t="s">
        <v>53</v>
      </c>
      <c r="K31" s="14"/>
      <c r="L31" s="77"/>
      <c r="M31" s="30">
        <f>O31/C38</f>
        <v>2855.3620689655172</v>
      </c>
      <c r="N31" s="30"/>
      <c r="O31" s="364">
        <v>993666</v>
      </c>
      <c r="S31" s="45"/>
      <c r="X31" s="76"/>
      <c r="Z31" s="29"/>
      <c r="BB31" s="18"/>
    </row>
    <row r="32" spans="2:55">
      <c r="B32" s="429" t="s">
        <v>46</v>
      </c>
      <c r="C32" s="428">
        <f>16+14</f>
        <v>30</v>
      </c>
      <c r="D32" s="64">
        <v>1120</v>
      </c>
      <c r="E32" s="65">
        <f t="shared" si="1"/>
        <v>2.3035714285714284</v>
      </c>
      <c r="F32" s="64">
        <v>2580</v>
      </c>
      <c r="G32" s="61">
        <f t="shared" si="0"/>
        <v>928800</v>
      </c>
      <c r="H32" s="447"/>
      <c r="J32" s="15" t="s">
        <v>378</v>
      </c>
      <c r="K32" s="14"/>
      <c r="L32" s="92"/>
      <c r="M32" s="14"/>
      <c r="N32" s="14"/>
      <c r="O32" s="364">
        <f>586710+12285</f>
        <v>598995</v>
      </c>
      <c r="P32" s="6"/>
      <c r="S32" s="45"/>
      <c r="BB32" s="18"/>
    </row>
    <row r="33" spans="2:56">
      <c r="B33" s="60" t="s">
        <v>47</v>
      </c>
      <c r="C33" s="64">
        <f>16</f>
        <v>16</v>
      </c>
      <c r="D33" s="64">
        <v>1213</v>
      </c>
      <c r="E33" s="65">
        <f t="shared" si="1"/>
        <v>2.3371805441055233</v>
      </c>
      <c r="F33" s="64">
        <v>2835</v>
      </c>
      <c r="G33" s="61">
        <f t="shared" si="0"/>
        <v>544320</v>
      </c>
      <c r="H33" s="447"/>
      <c r="J33" s="15" t="s">
        <v>54</v>
      </c>
      <c r="K33" s="14"/>
      <c r="L33" s="96">
        <v>6.9999999999999999E-4</v>
      </c>
      <c r="M33" s="97"/>
      <c r="N33" s="97"/>
      <c r="O33" s="35">
        <v>35000</v>
      </c>
      <c r="S33" s="45"/>
      <c r="BB33" s="18"/>
    </row>
    <row r="34" spans="2:56">
      <c r="B34" s="85"/>
      <c r="C34" s="51"/>
      <c r="D34" s="51"/>
      <c r="E34" s="51"/>
      <c r="F34" s="86"/>
      <c r="G34" s="87"/>
      <c r="H34" s="447"/>
      <c r="J34" s="15" t="s">
        <v>55</v>
      </c>
      <c r="K34" s="14"/>
      <c r="L34" s="30"/>
      <c r="M34" s="97"/>
      <c r="N34" s="97"/>
      <c r="O34" s="26">
        <v>35000</v>
      </c>
      <c r="S34" s="45"/>
      <c r="V34" s="29"/>
      <c r="AG34" s="34"/>
      <c r="BB34" s="18"/>
    </row>
    <row r="35" spans="2:56" ht="14" thickBot="1">
      <c r="B35" s="81" t="s">
        <v>49</v>
      </c>
      <c r="C35" s="82">
        <f>SUM(C26:C33)</f>
        <v>348</v>
      </c>
      <c r="D35" s="82">
        <f>SUMPRODUCT(C26:C33,D26:D33)/C35</f>
        <v>891.80459770114942</v>
      </c>
      <c r="E35" s="83">
        <f>F35/D35</f>
        <v>2.2032041450242952</v>
      </c>
      <c r="F35" s="82">
        <f>G35/C35/12</f>
        <v>1964.8275862068965</v>
      </c>
      <c r="G35" s="84">
        <f>SUM(G26:G33)</f>
        <v>8205120</v>
      </c>
      <c r="H35" s="447"/>
      <c r="J35" s="15" t="s">
        <v>56</v>
      </c>
      <c r="K35" s="14"/>
      <c r="L35" s="30"/>
      <c r="M35" s="97"/>
      <c r="N35" s="97"/>
      <c r="O35" s="26">
        <v>15000</v>
      </c>
      <c r="P35" s="21"/>
      <c r="T35" s="29"/>
      <c r="AG35" s="59"/>
      <c r="BB35" s="18"/>
    </row>
    <row r="36" spans="2:56" ht="14" thickBot="1">
      <c r="B36" s="88" t="s">
        <v>51</v>
      </c>
      <c r="C36" s="89"/>
      <c r="D36" s="89"/>
      <c r="E36" s="90"/>
      <c r="F36" s="89"/>
      <c r="G36" s="91">
        <f>G35</f>
        <v>8205120</v>
      </c>
      <c r="H36" s="447"/>
      <c r="J36" s="15" t="s">
        <v>374</v>
      </c>
      <c r="K36" s="14"/>
      <c r="L36" s="92">
        <v>0</v>
      </c>
      <c r="M36" s="14"/>
      <c r="N36" s="14"/>
      <c r="O36" s="26">
        <v>50000</v>
      </c>
      <c r="S36" s="45"/>
      <c r="X36" s="29"/>
      <c r="BB36" s="18"/>
    </row>
    <row r="37" spans="2:56" ht="14" customHeight="1">
      <c r="H37" s="447"/>
      <c r="J37" s="15" t="s">
        <v>57</v>
      </c>
      <c r="K37" s="14"/>
      <c r="L37" s="99">
        <v>0</v>
      </c>
      <c r="M37" s="25"/>
      <c r="N37" s="25"/>
      <c r="O37" s="35">
        <f>'GP Fees'!E15</f>
        <v>275473.5</v>
      </c>
      <c r="X37" s="29"/>
      <c r="AG37" s="34"/>
      <c r="BB37" s="18"/>
    </row>
    <row r="38" spans="2:56" ht="14" thickBot="1">
      <c r="B38" s="407" t="str">
        <f>IF($C$14="O2",#REF!,B36)</f>
        <v>WB Totals</v>
      </c>
      <c r="C38" s="408">
        <f>IF($C$14="O2",#REF!,C35)</f>
        <v>348</v>
      </c>
      <c r="D38" s="408">
        <f>IF($C$14="O2",#REF!,D35)</f>
        <v>891.80459770114942</v>
      </c>
      <c r="E38" s="409">
        <f>IF($C$14="O2",#REF!,E35)</f>
        <v>2.2032041450242952</v>
      </c>
      <c r="F38" s="408">
        <f>IF($C$14="O2",#REF!,F35)</f>
        <v>1964.8275862068965</v>
      </c>
      <c r="G38" s="410">
        <f>IF($C$14="O2",#REF!,G36)</f>
        <v>8205120</v>
      </c>
      <c r="H38" s="447"/>
      <c r="J38" s="15" t="s">
        <v>58</v>
      </c>
      <c r="K38" s="14"/>
      <c r="L38" s="30" t="s">
        <v>358</v>
      </c>
      <c r="M38" s="14"/>
      <c r="N38" s="14"/>
      <c r="O38" s="35">
        <f ca="1">'Grand Prairie Const Sched (3)'!D17</f>
        <v>3470986.0601113746</v>
      </c>
      <c r="BB38" s="18"/>
      <c r="BC38" s="29"/>
    </row>
    <row r="39" spans="2:56">
      <c r="D39" s="106">
        <f>D38*C38</f>
        <v>310348</v>
      </c>
      <c r="E39" s="2" t="s">
        <v>63</v>
      </c>
      <c r="H39" s="447"/>
      <c r="J39" s="15"/>
      <c r="K39" s="14"/>
      <c r="L39" s="99"/>
      <c r="M39" s="14"/>
      <c r="N39" s="14"/>
      <c r="O39" s="35"/>
      <c r="AA39" s="34"/>
      <c r="BB39" s="18"/>
      <c r="BC39" s="29"/>
    </row>
    <row r="40" spans="2:56">
      <c r="B40" s="7" t="s">
        <v>65</v>
      </c>
      <c r="F40" s="29" t="s">
        <v>66</v>
      </c>
      <c r="G40" s="2">
        <f>G38/12</f>
        <v>683760</v>
      </c>
      <c r="H40" s="447"/>
      <c r="J40" s="15" t="s">
        <v>379</v>
      </c>
      <c r="K40" s="14"/>
      <c r="L40" s="30"/>
      <c r="M40" s="14"/>
      <c r="N40" s="14"/>
      <c r="O40" s="26">
        <v>200000</v>
      </c>
      <c r="BB40" s="18"/>
    </row>
    <row r="41" spans="2:56" ht="14" thickBot="1">
      <c r="G41" s="18"/>
      <c r="J41" s="15" t="s">
        <v>375</v>
      </c>
      <c r="K41" s="14"/>
      <c r="L41" s="99"/>
      <c r="M41" s="14"/>
      <c r="N41" s="14"/>
      <c r="O41" s="26">
        <v>700000</v>
      </c>
      <c r="BB41" s="18"/>
      <c r="BC41" s="29"/>
    </row>
    <row r="42" spans="2:56">
      <c r="B42" s="58" t="s">
        <v>80</v>
      </c>
      <c r="C42" s="382"/>
      <c r="D42" s="113"/>
      <c r="E42" s="113"/>
      <c r="F42" s="114"/>
      <c r="H42" s="411"/>
      <c r="J42" s="15" t="s">
        <v>453</v>
      </c>
      <c r="K42" s="14"/>
      <c r="L42" s="99">
        <v>0</v>
      </c>
      <c r="M42" s="14"/>
      <c r="N42" s="14"/>
      <c r="O42" s="35">
        <v>31740</v>
      </c>
      <c r="P42" s="94"/>
      <c r="V42" s="45"/>
      <c r="Z42" s="45"/>
      <c r="BB42" s="18"/>
    </row>
    <row r="43" spans="2:56">
      <c r="B43" s="116"/>
      <c r="C43" s="372"/>
      <c r="D43" s="372"/>
      <c r="E43" s="372"/>
      <c r="F43" s="117"/>
      <c r="H43" s="412"/>
      <c r="J43" s="15" t="s">
        <v>309</v>
      </c>
      <c r="K43" s="14"/>
      <c r="L43" s="99">
        <v>0.01</v>
      </c>
      <c r="M43" s="14"/>
      <c r="N43" s="14"/>
      <c r="O43" s="35">
        <f ca="1">L43*'Grand Prairie- Loan Amort (4)'!AE13</f>
        <v>176053.54248959434</v>
      </c>
      <c r="T43" s="45"/>
      <c r="BB43" s="18"/>
    </row>
    <row r="44" spans="2:56">
      <c r="B44" s="116"/>
      <c r="C44" s="372"/>
      <c r="D44" s="372"/>
      <c r="E44" s="372" t="s">
        <v>66</v>
      </c>
      <c r="F44" s="117"/>
      <c r="H44" s="411"/>
      <c r="J44" s="15" t="s">
        <v>367</v>
      </c>
      <c r="K44" s="14"/>
      <c r="L44" s="99">
        <v>5.0000000000000001E-3</v>
      </c>
      <c r="M44" s="14"/>
      <c r="N44" s="14"/>
      <c r="O44" s="35">
        <f ca="1">L44*$O$9</f>
        <v>286087.00654559082</v>
      </c>
      <c r="P44" s="95"/>
      <c r="W44" s="34"/>
      <c r="BB44" s="18"/>
    </row>
    <row r="45" spans="2:56" ht="17" thickBot="1">
      <c r="B45" s="40" t="s">
        <v>81</v>
      </c>
      <c r="C45" s="373"/>
      <c r="D45" s="372" t="s">
        <v>82</v>
      </c>
      <c r="E45" s="118" t="s">
        <v>83</v>
      </c>
      <c r="F45" s="117"/>
      <c r="H45" s="411"/>
      <c r="I45" s="98"/>
      <c r="J45" s="15" t="s">
        <v>59</v>
      </c>
      <c r="K45" s="14"/>
      <c r="L45" s="77"/>
      <c r="M45" s="14"/>
      <c r="N45" s="14"/>
      <c r="O45" s="35">
        <v>465325</v>
      </c>
      <c r="BD45" s="100"/>
    </row>
    <row r="46" spans="2:56" ht="14" thickBot="1">
      <c r="B46" s="119" t="s">
        <v>84</v>
      </c>
      <c r="C46" s="108"/>
      <c r="D46" s="108">
        <v>50</v>
      </c>
      <c r="E46" s="108">
        <v>150</v>
      </c>
      <c r="F46" s="120">
        <f>D46*E46*12</f>
        <v>90000</v>
      </c>
      <c r="H46" s="411"/>
      <c r="J46" s="15" t="s">
        <v>310</v>
      </c>
      <c r="K46" s="14"/>
      <c r="L46" s="77"/>
      <c r="M46" s="14"/>
      <c r="N46" s="14"/>
      <c r="O46" s="35">
        <f ca="1">1%*5000000+0.5%*('Grand Prairie- Loan Amort (4)'!AE13-5000000)</f>
        <v>113026.77124479716</v>
      </c>
      <c r="BB46" s="18"/>
    </row>
    <row r="47" spans="2:56" ht="17" thickBot="1">
      <c r="B47" s="31" t="s">
        <v>85</v>
      </c>
      <c r="C47" s="41"/>
      <c r="D47" s="41">
        <v>55</v>
      </c>
      <c r="E47" s="41">
        <v>45</v>
      </c>
      <c r="F47" s="32">
        <f>D47*E47*12</f>
        <v>29700</v>
      </c>
      <c r="H47" s="411"/>
      <c r="J47" s="15" t="s">
        <v>383</v>
      </c>
      <c r="K47" s="14"/>
      <c r="L47" s="30"/>
      <c r="M47" s="14"/>
      <c r="N47" s="14"/>
      <c r="O47" s="363">
        <v>150000</v>
      </c>
      <c r="AN47" s="101"/>
      <c r="AO47" s="102"/>
      <c r="AP47" s="103"/>
      <c r="BB47" s="18"/>
    </row>
    <row r="48" spans="2:56">
      <c r="B48" s="31" t="s">
        <v>381</v>
      </c>
      <c r="C48" s="41"/>
      <c r="D48" s="41">
        <f>D49</f>
        <v>348</v>
      </c>
      <c r="E48" s="41">
        <v>52</v>
      </c>
      <c r="F48" s="32">
        <f>D48*E48*12</f>
        <v>217152</v>
      </c>
      <c r="H48" s="411"/>
      <c r="J48" s="15" t="s">
        <v>60</v>
      </c>
      <c r="K48" s="14"/>
      <c r="L48" s="30"/>
      <c r="M48" s="14"/>
      <c r="N48" s="14"/>
      <c r="O48" s="363">
        <v>25000</v>
      </c>
      <c r="BB48" s="18"/>
    </row>
    <row r="49" spans="2:54">
      <c r="B49" s="31" t="s">
        <v>382</v>
      </c>
      <c r="C49" s="41"/>
      <c r="D49" s="41">
        <f>C38</f>
        <v>348</v>
      </c>
      <c r="E49" s="41">
        <v>27</v>
      </c>
      <c r="F49" s="32">
        <f>D49*E49*12</f>
        <v>112752</v>
      </c>
      <c r="H49" s="411"/>
      <c r="J49" s="15" t="s">
        <v>61</v>
      </c>
      <c r="K49" s="14"/>
      <c r="L49" s="30"/>
      <c r="M49" s="14"/>
      <c r="N49" s="14"/>
      <c r="O49" s="363">
        <v>9000</v>
      </c>
      <c r="P49" s="21"/>
      <c r="BB49" s="18"/>
    </row>
    <row r="50" spans="2:54">
      <c r="B50" s="31" t="s">
        <v>474</v>
      </c>
      <c r="C50" s="41"/>
      <c r="D50" s="41">
        <f>D49</f>
        <v>348</v>
      </c>
      <c r="E50" s="41">
        <v>100</v>
      </c>
      <c r="F50" s="32">
        <f>D50*E50*12</f>
        <v>417600</v>
      </c>
      <c r="G50" s="479" t="s">
        <v>380</v>
      </c>
      <c r="H50" s="411"/>
      <c r="J50" s="15" t="s">
        <v>62</v>
      </c>
      <c r="K50" s="14"/>
      <c r="L50" s="30"/>
      <c r="M50" s="14"/>
      <c r="N50" s="14"/>
      <c r="O50" s="363">
        <v>14500</v>
      </c>
      <c r="P50" s="21"/>
      <c r="V50" s="34"/>
      <c r="BB50" s="18"/>
    </row>
    <row r="51" spans="2:54" ht="14" thickBot="1">
      <c r="B51" s="404" t="s">
        <v>329</v>
      </c>
      <c r="C51" s="405"/>
      <c r="D51" s="405"/>
      <c r="E51" s="372"/>
      <c r="F51" s="117">
        <f>'Grand Prairie Unit Mix'!Q71</f>
        <v>49800</v>
      </c>
      <c r="G51" s="18"/>
      <c r="H51" s="411"/>
      <c r="J51" s="15" t="s">
        <v>64</v>
      </c>
      <c r="K51" s="14"/>
      <c r="L51" s="30"/>
      <c r="M51" s="14"/>
      <c r="N51" s="14"/>
      <c r="O51" s="35">
        <f>'GP Fees'!B8</f>
        <v>95308</v>
      </c>
      <c r="P51" s="21"/>
      <c r="BB51" s="18"/>
    </row>
    <row r="52" spans="2:54" ht="14" thickBot="1">
      <c r="B52" s="80"/>
      <c r="C52" s="102"/>
      <c r="D52" s="102"/>
      <c r="E52" s="406">
        <f>F52/12/D38</f>
        <v>85.688053411009577</v>
      </c>
      <c r="F52" s="48">
        <f>SUM(F46:F51)</f>
        <v>917004</v>
      </c>
      <c r="H52" s="411"/>
      <c r="J52" s="15" t="s">
        <v>300</v>
      </c>
      <c r="K52" s="14"/>
      <c r="L52" s="99">
        <v>0.04</v>
      </c>
      <c r="M52" s="14"/>
      <c r="N52" s="14"/>
      <c r="O52" s="35">
        <f ca="1">L52*O9</f>
        <v>2288696.0523647266</v>
      </c>
      <c r="BB52" s="18"/>
    </row>
    <row r="53" spans="2:54">
      <c r="H53" s="411"/>
      <c r="J53" s="15" t="s">
        <v>301</v>
      </c>
      <c r="K53" s="14"/>
      <c r="L53" s="361">
        <v>6</v>
      </c>
      <c r="M53" s="14" t="s">
        <v>67</v>
      </c>
      <c r="N53" s="14"/>
      <c r="O53" s="35">
        <f ca="1">'Grand Prairie- Loan Amort (4)'!H18*L53/12</f>
        <v>1573478.5360007493</v>
      </c>
      <c r="BB53" s="18"/>
    </row>
    <row r="54" spans="2:54">
      <c r="H54" s="411"/>
      <c r="J54" s="15" t="s">
        <v>70</v>
      </c>
      <c r="K54" s="14"/>
      <c r="L54" s="30"/>
      <c r="M54" s="14"/>
      <c r="N54" s="14"/>
      <c r="O54" s="35">
        <f>'Grand Prairie Const Sched (3)'!D19</f>
        <v>983000</v>
      </c>
      <c r="BB54" s="18"/>
    </row>
    <row r="55" spans="2:54" ht="14" thickBot="1">
      <c r="B55" s="7"/>
      <c r="C55" s="18"/>
      <c r="D55" s="18"/>
      <c r="E55" s="18"/>
      <c r="H55" s="411"/>
      <c r="J55" s="42" t="s">
        <v>72</v>
      </c>
      <c r="K55" s="49"/>
      <c r="L55" s="89"/>
      <c r="M55" s="49"/>
      <c r="N55" s="49"/>
      <c r="O55" s="43">
        <f ca="1">SUM(O19:O54)</f>
        <v>88026771.24479717</v>
      </c>
      <c r="AI55" s="18"/>
    </row>
    <row r="56" spans="2:54" ht="14" thickBot="1">
      <c r="H56" s="411"/>
      <c r="Q56" s="95"/>
      <c r="AI56" s="104"/>
      <c r="AJ56" s="105"/>
    </row>
    <row r="57" spans="2:54" ht="14" thickBot="1">
      <c r="B57" s="383" t="s">
        <v>65</v>
      </c>
      <c r="C57" s="384"/>
      <c r="D57" s="114"/>
      <c r="E57" s="385" t="s">
        <v>319</v>
      </c>
      <c r="F57" s="114"/>
      <c r="G57" s="386" t="s">
        <v>320</v>
      </c>
      <c r="H57" s="411"/>
      <c r="Q57" s="95"/>
      <c r="AI57" s="60"/>
      <c r="AJ57" s="107"/>
    </row>
    <row r="58" spans="2:54" ht="14" thickBot="1">
      <c r="B58" s="121"/>
      <c r="C58" s="122"/>
      <c r="D58" s="62"/>
      <c r="E58" s="54" t="s">
        <v>321</v>
      </c>
      <c r="F58" s="387" t="s">
        <v>322</v>
      </c>
      <c r="G58" s="388" t="s">
        <v>323</v>
      </c>
      <c r="H58" s="411"/>
      <c r="L58" s="47" t="s">
        <v>75</v>
      </c>
      <c r="M58" s="102"/>
      <c r="N58" s="102"/>
      <c r="O58" s="48">
        <f ca="1">O13-O55</f>
        <v>0</v>
      </c>
      <c r="AI58" s="88"/>
      <c r="AJ58" s="91"/>
    </row>
    <row r="59" spans="2:54" ht="14" thickBot="1">
      <c r="B59" s="10" t="s">
        <v>68</v>
      </c>
      <c r="C59" s="11"/>
      <c r="D59" s="108"/>
      <c r="E59" s="389">
        <f>'Grand Prairie- Pro Forma (3)'!E5</f>
        <v>1504272</v>
      </c>
      <c r="F59" s="53">
        <f>'Grand Prairie- Pro Forma (3)'!F5</f>
        <v>6346660.3200000012</v>
      </c>
      <c r="G59" s="53">
        <f>'Grand Prairie- Pro Forma (3)'!G5</f>
        <v>8369222.4000000004</v>
      </c>
      <c r="H59" s="411"/>
    </row>
    <row r="60" spans="2:54" ht="16">
      <c r="B60" s="15" t="s">
        <v>69</v>
      </c>
      <c r="C60" s="14"/>
      <c r="D60" s="46">
        <f>'Grand Prairie- Pro Forma (3)'!C6</f>
        <v>0.05</v>
      </c>
      <c r="E60" s="389">
        <f>'Grand Prairie- Pro Forma (3)'!E6</f>
        <v>0</v>
      </c>
      <c r="F60" s="53">
        <f>'Grand Prairie- Pro Forma (3)'!F6</f>
        <v>0</v>
      </c>
      <c r="G60" s="53">
        <f>'Grand Prairie- Pro Forma (3)'!G6</f>
        <v>-418461.12000000005</v>
      </c>
      <c r="H60" s="411"/>
      <c r="J60" s="109"/>
      <c r="K60" s="110"/>
      <c r="L60" s="110"/>
      <c r="M60" s="110"/>
      <c r="N60" s="110"/>
      <c r="O60" s="111"/>
    </row>
    <row r="61" spans="2:54" ht="16">
      <c r="B61" s="15" t="s">
        <v>71</v>
      </c>
      <c r="C61" s="14"/>
      <c r="D61" s="41"/>
      <c r="E61" s="390">
        <v>0</v>
      </c>
      <c r="F61" s="35">
        <v>0</v>
      </c>
      <c r="G61" s="35">
        <v>0</v>
      </c>
      <c r="H61" s="411"/>
      <c r="J61"/>
      <c r="K61"/>
      <c r="L61"/>
      <c r="M61"/>
      <c r="N61"/>
      <c r="O61"/>
    </row>
    <row r="62" spans="2:54" ht="16">
      <c r="B62" s="15" t="s">
        <v>73</v>
      </c>
      <c r="C62" s="14"/>
      <c r="D62" s="46">
        <v>0.2</v>
      </c>
      <c r="E62" s="390">
        <f>-$D$53*E61</f>
        <v>0</v>
      </c>
      <c r="F62" s="35">
        <f>-$D$53*F61</f>
        <v>0</v>
      </c>
      <c r="G62" s="35">
        <f>-$D$53*G61</f>
        <v>0</v>
      </c>
      <c r="H62" s="411"/>
      <c r="J62"/>
      <c r="K62"/>
      <c r="L62"/>
      <c r="M62"/>
      <c r="N62"/>
      <c r="O62"/>
    </row>
    <row r="63" spans="2:54" ht="16">
      <c r="B63" s="15" t="s">
        <v>74</v>
      </c>
      <c r="C63" s="14"/>
      <c r="D63" s="46"/>
      <c r="E63" s="390">
        <f>'Grand Prairie- Pro Forma (3)'!E7</f>
        <v>168117.4</v>
      </c>
      <c r="F63" s="35">
        <f>'Grand Prairie- Pro Forma (3)'!F7</f>
        <v>709302.59400000016</v>
      </c>
      <c r="G63" s="35">
        <f>'Grand Prairie- Pro Forma (3)'!G7</f>
        <v>935344.08</v>
      </c>
      <c r="H63" s="411"/>
      <c r="J63"/>
      <c r="K63"/>
      <c r="L63"/>
      <c r="M63"/>
      <c r="N63"/>
      <c r="O63"/>
    </row>
    <row r="64" spans="2:54" ht="16">
      <c r="B64" s="15" t="s">
        <v>76</v>
      </c>
      <c r="C64" s="14"/>
      <c r="D64" s="46">
        <f>D60</f>
        <v>0.05</v>
      </c>
      <c r="E64" s="390">
        <f>'Grand Prairie- Pro Forma (3)'!E8</f>
        <v>0</v>
      </c>
      <c r="F64" s="35">
        <f>'Grand Prairie- Pro Forma (3)'!F8</f>
        <v>0</v>
      </c>
      <c r="G64" s="35">
        <f>'Grand Prairie- Pro Forma (3)'!G8</f>
        <v>-46767.203999999998</v>
      </c>
      <c r="H64" s="411"/>
      <c r="J64"/>
      <c r="K64"/>
      <c r="L64"/>
      <c r="M64"/>
      <c r="N64"/>
      <c r="O64"/>
    </row>
    <row r="65" spans="1:15" ht="16">
      <c r="B65" s="15" t="s">
        <v>77</v>
      </c>
      <c r="C65" s="14"/>
      <c r="D65" s="41"/>
      <c r="E65" s="390">
        <f>'Grand Prairie- Pro Forma (3)'!E13</f>
        <v>1672389.4</v>
      </c>
      <c r="F65" s="35">
        <f>'Grand Prairie- Pro Forma (3)'!F13</f>
        <v>7055962.9140000017</v>
      </c>
      <c r="G65" s="35">
        <f>'Grand Prairie- Pro Forma (3)'!G13</f>
        <v>8839338.1559999995</v>
      </c>
      <c r="J65"/>
      <c r="K65"/>
      <c r="L65"/>
      <c r="M65"/>
      <c r="N65"/>
      <c r="O65"/>
    </row>
    <row r="66" spans="1:15" ht="16">
      <c r="B66" s="15" t="s">
        <v>102</v>
      </c>
      <c r="C66" s="14"/>
      <c r="D66" s="14">
        <f ca="1">G66/D38</f>
        <v>4599.8337756338751</v>
      </c>
      <c r="E66" s="390">
        <f>'Grand Prairie- Pro Forma (3)'!E28</f>
        <v>984553.88599999994</v>
      </c>
      <c r="F66" s="35">
        <f>'Grand Prairie- Pro Forma (3)'!F28</f>
        <v>2450743.9474200001</v>
      </c>
      <c r="G66" s="35">
        <f ca="1">'Grand Prairie- Pro Forma (3)'!G31</f>
        <v>4102152.9097713269</v>
      </c>
      <c r="J66"/>
      <c r="K66"/>
      <c r="L66"/>
      <c r="M66"/>
      <c r="N66"/>
      <c r="O66"/>
    </row>
    <row r="67" spans="1:15" ht="16">
      <c r="B67" s="391" t="s">
        <v>324</v>
      </c>
      <c r="C67" s="392"/>
      <c r="D67" s="14"/>
      <c r="E67" s="393">
        <f>E66/E59</f>
        <v>0.65450522644840825</v>
      </c>
      <c r="F67" s="393">
        <f>F66/F59</f>
        <v>0.3861470165178148</v>
      </c>
      <c r="G67" s="393">
        <f ca="1">G66/G59</f>
        <v>0.49014743708702574</v>
      </c>
      <c r="H67" s="18"/>
      <c r="J67"/>
      <c r="K67"/>
      <c r="L67"/>
      <c r="M67"/>
      <c r="N67"/>
      <c r="O67"/>
    </row>
    <row r="68" spans="1:15" ht="16">
      <c r="B68" s="15" t="s">
        <v>78</v>
      </c>
      <c r="C68" s="14"/>
      <c r="D68" s="14"/>
      <c r="E68" s="390">
        <f>'Grand Prairie- Pro Forma (3)'!E33</f>
        <v>687835.51399999997</v>
      </c>
      <c r="F68" s="35">
        <f>'Grand Prairie- Pro Forma (3)'!F33</f>
        <v>4605218.9665800016</v>
      </c>
      <c r="G68" s="35">
        <f ca="1">'Grand Prairie- Pro Forma (3)'!G33</f>
        <v>4737185.2462286726</v>
      </c>
      <c r="J68"/>
      <c r="K68"/>
      <c r="L68"/>
      <c r="M68"/>
      <c r="N68"/>
      <c r="O68"/>
    </row>
    <row r="69" spans="1:15" ht="16">
      <c r="B69" s="15" t="s">
        <v>187</v>
      </c>
      <c r="C69" s="14"/>
      <c r="D69" s="41"/>
      <c r="E69" s="390">
        <f>'[35]Lakeland s3- Pro Forma (3)'!D49</f>
        <v>0</v>
      </c>
      <c r="F69" s="35">
        <f ca="1">'Grand Prairie- Pro Forma (3)'!F41+'Grand Prairie- Pro Forma (3)'!F39</f>
        <v>3146957.0720014987</v>
      </c>
      <c r="G69" s="35">
        <f ca="1">'Grand Prairie- Pro Forma (3)'!G39+'Grand Prairie- Pro Forma (3)'!G41</f>
        <v>3146957.0720014987</v>
      </c>
      <c r="J69"/>
      <c r="K69"/>
      <c r="L69"/>
      <c r="M69"/>
      <c r="N69"/>
      <c r="O69"/>
    </row>
    <row r="70" spans="1:15" ht="16">
      <c r="B70" s="40"/>
      <c r="C70" s="373"/>
      <c r="D70" s="373"/>
      <c r="E70" s="394"/>
      <c r="F70" s="72"/>
      <c r="G70" s="72"/>
      <c r="J70"/>
      <c r="K70"/>
      <c r="L70"/>
      <c r="M70"/>
      <c r="N70"/>
      <c r="O70"/>
    </row>
    <row r="71" spans="1:15" ht="17" thickBot="1">
      <c r="B71" s="42" t="s">
        <v>79</v>
      </c>
      <c r="C71" s="49"/>
      <c r="D71" s="49"/>
      <c r="E71" s="395">
        <f>'Grand Prairie- Pro Forma (3)'!E43</f>
        <v>687835.51399999997</v>
      </c>
      <c r="F71" s="43">
        <f ca="1">'Grand Prairie- Pro Forma (3)'!F43</f>
        <v>1458261.894578503</v>
      </c>
      <c r="G71" s="43">
        <f ca="1">'Grand Prairie- Pro Forma (3)'!G43</f>
        <v>1590228.1742271739</v>
      </c>
      <c r="J71"/>
      <c r="K71"/>
      <c r="L71"/>
      <c r="M71"/>
      <c r="N71"/>
      <c r="O71"/>
    </row>
    <row r="72" spans="1:15" ht="16">
      <c r="J72"/>
      <c r="K72"/>
      <c r="L72"/>
      <c r="M72"/>
      <c r="N72"/>
      <c r="O72"/>
    </row>
    <row r="73" spans="1:15" ht="16">
      <c r="J73"/>
      <c r="K73"/>
      <c r="L73"/>
      <c r="M73"/>
      <c r="N73"/>
      <c r="O73"/>
    </row>
    <row r="74" spans="1:15" ht="16">
      <c r="A74" s="115"/>
      <c r="J74"/>
      <c r="K74"/>
      <c r="L74"/>
      <c r="M74"/>
      <c r="N74"/>
      <c r="O74"/>
    </row>
    <row r="75" spans="1:15" ht="16">
      <c r="H75" s="112"/>
      <c r="J75"/>
      <c r="K75"/>
      <c r="L75"/>
      <c r="M75"/>
      <c r="N75"/>
      <c r="O75"/>
    </row>
    <row r="76" spans="1:15" ht="16">
      <c r="H76" s="18"/>
      <c r="J76"/>
      <c r="K76"/>
      <c r="L76"/>
      <c r="M76"/>
      <c r="N76"/>
      <c r="O76"/>
    </row>
    <row r="77" spans="1:15" ht="16">
      <c r="J77"/>
      <c r="K77"/>
      <c r="L77"/>
      <c r="M77"/>
      <c r="N77"/>
      <c r="O77"/>
    </row>
    <row r="78" spans="1:15" ht="16">
      <c r="J78"/>
      <c r="K78"/>
      <c r="L78"/>
      <c r="M78"/>
      <c r="N78"/>
      <c r="O78"/>
    </row>
    <row r="82" spans="8:8">
      <c r="H82" s="448"/>
    </row>
    <row r="83" spans="8:8">
      <c r="H83" s="373"/>
    </row>
    <row r="84" spans="8:8">
      <c r="H84" s="373"/>
    </row>
    <row r="85" spans="8:8">
      <c r="H85" s="373"/>
    </row>
    <row r="86" spans="8:8">
      <c r="H86" s="373"/>
    </row>
    <row r="87" spans="8:8">
      <c r="H87" s="373"/>
    </row>
    <row r="88" spans="8:8">
      <c r="H88" s="373"/>
    </row>
    <row r="89" spans="8:8">
      <c r="H89" s="373"/>
    </row>
    <row r="90" spans="8:8">
      <c r="H90" s="373"/>
    </row>
    <row r="91" spans="8:8">
      <c r="H91" s="373"/>
    </row>
    <row r="92" spans="8:8">
      <c r="H92" s="449"/>
    </row>
    <row r="93" spans="8:8">
      <c r="H93" s="373"/>
    </row>
    <row r="94" spans="8:8">
      <c r="H94" s="373"/>
    </row>
    <row r="95" spans="8:8">
      <c r="H95" s="373"/>
    </row>
    <row r="96" spans="8:8">
      <c r="H96" s="373"/>
    </row>
    <row r="100" spans="1:12" ht="16">
      <c r="A100"/>
    </row>
    <row r="101" spans="1:12" ht="16">
      <c r="A101"/>
    </row>
    <row r="102" spans="1:12" ht="16">
      <c r="A102"/>
    </row>
    <row r="103" spans="1:12" ht="16">
      <c r="A103"/>
      <c r="B103" s="372"/>
      <c r="C103" s="372"/>
      <c r="D103" s="372"/>
      <c r="E103" s="372"/>
      <c r="I103"/>
    </row>
    <row r="104" spans="1:12" ht="16">
      <c r="A104"/>
      <c r="B104" s="18"/>
      <c r="C104" s="18"/>
      <c r="D104" s="18"/>
      <c r="I104"/>
    </row>
    <row r="105" spans="1:12" ht="16">
      <c r="A105"/>
      <c r="B105" s="18"/>
      <c r="C105" s="18"/>
      <c r="D105" s="18"/>
      <c r="I105"/>
    </row>
    <row r="106" spans="1:12" ht="16">
      <c r="A106"/>
      <c r="I106"/>
    </row>
    <row r="107" spans="1:12" ht="16">
      <c r="A107"/>
      <c r="I107"/>
    </row>
    <row r="108" spans="1:12" ht="16">
      <c r="A108"/>
      <c r="H108"/>
      <c r="I108"/>
    </row>
    <row r="109" spans="1:12" ht="16">
      <c r="A109"/>
      <c r="H109"/>
      <c r="I109"/>
    </row>
    <row r="110" spans="1:12" ht="16">
      <c r="A110"/>
      <c r="B110" s="33"/>
      <c r="H110"/>
      <c r="I110"/>
    </row>
    <row r="111" spans="1:12" ht="16">
      <c r="A111"/>
      <c r="B111" s="33"/>
      <c r="H111"/>
      <c r="I111"/>
    </row>
    <row r="112" spans="1:12" ht="16">
      <c r="A112"/>
      <c r="B112" s="33"/>
      <c r="H112"/>
      <c r="I112"/>
      <c r="J112"/>
      <c r="K112"/>
      <c r="L112"/>
    </row>
    <row r="113" spans="1:12" ht="16">
      <c r="A113"/>
      <c r="B113" s="123"/>
      <c r="H113"/>
      <c r="I113"/>
      <c r="J113"/>
      <c r="K113"/>
      <c r="L113"/>
    </row>
    <row r="114" spans="1:12" ht="16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ht="16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ht="16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ht="16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ht="16">
      <c r="B118"/>
      <c r="C118"/>
      <c r="D118"/>
      <c r="E118"/>
      <c r="F118"/>
      <c r="G118"/>
      <c r="H118"/>
      <c r="I118"/>
      <c r="J118"/>
      <c r="K118"/>
      <c r="L118"/>
    </row>
    <row r="119" spans="1:12" ht="16">
      <c r="B119"/>
      <c r="C119"/>
      <c r="D119"/>
      <c r="E119"/>
      <c r="F119"/>
      <c r="G119"/>
      <c r="H119"/>
      <c r="I119"/>
      <c r="J119"/>
      <c r="K119"/>
      <c r="L119"/>
    </row>
    <row r="120" spans="1:12" ht="16">
      <c r="B120"/>
      <c r="C120"/>
      <c r="D120"/>
      <c r="E120"/>
      <c r="F120"/>
      <c r="G120"/>
      <c r="H120"/>
      <c r="I120"/>
      <c r="J120"/>
      <c r="K120"/>
      <c r="L120"/>
    </row>
    <row r="121" spans="1:12" ht="16">
      <c r="B121"/>
      <c r="C121"/>
      <c r="D121"/>
      <c r="E121"/>
      <c r="F121"/>
      <c r="G121"/>
      <c r="H121"/>
      <c r="J121"/>
      <c r="K121"/>
      <c r="L121"/>
    </row>
    <row r="122" spans="1:12" ht="16">
      <c r="B122"/>
      <c r="C122"/>
      <c r="D122"/>
      <c r="E122"/>
      <c r="F122"/>
      <c r="G122"/>
      <c r="H122"/>
      <c r="J122"/>
      <c r="K122"/>
      <c r="L122"/>
    </row>
    <row r="123" spans="1:12" ht="16">
      <c r="B123"/>
      <c r="C123"/>
      <c r="D123"/>
      <c r="E123"/>
      <c r="F123"/>
      <c r="G123"/>
      <c r="H123"/>
      <c r="J123"/>
      <c r="K123"/>
      <c r="L123"/>
    </row>
    <row r="124" spans="1:12" ht="16">
      <c r="B124"/>
      <c r="C124"/>
      <c r="D124"/>
      <c r="E124"/>
      <c r="F124"/>
      <c r="G124"/>
      <c r="H124"/>
      <c r="J124"/>
      <c r="K124"/>
      <c r="L124"/>
    </row>
    <row r="125" spans="1:12" ht="16">
      <c r="B125"/>
      <c r="C125"/>
      <c r="D125"/>
      <c r="E125"/>
      <c r="F125"/>
      <c r="G125"/>
      <c r="H125"/>
      <c r="J125"/>
      <c r="K125"/>
      <c r="L125"/>
    </row>
    <row r="126" spans="1:12" ht="16">
      <c r="B126"/>
      <c r="C126"/>
      <c r="D126"/>
      <c r="E126"/>
      <c r="F126"/>
      <c r="G126"/>
      <c r="J126"/>
      <c r="K126"/>
      <c r="L126"/>
    </row>
    <row r="127" spans="1:12" ht="16">
      <c r="B127"/>
      <c r="C127"/>
      <c r="D127"/>
      <c r="E127"/>
      <c r="F127"/>
      <c r="G127"/>
      <c r="J127"/>
      <c r="K127"/>
      <c r="L127"/>
    </row>
    <row r="128" spans="1:12" ht="16">
      <c r="B128"/>
      <c r="C128"/>
      <c r="D128"/>
      <c r="E128"/>
      <c r="F128"/>
      <c r="G128"/>
      <c r="J128"/>
      <c r="K128"/>
      <c r="L128"/>
    </row>
    <row r="129" spans="2:12" ht="16">
      <c r="B129"/>
      <c r="C129"/>
      <c r="D129"/>
      <c r="E129"/>
      <c r="F129"/>
      <c r="G129"/>
      <c r="J129"/>
      <c r="K129"/>
      <c r="L129"/>
    </row>
    <row r="130" spans="2:12" ht="16">
      <c r="B130"/>
      <c r="C130"/>
      <c r="D130"/>
      <c r="E130"/>
      <c r="F130"/>
      <c r="G130"/>
    </row>
    <row r="131" spans="2:12" ht="16">
      <c r="B131"/>
      <c r="C131"/>
      <c r="D131"/>
      <c r="E131"/>
      <c r="F131"/>
      <c r="G131"/>
    </row>
  </sheetData>
  <scenarios current="0" show="0" sqref="O11">
    <scenario name="Cost" locked="1" count="1" user="Microsoft Office User" comment="Created by Microsoft Office User on 6/30/2022">
      <inputCells r="O20" val="2000000" numFmtId="37"/>
    </scenario>
  </scenarios>
  <dataValidations count="2">
    <dataValidation type="list" allowBlank="1" showInputMessage="1" showErrorMessage="1" sqref="C13" xr:uid="{887D4D1A-7333-6A4E-8470-EB216642ACF9}">
      <formula1>"0%, 10%, 20%, 30%, 40%"</formula1>
    </dataValidation>
    <dataValidation type="list" allowBlank="1" showInputMessage="1" showErrorMessage="1" sqref="C20" xr:uid="{6827E73E-15AF-0446-B4CD-C564903F25AB}">
      <formula1>"Borrower, Lender"</formula1>
    </dataValidation>
  </dataValidations>
  <pageMargins left="0.7" right="0.7" top="0.75" bottom="0.75" header="0.3" footer="0.3"/>
  <pageSetup scale="56" orientation="landscape"/>
  <headerFooter>
    <oddFooter>&amp;L&amp;F&amp;R&amp;A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BC090-06D0-FA46-B5C0-60BA11EFA168}">
  <sheetPr codeName="Sheet2">
    <tabColor rgb="FF007434"/>
    <pageSetUpPr fitToPage="1"/>
  </sheetPr>
  <dimension ref="B1:Q73"/>
  <sheetViews>
    <sheetView zoomScale="135" zoomScaleNormal="159" workbookViewId="0">
      <selection activeCell="J12" sqref="J12"/>
    </sheetView>
  </sheetViews>
  <sheetFormatPr baseColWidth="10" defaultColWidth="9.1640625" defaultRowHeight="13"/>
  <cols>
    <col min="1" max="1" width="9.1640625" style="125"/>
    <col min="2" max="2" width="23.1640625" style="125" customWidth="1"/>
    <col min="3" max="3" width="12.33203125" style="125" customWidth="1"/>
    <col min="4" max="4" width="8.6640625" style="125" customWidth="1"/>
    <col min="5" max="5" width="13.33203125" style="125" customWidth="1"/>
    <col min="6" max="6" width="12.5" style="125" customWidth="1"/>
    <col min="7" max="7" width="14" style="125" bestFit="1" customWidth="1"/>
    <col min="8" max="8" width="3.5" style="125" customWidth="1"/>
    <col min="9" max="9" width="33.6640625" style="125" customWidth="1"/>
    <col min="10" max="10" width="16.6640625" style="125" customWidth="1"/>
    <col min="11" max="11" width="4.6640625" style="125" bestFit="1" customWidth="1"/>
    <col min="12" max="12" width="24.1640625" style="125" customWidth="1"/>
    <col min="13" max="13" width="6.6640625" style="125" customWidth="1"/>
    <col min="14" max="14" width="12" style="125" customWidth="1"/>
    <col min="15" max="15" width="9.1640625" style="125"/>
    <col min="16" max="17" width="9.33203125" style="125" bestFit="1" customWidth="1"/>
    <col min="18" max="18" width="14.83203125" style="125" customWidth="1"/>
    <col min="19" max="19" width="9.6640625" style="125" bestFit="1" customWidth="1"/>
    <col min="20" max="20" width="9.1640625" style="125"/>
    <col min="21" max="21" width="11.6640625" style="125" customWidth="1"/>
    <col min="22" max="16384" width="9.1640625" style="125"/>
  </cols>
  <sheetData>
    <row r="1" spans="2:17">
      <c r="B1" s="124" t="str">
        <f>'Grand Prairie- Exec Summary (1)'!B2</f>
        <v xml:space="preserve">Lofts at Grand prairie </v>
      </c>
    </row>
    <row r="2" spans="2:17">
      <c r="B2" s="126"/>
    </row>
    <row r="3" spans="2:17" ht="14" thickBot="1">
      <c r="B3" s="126" t="s">
        <v>341</v>
      </c>
    </row>
    <row r="4" spans="2:17">
      <c r="B4" s="471"/>
      <c r="C4" s="472"/>
      <c r="D4" s="472"/>
      <c r="E4" s="473"/>
    </row>
    <row r="5" spans="2:17">
      <c r="B5" s="127" t="s">
        <v>359</v>
      </c>
      <c r="C5" s="128"/>
      <c r="D5" s="128"/>
      <c r="E5" s="129">
        <f ca="1">J35</f>
        <v>57217401.309118159</v>
      </c>
    </row>
    <row r="6" spans="2:17">
      <c r="B6" s="431" t="s">
        <v>87</v>
      </c>
      <c r="C6" s="437"/>
      <c r="D6" s="437"/>
      <c r="E6" s="434">
        <f>F67</f>
        <v>0</v>
      </c>
    </row>
    <row r="7" spans="2:17" ht="14" thickBot="1">
      <c r="B7" s="130" t="s">
        <v>342</v>
      </c>
      <c r="C7" s="131"/>
      <c r="D7" s="131"/>
      <c r="E7" s="132">
        <f ca="1">E5</f>
        <v>57217401.309118159</v>
      </c>
      <c r="F7" s="133"/>
      <c r="I7" s="124" t="s">
        <v>354</v>
      </c>
    </row>
    <row r="8" spans="2:17">
      <c r="B8" s="126"/>
      <c r="Q8" s="134"/>
    </row>
    <row r="9" spans="2:17" ht="14" thickBot="1">
      <c r="B9" s="126" t="s">
        <v>335</v>
      </c>
      <c r="L9" s="133"/>
    </row>
    <row r="10" spans="2:17" ht="17" thickBot="1">
      <c r="B10" s="135"/>
      <c r="C10" s="136" t="s">
        <v>88</v>
      </c>
      <c r="D10" s="136" t="s">
        <v>89</v>
      </c>
      <c r="E10" s="136" t="s">
        <v>90</v>
      </c>
      <c r="F10" s="136" t="s">
        <v>63</v>
      </c>
      <c r="G10" s="137" t="s">
        <v>91</v>
      </c>
      <c r="H10" s="138"/>
      <c r="I10" s="139" t="s">
        <v>338</v>
      </c>
      <c r="J10" s="140"/>
      <c r="K10" s="138"/>
      <c r="L10"/>
      <c r="M10"/>
      <c r="N10"/>
    </row>
    <row r="11" spans="2:17" ht="16">
      <c r="B11" s="141" t="s">
        <v>92</v>
      </c>
      <c r="C11" s="142" t="s">
        <v>93</v>
      </c>
      <c r="D11" s="142" t="s">
        <v>94</v>
      </c>
      <c r="E11" s="142" t="s">
        <v>33</v>
      </c>
      <c r="F11" s="142" t="s">
        <v>25</v>
      </c>
      <c r="G11" s="143" t="s">
        <v>95</v>
      </c>
      <c r="H11" s="138"/>
      <c r="I11" s="144" t="s">
        <v>96</v>
      </c>
      <c r="J11" s="145">
        <v>10760000</v>
      </c>
      <c r="K11" s="138"/>
      <c r="L11"/>
      <c r="M11"/>
      <c r="N11"/>
    </row>
    <row r="12" spans="2:17" ht="16">
      <c r="B12" s="146" t="str">
        <f>'Grand Prairie- Exec Summary (1)'!B26</f>
        <v>A-1: 1BR</v>
      </c>
      <c r="C12" s="128">
        <f>'Grand Prairie- Exec Summary (1)'!C26</f>
        <v>104</v>
      </c>
      <c r="D12" s="128">
        <f>'Grand Prairie- Exec Summary (1)'!D26</f>
        <v>725</v>
      </c>
      <c r="E12" s="147">
        <f>'Grand Prairie- Exec Summary (1)'!E26</f>
        <v>2.1379310344827585</v>
      </c>
      <c r="F12" s="128">
        <f>'Grand Prairie- Exec Summary (1)'!F26</f>
        <v>1550</v>
      </c>
      <c r="G12" s="148">
        <f>'Grand Prairie- Exec Summary (1)'!G26</f>
        <v>1934400</v>
      </c>
      <c r="H12" s="138"/>
      <c r="I12" s="149" t="s">
        <v>50</v>
      </c>
      <c r="J12" s="150">
        <f>'Grand Prairie- Exec Summary (1)'!O29</f>
        <v>64651435.77604036</v>
      </c>
      <c r="K12" s="138"/>
      <c r="L12"/>
      <c r="M12"/>
      <c r="N12"/>
    </row>
    <row r="13" spans="2:17" ht="16">
      <c r="B13" s="146" t="str">
        <f>'Grand Prairie- Exec Summary (1)'!B27</f>
        <v>A-2: 1BR</v>
      </c>
      <c r="C13" s="128">
        <f>'Grand Prairie- Exec Summary (1)'!C27</f>
        <v>40</v>
      </c>
      <c r="D13" s="128">
        <f>'Grand Prairie- Exec Summary (1)'!D27</f>
        <v>762</v>
      </c>
      <c r="E13" s="147">
        <f>'Grand Prairie- Exec Summary (1)'!E27</f>
        <v>2.1259842519685042</v>
      </c>
      <c r="F13" s="128">
        <f>'Grand Prairie- Exec Summary (1)'!F27</f>
        <v>1620</v>
      </c>
      <c r="G13" s="148">
        <f>'Grand Prairie- Exec Summary (1)'!G27</f>
        <v>777600</v>
      </c>
      <c r="H13" s="138"/>
      <c r="I13" s="151" t="s">
        <v>376</v>
      </c>
      <c r="J13" s="152">
        <f>'Grand Prairie- Exec Summary (1)'!O41</f>
        <v>700000</v>
      </c>
      <c r="K13" s="138"/>
      <c r="L13"/>
      <c r="M13"/>
      <c r="N13"/>
    </row>
    <row r="14" spans="2:17" ht="16">
      <c r="B14" s="146" t="str">
        <f>'Grand Prairie- Exec Summary (1)'!B28</f>
        <v>A-3: 1BR</v>
      </c>
      <c r="C14" s="128">
        <f>'Grand Prairie- Exec Summary (1)'!C28</f>
        <v>24</v>
      </c>
      <c r="D14" s="128">
        <f>'Grand Prairie- Exec Summary (1)'!D28</f>
        <v>803</v>
      </c>
      <c r="E14" s="147">
        <f>'Grand Prairie- Exec Summary (1)'!E28</f>
        <v>2.1481942714819429</v>
      </c>
      <c r="F14" s="128">
        <f>'Grand Prairie- Exec Summary (1)'!F28</f>
        <v>1725</v>
      </c>
      <c r="G14" s="148">
        <f>'Grand Prairie- Exec Summary (1)'!G28</f>
        <v>496800</v>
      </c>
      <c r="H14" s="138"/>
      <c r="I14" s="151"/>
      <c r="J14" s="152"/>
      <c r="K14" s="138"/>
      <c r="L14"/>
      <c r="M14"/>
      <c r="N14"/>
    </row>
    <row r="15" spans="2:17" ht="16">
      <c r="B15" s="146" t="str">
        <f>'Grand Prairie- Exec Summary (1)'!B29</f>
        <v>A-4: 1BR</v>
      </c>
      <c r="C15" s="128">
        <f>'Grand Prairie- Exec Summary (1)'!C29</f>
        <v>32</v>
      </c>
      <c r="D15" s="128">
        <f>'Grand Prairie- Exec Summary (1)'!D29</f>
        <v>874</v>
      </c>
      <c r="E15" s="147">
        <f>'Grand Prairie- Exec Summary (1)'!E29</f>
        <v>2.1739130434782608</v>
      </c>
      <c r="F15" s="128">
        <f>'Grand Prairie- Exec Summary (1)'!F29</f>
        <v>1900</v>
      </c>
      <c r="G15" s="148">
        <f>'Grand Prairie- Exec Summary (1)'!G29</f>
        <v>729600</v>
      </c>
      <c r="H15" s="138"/>
      <c r="I15" s="151" t="str">
        <f>'Grand Prairie- Exec Summary (1)'!J32</f>
        <v>FF&amp;E - pool, clubhouse, leasing office, gym eqp, lockers</v>
      </c>
      <c r="J15" s="150">
        <f>'Grand Prairie- Exec Summary (1)'!O32</f>
        <v>598995</v>
      </c>
      <c r="K15" s="138"/>
      <c r="L15"/>
      <c r="M15"/>
      <c r="N15"/>
    </row>
    <row r="16" spans="2:17" ht="16">
      <c r="B16" s="146" t="str">
        <f>'Grand Prairie- Exec Summary (1)'!B30</f>
        <v>A-5: 1BR</v>
      </c>
      <c r="C16" s="128">
        <f>'Grand Prairie- Exec Summary (1)'!C30</f>
        <v>30</v>
      </c>
      <c r="D16" s="128">
        <f>'Grand Prairie- Exec Summary (1)'!D30</f>
        <v>930</v>
      </c>
      <c r="E16" s="147">
        <f>'Grand Prairie- Exec Summary (1)'!E30</f>
        <v>2.150537634408602</v>
      </c>
      <c r="F16" s="128">
        <f>'Grand Prairie- Exec Summary (1)'!F30</f>
        <v>2000</v>
      </c>
      <c r="G16" s="148">
        <f>'Grand Prairie- Exec Summary (1)'!G30</f>
        <v>720000</v>
      </c>
      <c r="H16" s="138"/>
      <c r="I16" s="151" t="str">
        <f>'Grand Prairie- Exec Summary (1)'!J31</f>
        <v>A &amp; E &amp; Interiors</v>
      </c>
      <c r="J16" s="152">
        <f>'Grand Prairie- Exec Summary (1)'!O31</f>
        <v>993666</v>
      </c>
      <c r="K16" s="138"/>
      <c r="L16"/>
      <c r="M16"/>
      <c r="N16"/>
    </row>
    <row r="17" spans="2:14" ht="16">
      <c r="B17" s="146" t="str">
        <f>'Grand Prairie- Exec Summary (1)'!B31</f>
        <v>B-1: 2BR</v>
      </c>
      <c r="C17" s="128">
        <f>'Grand Prairie- Exec Summary (1)'!C31</f>
        <v>72</v>
      </c>
      <c r="D17" s="128">
        <f>'Grand Prairie- Exec Summary (1)'!D31</f>
        <v>1060</v>
      </c>
      <c r="E17" s="147">
        <f>'Grand Prairie- Exec Summary (1)'!E31</f>
        <v>2.2641509433962264</v>
      </c>
      <c r="F17" s="128">
        <f>'Grand Prairie- Exec Summary (1)'!F31</f>
        <v>2400</v>
      </c>
      <c r="G17" s="148">
        <f>'Grand Prairie- Exec Summary (1)'!G31</f>
        <v>2073600</v>
      </c>
      <c r="H17" s="138"/>
      <c r="I17" s="149" t="s">
        <v>97</v>
      </c>
      <c r="J17" s="150">
        <f ca="1">SUM('Grand Prairie- Exec Summary (1)'!O27:O28)+SUM('Grand Prairie- Exec Summary (1)'!O46:O50)</f>
        <v>311526.77124479716</v>
      </c>
      <c r="K17" s="138"/>
      <c r="L17"/>
      <c r="M17"/>
      <c r="N17"/>
    </row>
    <row r="18" spans="2:14" ht="16">
      <c r="B18" s="146" t="str">
        <f>'Grand Prairie- Exec Summary (1)'!B32</f>
        <v>B-2: 2BR</v>
      </c>
      <c r="C18" s="128">
        <f>'Grand Prairie- Exec Summary (1)'!C32</f>
        <v>30</v>
      </c>
      <c r="D18" s="128">
        <f>'Grand Prairie- Exec Summary (1)'!D32</f>
        <v>1120</v>
      </c>
      <c r="E18" s="147">
        <f>'Grand Prairie- Exec Summary (1)'!E32</f>
        <v>2.3035714285714284</v>
      </c>
      <c r="F18" s="128">
        <f>'Grand Prairie- Exec Summary (1)'!F32</f>
        <v>2580</v>
      </c>
      <c r="G18" s="148">
        <f>'Grand Prairie- Exec Summary (1)'!G32</f>
        <v>928800</v>
      </c>
      <c r="H18" s="138"/>
      <c r="I18" s="151" t="str">
        <f>'Grand Prairie- Exec Summary (1)'!J30</f>
        <v>Other Soft Costs</v>
      </c>
      <c r="J18" s="152">
        <f>'Grand Prairie- Exec Summary (1)'!O30</f>
        <v>30000</v>
      </c>
      <c r="K18" s="138"/>
      <c r="L18"/>
      <c r="M18"/>
      <c r="N18"/>
    </row>
    <row r="19" spans="2:14" ht="16">
      <c r="B19" s="146" t="str">
        <f>'Grand Prairie- Exec Summary (1)'!B33</f>
        <v>B-3: 2BR</v>
      </c>
      <c r="C19" s="128">
        <f>'Grand Prairie- Exec Summary (1)'!C33</f>
        <v>16</v>
      </c>
      <c r="D19" s="128">
        <f>'Grand Prairie- Exec Summary (1)'!D33</f>
        <v>1213</v>
      </c>
      <c r="E19" s="147">
        <f>'Grand Prairie- Exec Summary (1)'!E33</f>
        <v>2.3371805441055233</v>
      </c>
      <c r="F19" s="128">
        <f>'Grand Prairie- Exec Summary (1)'!F33</f>
        <v>2835</v>
      </c>
      <c r="G19" s="148">
        <f>'Grand Prairie- Exec Summary (1)'!G33</f>
        <v>544320</v>
      </c>
      <c r="H19" s="138"/>
      <c r="I19" s="151" t="str">
        <f>'Grand Prairie- Exec Summary (1)'!J33</f>
        <v>Legal - Lender (Classified as placement fee for HUD)</v>
      </c>
      <c r="J19" s="152">
        <f>'Grand Prairie- Exec Summary (1)'!O33+'Grand Prairie- Exec Summary (1)'!O34+'Grand Prairie- Exec Summary (1)'!O35</f>
        <v>85000</v>
      </c>
      <c r="K19" s="138"/>
      <c r="L19"/>
      <c r="M19"/>
      <c r="N19"/>
    </row>
    <row r="20" spans="2:14" ht="16">
      <c r="B20" s="127" t="str">
        <f>'Grand Prairie- Exec Summary (1)'!B35</f>
        <v>Residential Totals</v>
      </c>
      <c r="C20" s="153">
        <f>'Grand Prairie- Exec Summary (1)'!C35</f>
        <v>348</v>
      </c>
      <c r="D20" s="153">
        <f>'Grand Prairie- Exec Summary (1)'!D35</f>
        <v>891.80459770114942</v>
      </c>
      <c r="E20" s="154">
        <f>'Grand Prairie- Exec Summary (1)'!E35</f>
        <v>2.2032041450242952</v>
      </c>
      <c r="F20" s="153">
        <f>'Grand Prairie- Exec Summary (1)'!F35</f>
        <v>1964.8275862068965</v>
      </c>
      <c r="G20" s="129">
        <f>'Grand Prairie- Exec Summary (1)'!G35</f>
        <v>8205120</v>
      </c>
      <c r="H20" s="138"/>
      <c r="I20" s="151" t="s">
        <v>98</v>
      </c>
      <c r="J20" s="152">
        <f>'Grand Prairie- Exec Summary (1)'!O36</f>
        <v>50000</v>
      </c>
      <c r="K20" s="138"/>
      <c r="L20"/>
      <c r="M20"/>
      <c r="N20"/>
    </row>
    <row r="21" spans="2:14" ht="16">
      <c r="B21" s="146" t="str">
        <f>'Grand Prairie- Exec Summary (1)'!B36</f>
        <v>WB Totals</v>
      </c>
      <c r="C21" s="153"/>
      <c r="D21" s="153"/>
      <c r="E21" s="154"/>
      <c r="F21" s="153"/>
      <c r="G21" s="129"/>
      <c r="H21" s="138"/>
      <c r="I21" s="151" t="str">
        <f>'Grand Prairie- Exec Summary (1)'!J37</f>
        <v>Impact Fees</v>
      </c>
      <c r="J21" s="152">
        <f>'Grand Prairie- Exec Summary (1)'!O37</f>
        <v>275473.5</v>
      </c>
      <c r="K21" s="138"/>
      <c r="L21"/>
      <c r="M21"/>
      <c r="N21"/>
    </row>
    <row r="22" spans="2:14" ht="16">
      <c r="B22" s="431"/>
      <c r="C22" s="432"/>
      <c r="D22" s="432"/>
      <c r="E22" s="433"/>
      <c r="F22" s="432"/>
      <c r="G22" s="434"/>
      <c r="H22" s="138"/>
      <c r="I22" s="151" t="str">
        <f>'Grand Prairie- Exec Summary (1)'!J38</f>
        <v>Construction Interest</v>
      </c>
      <c r="J22" s="152">
        <f ca="1">'Grand Prairie- Exec Summary (1)'!O38</f>
        <v>3470986.0601113746</v>
      </c>
      <c r="K22" s="138"/>
      <c r="L22"/>
      <c r="M22"/>
      <c r="N22"/>
    </row>
    <row r="23" spans="2:14" ht="16">
      <c r="B23" s="431"/>
      <c r="C23" s="432"/>
      <c r="D23" s="432"/>
      <c r="E23" s="433"/>
      <c r="F23" s="432"/>
      <c r="G23" s="435"/>
      <c r="H23" s="138"/>
      <c r="I23" s="151" t="str">
        <f>'Grand Prairie- Exec Summary (1)'!J40</f>
        <v>Property Insurance</v>
      </c>
      <c r="J23" s="152">
        <f>'Grand Prairie- Exec Summary (1)'!O40</f>
        <v>200000</v>
      </c>
      <c r="K23" s="138"/>
      <c r="L23"/>
      <c r="M23"/>
      <c r="N23"/>
    </row>
    <row r="24" spans="2:14" ht="16">
      <c r="B24" s="436"/>
      <c r="C24" s="437"/>
      <c r="D24" s="432"/>
      <c r="E24" s="433"/>
      <c r="F24" s="437"/>
      <c r="G24" s="435"/>
      <c r="H24" s="138"/>
      <c r="I24" s="151" t="str">
        <f>'Grand Prairie- Exec Summary (1)'!J42</f>
        <v>Pace Transaction Fee</v>
      </c>
      <c r="J24" s="152">
        <f>'Grand Prairie- Exec Summary (1)'!O42</f>
        <v>31740</v>
      </c>
      <c r="K24" s="138"/>
      <c r="L24"/>
      <c r="M24"/>
      <c r="N24"/>
    </row>
    <row r="25" spans="2:14" ht="16">
      <c r="B25" s="436"/>
      <c r="C25" s="437"/>
      <c r="D25" s="432"/>
      <c r="E25" s="433"/>
      <c r="F25" s="437"/>
      <c r="G25" s="435"/>
      <c r="H25" s="138"/>
      <c r="I25" s="151" t="str">
        <f>'Grand Prairie- Exec Summary (1)'!J43</f>
        <v>Pace Financing Fee</v>
      </c>
      <c r="J25" s="152">
        <f ca="1">'Grand Prairie- Exec Summary (1)'!O43</f>
        <v>176053.54248959434</v>
      </c>
      <c r="K25" s="138"/>
      <c r="L25"/>
      <c r="M25"/>
      <c r="N25"/>
    </row>
    <row r="26" spans="2:14" ht="16">
      <c r="B26" s="436"/>
      <c r="C26" s="437"/>
      <c r="D26" s="432"/>
      <c r="E26" s="433"/>
      <c r="F26" s="437"/>
      <c r="G26" s="435"/>
      <c r="H26" s="138"/>
      <c r="I26" s="151" t="str">
        <f>'Grand Prairie- Exec Summary (1)'!J44</f>
        <v>Senior Financing Fee</v>
      </c>
      <c r="J26" s="152">
        <f ca="1">'Grand Prairie- Exec Summary (1)'!O44</f>
        <v>286087.00654559082</v>
      </c>
      <c r="K26" s="138"/>
      <c r="L26"/>
      <c r="M26"/>
      <c r="N26"/>
    </row>
    <row r="27" spans="2:14" ht="16">
      <c r="B27" s="436"/>
      <c r="C27" s="437"/>
      <c r="D27" s="432"/>
      <c r="E27" s="433"/>
      <c r="F27" s="437"/>
      <c r="G27" s="435"/>
      <c r="H27" s="138"/>
      <c r="I27" s="151" t="str">
        <f>'Grand Prairie- Exec Summary (1)'!J45</f>
        <v>Title &amp; Recording</v>
      </c>
      <c r="J27" s="152">
        <f>'Grand Prairie- Exec Summary (1)'!O45</f>
        <v>465325</v>
      </c>
      <c r="K27" s="138"/>
      <c r="L27"/>
      <c r="M27"/>
      <c r="N27"/>
    </row>
    <row r="28" spans="2:14" ht="16">
      <c r="B28" s="436"/>
      <c r="C28" s="437"/>
      <c r="D28" s="432"/>
      <c r="E28" s="433"/>
      <c r="F28" s="437"/>
      <c r="G28" s="435"/>
      <c r="H28" s="138"/>
      <c r="I28" s="151"/>
      <c r="J28" s="152"/>
      <c r="K28" s="138"/>
      <c r="L28"/>
      <c r="M28"/>
      <c r="N28"/>
    </row>
    <row r="29" spans="2:14" ht="16">
      <c r="B29" s="436"/>
      <c r="C29" s="437"/>
      <c r="D29" s="432"/>
      <c r="E29" s="433"/>
      <c r="F29" s="437"/>
      <c r="G29" s="435"/>
      <c r="H29" s="138"/>
      <c r="I29" s="151" t="s">
        <v>64</v>
      </c>
      <c r="J29" s="152">
        <f>'Grand Prairie- Exec Summary (1)'!O51</f>
        <v>95308</v>
      </c>
      <c r="K29" s="138"/>
      <c r="L29"/>
      <c r="M29"/>
      <c r="N29"/>
    </row>
    <row r="30" spans="2:14" ht="16">
      <c r="B30" s="436"/>
      <c r="C30" s="437"/>
      <c r="D30" s="432"/>
      <c r="E30" s="433"/>
      <c r="F30" s="437"/>
      <c r="G30" s="435"/>
      <c r="H30" s="138"/>
      <c r="I30" s="151" t="str">
        <f>'Grand Prairie- Exec Summary (1)'!J52</f>
        <v>Construction Contigency</v>
      </c>
      <c r="J30" s="152">
        <f ca="1">'Grand Prairie- Exec Summary (1)'!O52</f>
        <v>2288696.0523647266</v>
      </c>
      <c r="K30" s="138"/>
      <c r="L30"/>
      <c r="M30"/>
      <c r="N30"/>
    </row>
    <row r="31" spans="2:14" ht="16">
      <c r="B31" s="436"/>
      <c r="C31" s="437"/>
      <c r="D31" s="432"/>
      <c r="E31" s="433"/>
      <c r="F31" s="437"/>
      <c r="G31" s="435"/>
      <c r="H31" s="138"/>
      <c r="I31" s="151" t="str">
        <f>'Grand Prairie- Exec Summary (1)'!J53</f>
        <v>Lease up Contigency</v>
      </c>
      <c r="J31" s="152">
        <f ca="1">'Grand Prairie- Exec Summary (1)'!O53</f>
        <v>1573478.5360007493</v>
      </c>
      <c r="K31" s="138"/>
      <c r="L31"/>
      <c r="M31"/>
      <c r="N31"/>
    </row>
    <row r="32" spans="2:14" ht="16">
      <c r="B32" s="431"/>
      <c r="C32" s="432"/>
      <c r="D32" s="432"/>
      <c r="E32" s="432"/>
      <c r="F32" s="437"/>
      <c r="G32" s="434"/>
      <c r="H32" s="138"/>
      <c r="I32" s="151" t="str">
        <f>'Grand Prairie- Exec Summary (1)'!J54</f>
        <v>Taxes during construction</v>
      </c>
      <c r="J32" s="152">
        <f>'Grand Prairie- Exec Summary (1)'!O54</f>
        <v>983000</v>
      </c>
      <c r="K32" s="138"/>
      <c r="L32"/>
      <c r="M32"/>
      <c r="N32"/>
    </row>
    <row r="33" spans="2:14" ht="16">
      <c r="B33" s="146" t="s">
        <v>81</v>
      </c>
      <c r="C33" s="128"/>
      <c r="D33" s="128"/>
      <c r="E33" s="155"/>
      <c r="F33" s="128"/>
      <c r="G33" s="129">
        <f>'Grand Prairie- Exec Summary (1)'!F52</f>
        <v>917004</v>
      </c>
      <c r="H33" s="138"/>
      <c r="I33" s="149" t="s">
        <v>99</v>
      </c>
      <c r="J33" s="150">
        <f ca="1">SUM(J11:J32)</f>
        <v>88026771.24479717</v>
      </c>
      <c r="K33" s="138"/>
      <c r="L33"/>
      <c r="M33"/>
      <c r="N33"/>
    </row>
    <row r="34" spans="2:14" ht="16">
      <c r="B34" s="146" t="s">
        <v>71</v>
      </c>
      <c r="C34" s="128"/>
      <c r="D34" s="128"/>
      <c r="E34" s="128"/>
      <c r="F34" s="128"/>
      <c r="G34" s="148">
        <f>'Grand Prairie- Exec Summary (1)'!D44</f>
        <v>0</v>
      </c>
      <c r="H34" s="138"/>
      <c r="I34" s="151" t="s">
        <v>100</v>
      </c>
      <c r="J34" s="156">
        <f>'Grand Prairie- Exec Summary (1)'!G7</f>
        <v>0.65</v>
      </c>
      <c r="K34" s="138"/>
      <c r="L34"/>
      <c r="M34"/>
      <c r="N34"/>
    </row>
    <row r="35" spans="2:14" ht="17" thickBot="1">
      <c r="B35" s="157" t="s">
        <v>101</v>
      </c>
      <c r="C35" s="158"/>
      <c r="D35" s="158"/>
      <c r="E35" s="158"/>
      <c r="F35" s="158"/>
      <c r="G35" s="159">
        <f>IF('Grand Prairie- Exec Summary (1)'!C14="HUD",G32+G33+G34,G20+G33+G34)</f>
        <v>9122124</v>
      </c>
      <c r="H35" s="138"/>
      <c r="I35" s="160" t="s">
        <v>339</v>
      </c>
      <c r="J35" s="161">
        <f ca="1">J33*J34</f>
        <v>57217401.309118159</v>
      </c>
      <c r="K35" s="138"/>
      <c r="L35"/>
      <c r="M35"/>
      <c r="N35"/>
    </row>
    <row r="36" spans="2:14" ht="14" thickTop="1">
      <c r="B36" s="163" t="s">
        <v>336</v>
      </c>
      <c r="C36" s="164"/>
      <c r="D36" s="164"/>
      <c r="E36" s="165">
        <v>0.05</v>
      </c>
      <c r="F36" s="164"/>
      <c r="G36" s="166">
        <f>-E36*(G35+G33)</f>
        <v>-501956.4</v>
      </c>
      <c r="H36" s="138"/>
    </row>
    <row r="37" spans="2:14" ht="16">
      <c r="B37" s="146" t="s">
        <v>337</v>
      </c>
      <c r="C37" s="128"/>
      <c r="D37" s="128"/>
      <c r="E37" s="155">
        <v>0.2</v>
      </c>
      <c r="F37" s="128"/>
      <c r="G37" s="148">
        <f>-E37*G34</f>
        <v>0</v>
      </c>
      <c r="H37" s="138"/>
      <c r="I37"/>
      <c r="J37"/>
    </row>
    <row r="38" spans="2:14" ht="16">
      <c r="B38" s="146" t="s">
        <v>77</v>
      </c>
      <c r="C38" s="128"/>
      <c r="D38" s="128"/>
      <c r="E38" s="128"/>
      <c r="F38" s="128"/>
      <c r="G38" s="148">
        <f>G35+G36+G37</f>
        <v>8620167.5999999996</v>
      </c>
      <c r="H38" s="138"/>
      <c r="I38"/>
      <c r="J38" s="167"/>
    </row>
    <row r="39" spans="2:14" ht="16">
      <c r="B39" s="146"/>
      <c r="C39" s="128"/>
      <c r="D39" s="128"/>
      <c r="E39" s="128"/>
      <c r="F39" s="128"/>
      <c r="G39" s="148"/>
      <c r="H39" s="138"/>
      <c r="I39"/>
      <c r="J39"/>
    </row>
    <row r="40" spans="2:14" ht="16">
      <c r="B40" s="146" t="s">
        <v>102</v>
      </c>
      <c r="C40" s="168"/>
      <c r="D40" s="128"/>
      <c r="E40" s="169">
        <v>0.35</v>
      </c>
      <c r="F40" s="128"/>
      <c r="G40" s="148">
        <f>E40*G35</f>
        <v>3192743.4</v>
      </c>
      <c r="H40" s="138"/>
      <c r="I40"/>
      <c r="J40"/>
    </row>
    <row r="41" spans="2:14" ht="16">
      <c r="B41" s="146" t="s">
        <v>103</v>
      </c>
      <c r="C41" s="128"/>
      <c r="D41" s="128"/>
      <c r="E41" s="128"/>
      <c r="F41" s="128"/>
      <c r="G41" s="170">
        <f>'Grand Prairie- Pro Forma (3)'!Y72</f>
        <v>971936.89095309901</v>
      </c>
      <c r="H41" s="138"/>
      <c r="I41"/>
      <c r="J41"/>
    </row>
    <row r="42" spans="2:14" ht="17" thickBot="1">
      <c r="B42" s="130" t="s">
        <v>78</v>
      </c>
      <c r="C42" s="162"/>
      <c r="D42" s="162"/>
      <c r="E42" s="162"/>
      <c r="F42" s="162"/>
      <c r="G42" s="132">
        <f>G38-G40</f>
        <v>5427424.1999999993</v>
      </c>
      <c r="H42" s="138"/>
      <c r="I42"/>
      <c r="J42"/>
    </row>
    <row r="43" spans="2:14" ht="16">
      <c r="B43" s="124"/>
      <c r="H43" s="477"/>
      <c r="I43"/>
      <c r="J43"/>
    </row>
    <row r="44" spans="2:14" ht="16">
      <c r="H44" s="477"/>
      <c r="I44"/>
      <c r="J44"/>
    </row>
    <row r="45" spans="2:14" ht="16">
      <c r="B45"/>
      <c r="C45"/>
      <c r="D45"/>
      <c r="E45"/>
      <c r="F45"/>
      <c r="G45"/>
      <c r="H45" s="477"/>
      <c r="I45"/>
      <c r="J45"/>
    </row>
    <row r="46" spans="2:14" ht="16">
      <c r="B46"/>
      <c r="C46"/>
      <c r="D46"/>
      <c r="E46"/>
      <c r="F46"/>
      <c r="G46"/>
      <c r="H46" s="477"/>
      <c r="I46"/>
      <c r="J46"/>
      <c r="K46" s="171"/>
    </row>
    <row r="47" spans="2:14" ht="16">
      <c r="B47"/>
      <c r="C47"/>
      <c r="D47"/>
      <c r="E47"/>
      <c r="F47"/>
      <c r="G47"/>
      <c r="H47" s="477"/>
      <c r="I47"/>
      <c r="J47"/>
    </row>
    <row r="48" spans="2:14" ht="16">
      <c r="B48"/>
      <c r="C48"/>
      <c r="D48"/>
      <c r="E48"/>
      <c r="F48"/>
      <c r="G48"/>
      <c r="H48" s="477"/>
      <c r="I48"/>
      <c r="J48"/>
    </row>
    <row r="49" spans="2:14" ht="16">
      <c r="B49"/>
      <c r="C49"/>
      <c r="D49"/>
      <c r="E49"/>
      <c r="F49"/>
      <c r="G49"/>
      <c r="H49" s="477"/>
      <c r="I49"/>
      <c r="J49"/>
    </row>
    <row r="50" spans="2:14" ht="16">
      <c r="B50"/>
      <c r="C50"/>
      <c r="D50"/>
      <c r="E50"/>
      <c r="F50"/>
      <c r="G50"/>
      <c r="H50" s="477"/>
      <c r="I50"/>
      <c r="J50"/>
      <c r="K50" s="171"/>
    </row>
    <row r="51" spans="2:14" ht="16">
      <c r="B51"/>
      <c r="C51"/>
      <c r="D51"/>
      <c r="E51"/>
      <c r="F51"/>
      <c r="G51"/>
      <c r="H51" s="477"/>
      <c r="I51" s="140"/>
    </row>
    <row r="52" spans="2:14" ht="16">
      <c r="B52"/>
      <c r="C52"/>
      <c r="D52"/>
      <c r="E52"/>
      <c r="F52"/>
      <c r="G52"/>
      <c r="H52" s="477"/>
      <c r="I52" s="140"/>
    </row>
    <row r="53" spans="2:14" ht="16">
      <c r="B53"/>
      <c r="C53"/>
      <c r="D53"/>
      <c r="E53"/>
      <c r="F53"/>
      <c r="G53"/>
      <c r="H53" s="477"/>
      <c r="I53" s="140"/>
    </row>
    <row r="54" spans="2:14" ht="16">
      <c r="B54"/>
      <c r="C54"/>
      <c r="D54"/>
      <c r="E54"/>
      <c r="F54"/>
      <c r="G54"/>
      <c r="H54" s="477"/>
      <c r="I54" s="140"/>
      <c r="N54" s="134"/>
    </row>
    <row r="55" spans="2:14" ht="16">
      <c r="B55"/>
      <c r="C55"/>
      <c r="D55"/>
      <c r="E55"/>
      <c r="F55"/>
      <c r="G55"/>
      <c r="H55" s="477"/>
      <c r="I55" s="140"/>
    </row>
    <row r="56" spans="2:14" ht="16">
      <c r="B56"/>
      <c r="C56"/>
      <c r="D56"/>
      <c r="E56"/>
      <c r="F56"/>
      <c r="G56"/>
      <c r="H56" s="477"/>
      <c r="I56" s="140"/>
    </row>
    <row r="57" spans="2:14">
      <c r="H57" s="477"/>
      <c r="I57" s="140"/>
    </row>
    <row r="58" spans="2:14">
      <c r="B58" s="460"/>
      <c r="C58" s="461"/>
      <c r="D58" s="461"/>
      <c r="E58" s="461"/>
      <c r="F58" s="461"/>
      <c r="G58" s="462"/>
      <c r="H58" s="477"/>
      <c r="I58" s="140"/>
    </row>
    <row r="59" spans="2:14">
      <c r="B59" s="463"/>
      <c r="C59" s="464"/>
      <c r="D59" s="461"/>
      <c r="E59" s="461"/>
      <c r="F59" s="461"/>
      <c r="G59" s="462"/>
      <c r="H59" s="477"/>
      <c r="I59" s="140"/>
    </row>
    <row r="60" spans="2:14">
      <c r="B60" s="461"/>
      <c r="C60" s="461"/>
      <c r="D60" s="461"/>
      <c r="E60" s="461"/>
      <c r="F60" s="461"/>
      <c r="G60" s="462"/>
      <c r="H60" s="477"/>
      <c r="I60" s="140"/>
    </row>
    <row r="61" spans="2:14">
      <c r="B61" s="461"/>
      <c r="C61" s="461"/>
      <c r="D61" s="461"/>
      <c r="E61" s="461"/>
      <c r="F61" s="461"/>
      <c r="G61" s="462"/>
      <c r="I61" s="172"/>
      <c r="J61" s="140"/>
    </row>
    <row r="62" spans="2:14">
      <c r="B62" s="461"/>
      <c r="C62" s="461"/>
      <c r="D62" s="461"/>
      <c r="E62" s="461"/>
      <c r="F62" s="461"/>
      <c r="G62" s="462"/>
      <c r="J62" s="140"/>
    </row>
    <row r="63" spans="2:14">
      <c r="B63" s="461"/>
      <c r="C63" s="461"/>
      <c r="D63" s="461"/>
      <c r="E63" s="461"/>
      <c r="F63" s="461"/>
      <c r="G63" s="462"/>
    </row>
    <row r="64" spans="2:14">
      <c r="B64" s="463"/>
      <c r="C64" s="461"/>
      <c r="D64" s="461"/>
      <c r="E64" s="461"/>
      <c r="F64" s="461"/>
      <c r="G64" s="462"/>
    </row>
    <row r="65" spans="2:10">
      <c r="B65" s="463"/>
      <c r="C65" s="461"/>
      <c r="D65" s="461"/>
      <c r="E65" s="461"/>
      <c r="F65" s="461"/>
      <c r="G65" s="462"/>
      <c r="J65" s="140"/>
    </row>
    <row r="66" spans="2:10">
      <c r="B66" s="463"/>
      <c r="C66" s="465"/>
      <c r="D66" s="461"/>
      <c r="E66" s="461"/>
      <c r="F66" s="461"/>
      <c r="G66" s="462"/>
      <c r="J66" s="140"/>
    </row>
    <row r="67" spans="2:10">
      <c r="B67" s="461"/>
      <c r="C67" s="461"/>
      <c r="D67" s="461"/>
      <c r="E67" s="461"/>
      <c r="F67" s="461"/>
      <c r="G67" s="462"/>
    </row>
    <row r="68" spans="2:10">
      <c r="B68" s="462"/>
      <c r="C68" s="462"/>
      <c r="D68" s="462"/>
      <c r="E68" s="462"/>
      <c r="F68" s="462"/>
      <c r="G68" s="462"/>
      <c r="J68" s="174"/>
    </row>
    <row r="69" spans="2:10">
      <c r="B69" s="462"/>
      <c r="C69" s="462"/>
      <c r="D69" s="462"/>
      <c r="E69" s="462"/>
      <c r="F69" s="462"/>
      <c r="G69" s="462"/>
    </row>
    <row r="71" spans="2:10">
      <c r="J71" s="175"/>
    </row>
    <row r="72" spans="2:10" ht="15">
      <c r="J72" s="176"/>
    </row>
    <row r="73" spans="2:10">
      <c r="J73" s="172"/>
    </row>
  </sheetData>
  <pageMargins left="0.7" right="0.7" top="0.75" bottom="0.75" header="0.3" footer="0.3"/>
  <pageSetup scale="67" orientation="landscape"/>
  <headerFooter>
    <oddFooter>&amp;L&amp;F&amp;R&amp;A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E7E8C-8C31-424A-8FC3-71B28ADF1D7B}">
  <sheetPr codeName="Sheet3">
    <tabColor theme="5" tint="0.39997558519241921"/>
  </sheetPr>
  <dimension ref="A1:AE107"/>
  <sheetViews>
    <sheetView zoomScale="125" zoomScaleNormal="125" workbookViewId="0">
      <selection activeCell="J23" sqref="J23"/>
    </sheetView>
  </sheetViews>
  <sheetFormatPr baseColWidth="10" defaultColWidth="9.33203125" defaultRowHeight="13"/>
  <cols>
    <col min="1" max="1" width="13.6640625" style="179" customWidth="1"/>
    <col min="2" max="2" width="27.83203125" style="179" customWidth="1"/>
    <col min="3" max="3" width="8.1640625" style="179" customWidth="1"/>
    <col min="4" max="4" width="10.5" style="179" customWidth="1"/>
    <col min="5" max="5" width="10.1640625" style="179" customWidth="1"/>
    <col min="6" max="6" width="10.5" style="179" customWidth="1"/>
    <col min="7" max="7" width="10.1640625" style="179" customWidth="1"/>
    <col min="8" max="8" width="10.33203125" style="179" customWidth="1"/>
    <col min="9" max="9" width="11.5" style="179" customWidth="1"/>
    <col min="10" max="10" width="10.1640625" style="179" customWidth="1"/>
    <col min="11" max="11" width="11.83203125" style="179" customWidth="1"/>
    <col min="12" max="12" width="10.33203125" style="179" bestFit="1" customWidth="1"/>
    <col min="13" max="14" width="11.1640625" style="179" customWidth="1"/>
    <col min="15" max="16" width="12" style="179" customWidth="1"/>
    <col min="17" max="18" width="11.1640625" style="179" customWidth="1"/>
    <col min="19" max="19" width="11.83203125" style="179" customWidth="1"/>
    <col min="20" max="20" width="11" style="179" customWidth="1"/>
    <col min="21" max="21" width="10.1640625" style="179" customWidth="1"/>
    <col min="22" max="22" width="14.6640625" style="179" customWidth="1"/>
    <col min="23" max="23" width="11.33203125" style="179" customWidth="1"/>
    <col min="24" max="24" width="10.33203125" style="179" customWidth="1"/>
    <col min="25" max="25" width="10.83203125" style="179" customWidth="1"/>
    <col min="26" max="26" width="11.1640625" style="179" customWidth="1"/>
    <col min="27" max="31" width="10.1640625" style="179" bestFit="1" customWidth="1"/>
    <col min="32" max="16384" width="9.33203125" style="179"/>
  </cols>
  <sheetData>
    <row r="1" spans="1:31">
      <c r="A1" s="177"/>
      <c r="B1" s="178" t="str">
        <f>'[36]Exec Summary (2)'!B1</f>
        <v>Proposed Dev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</row>
    <row r="2" spans="1:31">
      <c r="A2" s="177"/>
      <c r="B2" s="178" t="s">
        <v>105</v>
      </c>
      <c r="C2" s="177"/>
      <c r="D2" s="180">
        <v>24</v>
      </c>
      <c r="E2" s="181" t="s">
        <v>106</v>
      </c>
      <c r="F2" s="181"/>
      <c r="G2" s="181" t="s">
        <v>107</v>
      </c>
      <c r="H2" s="182">
        <v>9</v>
      </c>
      <c r="I2" s="177"/>
      <c r="J2" s="177">
        <v>2</v>
      </c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</row>
    <row r="3" spans="1:31">
      <c r="A3" s="177"/>
      <c r="B3" s="177"/>
      <c r="C3" s="177"/>
      <c r="D3" s="177"/>
      <c r="E3" s="177"/>
      <c r="F3" s="177">
        <f ca="1">MAX(F29*$C$17/12,0)</f>
        <v>0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</row>
    <row r="4" spans="1:31">
      <c r="A4" s="177"/>
      <c r="B4" s="183"/>
      <c r="C4" s="183"/>
      <c r="D4" s="183"/>
      <c r="E4" s="183" t="s">
        <v>108</v>
      </c>
      <c r="F4" s="183">
        <v>1</v>
      </c>
      <c r="G4" s="183">
        <f t="shared" ref="G4:AC4" si="0">F4+1</f>
        <v>2</v>
      </c>
      <c r="H4" s="183">
        <f t="shared" si="0"/>
        <v>3</v>
      </c>
      <c r="I4" s="183">
        <f t="shared" si="0"/>
        <v>4</v>
      </c>
      <c r="J4" s="183">
        <f t="shared" si="0"/>
        <v>5</v>
      </c>
      <c r="K4" s="183">
        <f t="shared" si="0"/>
        <v>6</v>
      </c>
      <c r="L4" s="183">
        <f t="shared" si="0"/>
        <v>7</v>
      </c>
      <c r="M4" s="183">
        <f t="shared" si="0"/>
        <v>8</v>
      </c>
      <c r="N4" s="183">
        <f t="shared" si="0"/>
        <v>9</v>
      </c>
      <c r="O4" s="183">
        <f t="shared" si="0"/>
        <v>10</v>
      </c>
      <c r="P4" s="183">
        <f t="shared" si="0"/>
        <v>11</v>
      </c>
      <c r="Q4" s="183">
        <f t="shared" si="0"/>
        <v>12</v>
      </c>
      <c r="R4" s="183">
        <f t="shared" si="0"/>
        <v>13</v>
      </c>
      <c r="S4" s="183">
        <f t="shared" si="0"/>
        <v>14</v>
      </c>
      <c r="T4" s="183">
        <f t="shared" si="0"/>
        <v>15</v>
      </c>
      <c r="U4" s="183">
        <f t="shared" si="0"/>
        <v>16</v>
      </c>
      <c r="V4" s="183">
        <f t="shared" si="0"/>
        <v>17</v>
      </c>
      <c r="W4" s="183">
        <f t="shared" si="0"/>
        <v>18</v>
      </c>
      <c r="X4" s="183">
        <f t="shared" si="0"/>
        <v>19</v>
      </c>
      <c r="Y4" s="183">
        <f t="shared" si="0"/>
        <v>20</v>
      </c>
      <c r="Z4" s="183">
        <f t="shared" si="0"/>
        <v>21</v>
      </c>
      <c r="AA4" s="183">
        <f t="shared" si="0"/>
        <v>22</v>
      </c>
      <c r="AB4" s="183">
        <f t="shared" si="0"/>
        <v>23</v>
      </c>
      <c r="AC4" s="183">
        <f t="shared" si="0"/>
        <v>24</v>
      </c>
      <c r="AD4" s="183">
        <f>AC4+1</f>
        <v>25</v>
      </c>
      <c r="AE4" s="183">
        <f>AD4+1</f>
        <v>26</v>
      </c>
    </row>
    <row r="5" spans="1:31">
      <c r="A5" s="184" t="s">
        <v>109</v>
      </c>
      <c r="B5" s="185" t="s">
        <v>110</v>
      </c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87"/>
      <c r="AA5" s="187"/>
      <c r="AB5" s="187"/>
      <c r="AC5" s="187"/>
      <c r="AD5" s="187"/>
      <c r="AE5" s="187"/>
    </row>
    <row r="6" spans="1:31">
      <c r="A6" s="177">
        <f t="shared" ref="A6:A15" si="1">SUM(E6:AC6)</f>
        <v>2000000</v>
      </c>
      <c r="B6" s="186" t="s">
        <v>111</v>
      </c>
      <c r="C6" s="186"/>
      <c r="D6" s="186">
        <v>2000000</v>
      </c>
      <c r="E6" s="186">
        <f>D6</f>
        <v>2000000</v>
      </c>
      <c r="F6" s="186">
        <f t="shared" ref="F6:AE6" si="2">_xlfn.IFS($D$2=18,($D$6-$E$6)*F37,$D$2=20,($D$6-$E$6)*F38,$D$2=22,($D$6-$E$6)*F39,$D$2=24,($D$6-$E$6)*F40)</f>
        <v>0</v>
      </c>
      <c r="G6" s="186">
        <f t="shared" si="2"/>
        <v>0</v>
      </c>
      <c r="H6" s="186">
        <f t="shared" si="2"/>
        <v>0</v>
      </c>
      <c r="I6" s="186">
        <f t="shared" si="2"/>
        <v>0</v>
      </c>
      <c r="J6" s="186">
        <f t="shared" si="2"/>
        <v>0</v>
      </c>
      <c r="K6" s="186">
        <f t="shared" si="2"/>
        <v>0</v>
      </c>
      <c r="L6" s="186">
        <f t="shared" si="2"/>
        <v>0</v>
      </c>
      <c r="M6" s="186">
        <f t="shared" si="2"/>
        <v>0</v>
      </c>
      <c r="N6" s="186">
        <f t="shared" si="2"/>
        <v>0</v>
      </c>
      <c r="O6" s="186">
        <f t="shared" si="2"/>
        <v>0</v>
      </c>
      <c r="P6" s="186">
        <f t="shared" si="2"/>
        <v>0</v>
      </c>
      <c r="Q6" s="186">
        <f t="shared" si="2"/>
        <v>0</v>
      </c>
      <c r="R6" s="186">
        <f t="shared" si="2"/>
        <v>0</v>
      </c>
      <c r="S6" s="186">
        <f t="shared" si="2"/>
        <v>0</v>
      </c>
      <c r="T6" s="186">
        <f t="shared" si="2"/>
        <v>0</v>
      </c>
      <c r="U6" s="186">
        <f t="shared" si="2"/>
        <v>0</v>
      </c>
      <c r="V6" s="186">
        <f t="shared" si="2"/>
        <v>0</v>
      </c>
      <c r="W6" s="186">
        <f t="shared" si="2"/>
        <v>0</v>
      </c>
      <c r="X6" s="186">
        <f t="shared" si="2"/>
        <v>0</v>
      </c>
      <c r="Y6" s="186">
        <f t="shared" si="2"/>
        <v>0</v>
      </c>
      <c r="Z6" s="186">
        <f t="shared" si="2"/>
        <v>0</v>
      </c>
      <c r="AA6" s="186">
        <f t="shared" si="2"/>
        <v>0</v>
      </c>
      <c r="AB6" s="186">
        <f t="shared" si="2"/>
        <v>0</v>
      </c>
      <c r="AC6" s="186">
        <f t="shared" si="2"/>
        <v>0</v>
      </c>
      <c r="AD6" s="186">
        <f t="shared" si="2"/>
        <v>0</v>
      </c>
      <c r="AE6" s="186">
        <f t="shared" si="2"/>
        <v>0</v>
      </c>
    </row>
    <row r="7" spans="1:31">
      <c r="A7" s="177">
        <f t="shared" si="1"/>
        <v>700000.00000000012</v>
      </c>
      <c r="B7" s="186" t="s">
        <v>375</v>
      </c>
      <c r="C7" s="186"/>
      <c r="D7" s="186">
        <f>'Grand Prairie- Exec Summary (1)'!O41</f>
        <v>700000</v>
      </c>
      <c r="E7" s="188">
        <v>0</v>
      </c>
      <c r="F7" s="186">
        <f t="shared" ref="F7:AE7" si="3">_xlfn.IFS($D$2=18,($D$7-$E$7)*F37,$D$2=20,($D$7-$E$7)*F38,$D$2=22,($D$7-$E$7)*F39,$D$2=24,($D$7-$E$7)*F40)</f>
        <v>12944.662874832749</v>
      </c>
      <c r="G7" s="186">
        <f t="shared" si="3"/>
        <v>15969.546582217748</v>
      </c>
      <c r="H7" s="186">
        <f t="shared" si="3"/>
        <v>19311.16777931554</v>
      </c>
      <c r="I7" s="186">
        <f t="shared" si="3"/>
        <v>22889.620853484237</v>
      </c>
      <c r="J7" s="186">
        <f t="shared" si="3"/>
        <v>26593.945310645373</v>
      </c>
      <c r="K7" s="186">
        <f t="shared" si="3"/>
        <v>30285.939744345673</v>
      </c>
      <c r="L7" s="186">
        <f t="shared" si="3"/>
        <v>33807.530379851829</v>
      </c>
      <c r="M7" s="186">
        <f t="shared" si="3"/>
        <v>36991.330337216517</v>
      </c>
      <c r="N7" s="186">
        <f t="shared" si="3"/>
        <v>39673.504422141996</v>
      </c>
      <c r="O7" s="186">
        <f t="shared" si="3"/>
        <v>41707.608490944258</v>
      </c>
      <c r="P7" s="186">
        <f t="shared" si="3"/>
        <v>42977.794269851707</v>
      </c>
      <c r="Q7" s="186">
        <f t="shared" si="3"/>
        <v>43409.728283172721</v>
      </c>
      <c r="R7" s="186">
        <f t="shared" si="3"/>
        <v>42977.794269851707</v>
      </c>
      <c r="S7" s="186">
        <f t="shared" si="3"/>
        <v>41707.608490944258</v>
      </c>
      <c r="T7" s="186">
        <f t="shared" si="3"/>
        <v>39673.504422141996</v>
      </c>
      <c r="U7" s="186">
        <f t="shared" si="3"/>
        <v>36991.33033721651</v>
      </c>
      <c r="V7" s="186">
        <f t="shared" si="3"/>
        <v>33807.530379851822</v>
      </c>
      <c r="W7" s="186">
        <f t="shared" si="3"/>
        <v>30285.939744345673</v>
      </c>
      <c r="X7" s="186">
        <f t="shared" si="3"/>
        <v>26593.945310645369</v>
      </c>
      <c r="Y7" s="186">
        <f t="shared" si="3"/>
        <v>22889.62085348423</v>
      </c>
      <c r="Z7" s="186">
        <f t="shared" si="3"/>
        <v>19311.16777931554</v>
      </c>
      <c r="AA7" s="186">
        <f t="shared" si="3"/>
        <v>15969.546582217736</v>
      </c>
      <c r="AB7" s="186">
        <f t="shared" si="3"/>
        <v>12944.662874832742</v>
      </c>
      <c r="AC7" s="186">
        <f t="shared" si="3"/>
        <v>10284.96962713203</v>
      </c>
      <c r="AD7" s="186">
        <f t="shared" si="3"/>
        <v>0</v>
      </c>
      <c r="AE7" s="186">
        <f t="shared" si="3"/>
        <v>0</v>
      </c>
    </row>
    <row r="8" spans="1:31">
      <c r="A8" s="177">
        <f t="shared" si="1"/>
        <v>993666.00000000058</v>
      </c>
      <c r="B8" s="186" t="s">
        <v>112</v>
      </c>
      <c r="C8" s="186"/>
      <c r="D8" s="186">
        <f>'Grand Prairie- Exec Summary (1)'!O31</f>
        <v>993666</v>
      </c>
      <c r="E8" s="186">
        <f>D8*0.75</f>
        <v>745249.5</v>
      </c>
      <c r="F8" s="186">
        <f t="shared" ref="F8:AE8" si="4">_xlfn.IFS($D$2=18,($D$8-$E$8)*F37,$D$2=20,($D$8-$E$8)*F38,$D$2=22,($D$8-$E$8)*F39,$D$2=24,($D$8-$E$8)*F40)</f>
        <v>4593.8112072084141</v>
      </c>
      <c r="G8" s="186">
        <f t="shared" si="4"/>
        <v>5667.2840979164221</v>
      </c>
      <c r="H8" s="186">
        <f t="shared" si="4"/>
        <v>6853.1610152147705</v>
      </c>
      <c r="I8" s="186">
        <f t="shared" si="4"/>
        <v>8123.0849982136679</v>
      </c>
      <c r="J8" s="186">
        <f t="shared" si="4"/>
        <v>9437.6783075170515</v>
      </c>
      <c r="K8" s="186">
        <f t="shared" si="4"/>
        <v>10747.895929287497</v>
      </c>
      <c r="L8" s="186">
        <f t="shared" si="4"/>
        <v>11997.640529437804</v>
      </c>
      <c r="M8" s="186">
        <f t="shared" si="4"/>
        <v>13127.509732450209</v>
      </c>
      <c r="N8" s="186">
        <f t="shared" si="4"/>
        <v>14079.361587547197</v>
      </c>
      <c r="O8" s="186">
        <f t="shared" si="4"/>
        <v>14801.225892415221</v>
      </c>
      <c r="P8" s="186">
        <f t="shared" si="4"/>
        <v>15251.990328909453</v>
      </c>
      <c r="Q8" s="186">
        <f t="shared" si="4"/>
        <v>15405.275380081108</v>
      </c>
      <c r="R8" s="186">
        <f t="shared" si="4"/>
        <v>15251.990328909453</v>
      </c>
      <c r="S8" s="186">
        <f t="shared" si="4"/>
        <v>14801.225892415221</v>
      </c>
      <c r="T8" s="186">
        <f t="shared" si="4"/>
        <v>14079.361587547197</v>
      </c>
      <c r="U8" s="186">
        <f t="shared" si="4"/>
        <v>13127.509732450208</v>
      </c>
      <c r="V8" s="186">
        <f t="shared" si="4"/>
        <v>11997.640529437802</v>
      </c>
      <c r="W8" s="186">
        <f t="shared" si="4"/>
        <v>10747.895929287497</v>
      </c>
      <c r="X8" s="186">
        <f t="shared" si="4"/>
        <v>9437.6783075170497</v>
      </c>
      <c r="Y8" s="186">
        <f t="shared" si="4"/>
        <v>8123.0849982136642</v>
      </c>
      <c r="Z8" s="186">
        <f t="shared" si="4"/>
        <v>6853.1610152147705</v>
      </c>
      <c r="AA8" s="186">
        <f t="shared" si="4"/>
        <v>5667.2840979164175</v>
      </c>
      <c r="AB8" s="186">
        <f t="shared" si="4"/>
        <v>4593.8112072084114</v>
      </c>
      <c r="AC8" s="186">
        <f t="shared" si="4"/>
        <v>3649.9373676834912</v>
      </c>
      <c r="AD8" s="186">
        <f t="shared" si="4"/>
        <v>0</v>
      </c>
      <c r="AE8" s="186">
        <f t="shared" si="4"/>
        <v>0</v>
      </c>
    </row>
    <row r="9" spans="1:31">
      <c r="A9" s="177">
        <f>SUM(E9:AC9)</f>
        <v>63500533.859999999</v>
      </c>
      <c r="B9" s="186" t="s">
        <v>343</v>
      </c>
      <c r="C9" s="186"/>
      <c r="D9" s="186">
        <f>'Grand Prairie- Exec Summary (1)'!N21+SUM('Grand Prairie- Exec Summary (1)'!N23:N28)+'Grand Prairie- Exec Summary (1)'!O37</f>
        <v>63500533.859999999</v>
      </c>
      <c r="E9" s="188">
        <v>0</v>
      </c>
      <c r="F9" s="186">
        <f t="shared" ref="F9:AE9" si="5">_xlfn.IFS($D$2=18,($D$9-$E$9)*F37,$D$2=20,($D$9-$E$9)*F38,$D$2=22,($D$9-$E$9)*F39,$D$2=24,($D$9-$E$9)*F40)</f>
        <v>1174275.7188422885</v>
      </c>
      <c r="G9" s="186">
        <f t="shared" si="5"/>
        <v>1448678.1906756649</v>
      </c>
      <c r="H9" s="186">
        <f t="shared" si="5"/>
        <v>1751813.5192093821</v>
      </c>
      <c r="I9" s="186">
        <f t="shared" si="5"/>
        <v>2076433.0629274829</v>
      </c>
      <c r="J9" s="186">
        <f t="shared" si="5"/>
        <v>2412471.035242321</v>
      </c>
      <c r="K9" s="186">
        <f t="shared" si="5"/>
        <v>2747390.488882489</v>
      </c>
      <c r="L9" s="186">
        <f t="shared" si="5"/>
        <v>3066851.7537267995</v>
      </c>
      <c r="M9" s="186">
        <f t="shared" si="5"/>
        <v>3355670.3208640893</v>
      </c>
      <c r="N9" s="186">
        <f t="shared" si="5"/>
        <v>3598983.8727186965</v>
      </c>
      <c r="O9" s="186">
        <f t="shared" si="5"/>
        <v>3783507.7217126135</v>
      </c>
      <c r="P9" s="186">
        <f t="shared" si="5"/>
        <v>3898732.6860869033</v>
      </c>
      <c r="Q9" s="186">
        <f t="shared" si="5"/>
        <v>3937915.6009985842</v>
      </c>
      <c r="R9" s="186">
        <f t="shared" si="5"/>
        <v>3898732.6860869033</v>
      </c>
      <c r="S9" s="186">
        <f t="shared" si="5"/>
        <v>3783507.7217126135</v>
      </c>
      <c r="T9" s="186">
        <f t="shared" si="5"/>
        <v>3598983.8727186965</v>
      </c>
      <c r="U9" s="186">
        <f t="shared" si="5"/>
        <v>3355670.3208640888</v>
      </c>
      <c r="V9" s="186">
        <f t="shared" si="5"/>
        <v>3066851.753726799</v>
      </c>
      <c r="W9" s="186">
        <f t="shared" si="5"/>
        <v>2747390.488882489</v>
      </c>
      <c r="X9" s="186">
        <f t="shared" si="5"/>
        <v>2412471.0352423205</v>
      </c>
      <c r="Y9" s="186">
        <f t="shared" si="5"/>
        <v>2076433.062927482</v>
      </c>
      <c r="Z9" s="186">
        <f t="shared" si="5"/>
        <v>1751813.5192093821</v>
      </c>
      <c r="AA9" s="186">
        <f t="shared" si="5"/>
        <v>1448678.1906756638</v>
      </c>
      <c r="AB9" s="186">
        <f t="shared" si="5"/>
        <v>1174275.7188422878</v>
      </c>
      <c r="AC9" s="186">
        <f t="shared" si="5"/>
        <v>933001.51722395571</v>
      </c>
      <c r="AD9" s="186">
        <f t="shared" si="5"/>
        <v>0</v>
      </c>
      <c r="AE9" s="186">
        <f t="shared" si="5"/>
        <v>0</v>
      </c>
    </row>
    <row r="10" spans="1:31">
      <c r="A10" s="177">
        <f t="shared" si="1"/>
        <v>295307.99999999994</v>
      </c>
      <c r="B10" s="186" t="s">
        <v>113</v>
      </c>
      <c r="C10" s="186"/>
      <c r="D10" s="186">
        <f>'Grand Prairie- Exec Summary (1)'!O51+'Grand Prairie- Exec Summary (1)'!O40</f>
        <v>295308</v>
      </c>
      <c r="E10" s="188">
        <v>0</v>
      </c>
      <c r="F10" s="186">
        <f t="shared" ref="F10:AE10" si="6">_xlfn.IFS($D$2=18,($D$10-$E$10)*F37,$D$2=20,($D$10-$E$10)*F38,$D$2=22,($D$10-$E$10)*F39,$D$2=24,($D$10-$E$10)*F40)</f>
        <v>5460.9464346301565</v>
      </c>
      <c r="G10" s="186">
        <f t="shared" si="6"/>
        <v>6737.0498030022263</v>
      </c>
      <c r="H10" s="186">
        <f t="shared" si="6"/>
        <v>8146.7747636773056</v>
      </c>
      <c r="I10" s="186">
        <f t="shared" si="6"/>
        <v>9656.4116500010332</v>
      </c>
      <c r="J10" s="186">
        <f t="shared" si="6"/>
        <v>11219.14971685152</v>
      </c>
      <c r="K10" s="186">
        <f t="shared" si="6"/>
        <v>12776.686134318903</v>
      </c>
      <c r="L10" s="186">
        <f t="shared" si="6"/>
        <v>14262.334544876119</v>
      </c>
      <c r="M10" s="186">
        <f t="shared" si="6"/>
        <v>15605.479684603906</v>
      </c>
      <c r="N10" s="186">
        <f t="shared" si="6"/>
        <v>16737.004634134155</v>
      </c>
      <c r="O10" s="186">
        <f t="shared" si="6"/>
        <v>17595.12921177681</v>
      </c>
      <c r="P10" s="186">
        <f t="shared" si="6"/>
        <v>18130.980671773385</v>
      </c>
      <c r="Q10" s="186">
        <f t="shared" si="6"/>
        <v>18313.200056924528</v>
      </c>
      <c r="R10" s="186">
        <f t="shared" si="6"/>
        <v>18130.980671773385</v>
      </c>
      <c r="S10" s="186">
        <f t="shared" si="6"/>
        <v>17595.12921177681</v>
      </c>
      <c r="T10" s="186">
        <f t="shared" si="6"/>
        <v>16737.004634134155</v>
      </c>
      <c r="U10" s="186">
        <f t="shared" si="6"/>
        <v>15605.479684603904</v>
      </c>
      <c r="V10" s="186">
        <f t="shared" si="6"/>
        <v>14262.334544876117</v>
      </c>
      <c r="W10" s="186">
        <f t="shared" si="6"/>
        <v>12776.686134318903</v>
      </c>
      <c r="X10" s="186">
        <f t="shared" si="6"/>
        <v>11219.149716851518</v>
      </c>
      <c r="Y10" s="186">
        <f t="shared" si="6"/>
        <v>9656.4116500010296</v>
      </c>
      <c r="Z10" s="186">
        <f t="shared" si="6"/>
        <v>8146.7747636773056</v>
      </c>
      <c r="AA10" s="186">
        <f t="shared" si="6"/>
        <v>6737.0498030022218</v>
      </c>
      <c r="AB10" s="186">
        <f t="shared" si="6"/>
        <v>5460.9464346301538</v>
      </c>
      <c r="AC10" s="186">
        <f t="shared" si="6"/>
        <v>4338.9054437844361</v>
      </c>
      <c r="AD10" s="186">
        <f t="shared" si="6"/>
        <v>0</v>
      </c>
      <c r="AE10" s="186">
        <f t="shared" si="6"/>
        <v>0</v>
      </c>
    </row>
    <row r="11" spans="1:31">
      <c r="A11" s="177">
        <f t="shared" si="1"/>
        <v>598995</v>
      </c>
      <c r="B11" s="186" t="s">
        <v>114</v>
      </c>
      <c r="C11" s="186"/>
      <c r="D11" s="186">
        <f>'Grand Prairie- Exec Summary (1)'!O32</f>
        <v>598995</v>
      </c>
      <c r="E11" s="186">
        <v>0</v>
      </c>
      <c r="F11" s="186">
        <f>IF(F4+3=$D$2,'Grand Prairie- Exec Summary (1)'!$O$32,0)</f>
        <v>0</v>
      </c>
      <c r="G11" s="186">
        <f>IF(G4+3=$D$2,'Grand Prairie- Exec Summary (1)'!$O$32,0)</f>
        <v>0</v>
      </c>
      <c r="H11" s="186">
        <f>IF(H4+3=$D$2,'Grand Prairie- Exec Summary (1)'!$O$32,0)</f>
        <v>0</v>
      </c>
      <c r="I11" s="186">
        <f>IF(I4+3=$D$2,'Grand Prairie- Exec Summary (1)'!$O$32,0)</f>
        <v>0</v>
      </c>
      <c r="J11" s="186">
        <f>IF(J4+3=$D$2,'Grand Prairie- Exec Summary (1)'!$O$32,0)</f>
        <v>0</v>
      </c>
      <c r="K11" s="186">
        <f>IF(K4+3=$D$2,'Grand Prairie- Exec Summary (1)'!$O$32,0)</f>
        <v>0</v>
      </c>
      <c r="L11" s="186">
        <f>IF(L4+3=$D$2,'Grand Prairie- Exec Summary (1)'!$O$32,0)</f>
        <v>0</v>
      </c>
      <c r="M11" s="186">
        <f>IF(M4+3=$D$2,'Grand Prairie- Exec Summary (1)'!$O$32,0)</f>
        <v>0</v>
      </c>
      <c r="N11" s="186">
        <f>IF(N4+3=$D$2,'Grand Prairie- Exec Summary (1)'!$O$32,0)</f>
        <v>0</v>
      </c>
      <c r="O11" s="186">
        <f>IF(O4+3=$D$2,'Grand Prairie- Exec Summary (1)'!$O$32,0)</f>
        <v>0</v>
      </c>
      <c r="P11" s="186">
        <f>IF(P4+3=$D$2,'Grand Prairie- Exec Summary (1)'!$O$32,0)</f>
        <v>0</v>
      </c>
      <c r="Q11" s="186">
        <f>IF(Q4+3=$D$2,'Grand Prairie- Exec Summary (1)'!$O$32,0)</f>
        <v>0</v>
      </c>
      <c r="R11" s="186">
        <f>IF(R4+3=$D$2,'Grand Prairie- Exec Summary (1)'!$O$32,0)</f>
        <v>0</v>
      </c>
      <c r="S11" s="186">
        <f>IF(S4+3=$D$2,'Grand Prairie- Exec Summary (1)'!$O$32,0)</f>
        <v>0</v>
      </c>
      <c r="T11" s="186">
        <f>IF(T4+3=$D$2,'Grand Prairie- Exec Summary (1)'!$O$32,0)</f>
        <v>0</v>
      </c>
      <c r="U11" s="186">
        <f>IF(U4+3=$D$2,'Grand Prairie- Exec Summary (1)'!$O$32,0)</f>
        <v>0</v>
      </c>
      <c r="V11" s="186">
        <f>IF(V4+3=$D$2,'Grand Prairie- Exec Summary (1)'!$O$32,0)</f>
        <v>0</v>
      </c>
      <c r="W11" s="186">
        <f>IF(W4+3=$D$2,'Grand Prairie- Exec Summary (1)'!$O$32,0)</f>
        <v>0</v>
      </c>
      <c r="X11" s="186">
        <f>IF(X4+3=$D$2,'Grand Prairie- Exec Summary (1)'!$O$32,0)</f>
        <v>0</v>
      </c>
      <c r="Y11" s="186">
        <f>IF(Y4+3=$D$2,'Grand Prairie- Exec Summary (1)'!$O$32,0)</f>
        <v>0</v>
      </c>
      <c r="Z11" s="186">
        <f>IF(Z4+3=$D$2,'Grand Prairie- Exec Summary (1)'!$O$32,0)</f>
        <v>598995</v>
      </c>
      <c r="AA11" s="186">
        <f>IF(AA4+3=$D$2,'Grand Prairie- Exec Summary (1)'!$O$32,0)</f>
        <v>0</v>
      </c>
      <c r="AB11" s="186">
        <f>IF(AB4+3=$D$2,'Grand Prairie- Exec Summary (1)'!$O$32,0)</f>
        <v>0</v>
      </c>
      <c r="AC11" s="186">
        <f>IF(AC4+3=$D$2,'Grand Prairie- Exec Summary (1)'!$O$32,0)</f>
        <v>0</v>
      </c>
      <c r="AD11" s="186">
        <f>IF(AD4+3=$D$2,'Grand Prairie- Exec Summary (1)'!$O$32,0)</f>
        <v>0</v>
      </c>
      <c r="AE11" s="186">
        <f>IF(AE4+3=$D$2,'Grand Prairie- Exec Summary (1)'!$O$32,0)</f>
        <v>0</v>
      </c>
    </row>
    <row r="12" spans="1:31">
      <c r="A12" s="177">
        <f t="shared" si="1"/>
        <v>48500</v>
      </c>
      <c r="B12" s="186" t="s">
        <v>344</v>
      </c>
      <c r="C12" s="186"/>
      <c r="D12" s="186">
        <f>SUM('Grand Prairie- Exec Summary (1)'!O48:O50)</f>
        <v>48500</v>
      </c>
      <c r="E12" s="186">
        <f>D12</f>
        <v>48500</v>
      </c>
      <c r="F12" s="186">
        <f t="shared" ref="F12:AE12" si="7">_xlfn.IFS($D$2=18,($D$12-$E$12)*F37,$D$2=20,($D$12-$E$12)*F38,$D$2=22,($D$12-$E$12)*F39,$D$2=24,($D$12-$E$12)*F40)</f>
        <v>0</v>
      </c>
      <c r="G12" s="186">
        <f t="shared" si="7"/>
        <v>0</v>
      </c>
      <c r="H12" s="186">
        <f t="shared" si="7"/>
        <v>0</v>
      </c>
      <c r="I12" s="186">
        <f t="shared" si="7"/>
        <v>0</v>
      </c>
      <c r="J12" s="186">
        <f t="shared" si="7"/>
        <v>0</v>
      </c>
      <c r="K12" s="186">
        <f t="shared" si="7"/>
        <v>0</v>
      </c>
      <c r="L12" s="186">
        <f t="shared" si="7"/>
        <v>0</v>
      </c>
      <c r="M12" s="186">
        <f t="shared" si="7"/>
        <v>0</v>
      </c>
      <c r="N12" s="186">
        <f t="shared" si="7"/>
        <v>0</v>
      </c>
      <c r="O12" s="186">
        <f t="shared" si="7"/>
        <v>0</v>
      </c>
      <c r="P12" s="186">
        <f t="shared" si="7"/>
        <v>0</v>
      </c>
      <c r="Q12" s="186">
        <f t="shared" si="7"/>
        <v>0</v>
      </c>
      <c r="R12" s="186">
        <f t="shared" si="7"/>
        <v>0</v>
      </c>
      <c r="S12" s="186">
        <f t="shared" si="7"/>
        <v>0</v>
      </c>
      <c r="T12" s="186">
        <f t="shared" si="7"/>
        <v>0</v>
      </c>
      <c r="U12" s="186">
        <f t="shared" si="7"/>
        <v>0</v>
      </c>
      <c r="V12" s="186">
        <f t="shared" si="7"/>
        <v>0</v>
      </c>
      <c r="W12" s="186">
        <f t="shared" si="7"/>
        <v>0</v>
      </c>
      <c r="X12" s="186">
        <f t="shared" si="7"/>
        <v>0</v>
      </c>
      <c r="Y12" s="186">
        <f t="shared" si="7"/>
        <v>0</v>
      </c>
      <c r="Z12" s="186">
        <f t="shared" si="7"/>
        <v>0</v>
      </c>
      <c r="AA12" s="186">
        <f t="shared" si="7"/>
        <v>0</v>
      </c>
      <c r="AB12" s="186">
        <f t="shared" si="7"/>
        <v>0</v>
      </c>
      <c r="AC12" s="186">
        <f t="shared" si="7"/>
        <v>0</v>
      </c>
      <c r="AD12" s="186">
        <f t="shared" si="7"/>
        <v>0</v>
      </c>
      <c r="AE12" s="186">
        <f t="shared" si="7"/>
        <v>0</v>
      </c>
    </row>
    <row r="13" spans="1:31">
      <c r="A13" s="177">
        <f t="shared" si="1"/>
        <v>265000</v>
      </c>
      <c r="B13" s="186" t="s">
        <v>115</v>
      </c>
      <c r="C13" s="186"/>
      <c r="D13" s="186">
        <f>SUM('Grand Prairie- Exec Summary (1)'!O33:O35)+'Grand Prairie- Exec Summary (1)'!O30+'Grand Prairie- Exec Summary (1)'!O47</f>
        <v>265000</v>
      </c>
      <c r="E13" s="188">
        <f>D13</f>
        <v>265000</v>
      </c>
      <c r="F13" s="186">
        <f t="shared" ref="F13:AE13" si="8">_xlfn.IFS($D$2=18,($D$13-$E$13)*F37,$D$2=20,($D$13-$E$13)*F38,$D$2=22,($D$13-$E$13)*F39,$D$2=24,($D$13-$E$13)*F40)</f>
        <v>0</v>
      </c>
      <c r="G13" s="186">
        <f t="shared" si="8"/>
        <v>0</v>
      </c>
      <c r="H13" s="186">
        <f t="shared" si="8"/>
        <v>0</v>
      </c>
      <c r="I13" s="186">
        <f t="shared" si="8"/>
        <v>0</v>
      </c>
      <c r="J13" s="186">
        <f t="shared" si="8"/>
        <v>0</v>
      </c>
      <c r="K13" s="186">
        <f t="shared" si="8"/>
        <v>0</v>
      </c>
      <c r="L13" s="186">
        <f t="shared" si="8"/>
        <v>0</v>
      </c>
      <c r="M13" s="186">
        <f t="shared" si="8"/>
        <v>0</v>
      </c>
      <c r="N13" s="186">
        <f t="shared" si="8"/>
        <v>0</v>
      </c>
      <c r="O13" s="186">
        <f t="shared" si="8"/>
        <v>0</v>
      </c>
      <c r="P13" s="186">
        <f t="shared" si="8"/>
        <v>0</v>
      </c>
      <c r="Q13" s="186">
        <f t="shared" si="8"/>
        <v>0</v>
      </c>
      <c r="R13" s="186">
        <f t="shared" si="8"/>
        <v>0</v>
      </c>
      <c r="S13" s="186">
        <f t="shared" si="8"/>
        <v>0</v>
      </c>
      <c r="T13" s="186">
        <f t="shared" si="8"/>
        <v>0</v>
      </c>
      <c r="U13" s="186">
        <f t="shared" si="8"/>
        <v>0</v>
      </c>
      <c r="V13" s="186">
        <f t="shared" si="8"/>
        <v>0</v>
      </c>
      <c r="W13" s="186">
        <f t="shared" si="8"/>
        <v>0</v>
      </c>
      <c r="X13" s="186">
        <f t="shared" si="8"/>
        <v>0</v>
      </c>
      <c r="Y13" s="186">
        <f t="shared" si="8"/>
        <v>0</v>
      </c>
      <c r="Z13" s="186">
        <f t="shared" si="8"/>
        <v>0</v>
      </c>
      <c r="AA13" s="186">
        <f t="shared" si="8"/>
        <v>0</v>
      </c>
      <c r="AB13" s="186">
        <f t="shared" si="8"/>
        <v>0</v>
      </c>
      <c r="AC13" s="186">
        <f t="shared" si="8"/>
        <v>0</v>
      </c>
      <c r="AD13" s="186">
        <f t="shared" si="8"/>
        <v>0</v>
      </c>
      <c r="AE13" s="186">
        <f t="shared" si="8"/>
        <v>0</v>
      </c>
    </row>
    <row r="14" spans="1:31">
      <c r="A14" s="177">
        <f t="shared" ca="1" si="1"/>
        <v>1072232.3202799824</v>
      </c>
      <c r="B14" s="186" t="s">
        <v>116</v>
      </c>
      <c r="C14" s="186"/>
      <c r="D14" s="186">
        <f ca="1">SUM('Grand Prairie- Exec Summary (1)'!O42:O46)</f>
        <v>1072232.3202799824</v>
      </c>
      <c r="E14" s="186">
        <f ca="1">D14</f>
        <v>1072232.3202799824</v>
      </c>
      <c r="F14" s="186">
        <f t="shared" ref="F14:AE14" ca="1" si="9">_xlfn.IFS($D$2=18,($D$14-$E$14)*F37,$D$2=20,($D$14-$E$14)*F38,$D$2=22,($D$14-$E$14)*F39,$D$2=24,($D$14-$E$14)*F40)</f>
        <v>0</v>
      </c>
      <c r="G14" s="186">
        <f t="shared" ca="1" si="9"/>
        <v>0</v>
      </c>
      <c r="H14" s="186">
        <f t="shared" ca="1" si="9"/>
        <v>0</v>
      </c>
      <c r="I14" s="186">
        <f t="shared" ca="1" si="9"/>
        <v>0</v>
      </c>
      <c r="J14" s="186">
        <f t="shared" ca="1" si="9"/>
        <v>0</v>
      </c>
      <c r="K14" s="186">
        <f t="shared" ca="1" si="9"/>
        <v>0</v>
      </c>
      <c r="L14" s="186">
        <f t="shared" ca="1" si="9"/>
        <v>0</v>
      </c>
      <c r="M14" s="186">
        <f t="shared" ca="1" si="9"/>
        <v>0</v>
      </c>
      <c r="N14" s="186">
        <f t="shared" ca="1" si="9"/>
        <v>0</v>
      </c>
      <c r="O14" s="186">
        <f t="shared" ca="1" si="9"/>
        <v>0</v>
      </c>
      <c r="P14" s="186">
        <f t="shared" ca="1" si="9"/>
        <v>0</v>
      </c>
      <c r="Q14" s="186">
        <f t="shared" ca="1" si="9"/>
        <v>0</v>
      </c>
      <c r="R14" s="186">
        <f t="shared" ca="1" si="9"/>
        <v>0</v>
      </c>
      <c r="S14" s="186">
        <f t="shared" ca="1" si="9"/>
        <v>0</v>
      </c>
      <c r="T14" s="186">
        <f t="shared" ca="1" si="9"/>
        <v>0</v>
      </c>
      <c r="U14" s="186">
        <f t="shared" ca="1" si="9"/>
        <v>0</v>
      </c>
      <c r="V14" s="186">
        <f t="shared" ca="1" si="9"/>
        <v>0</v>
      </c>
      <c r="W14" s="186">
        <f t="shared" ca="1" si="9"/>
        <v>0</v>
      </c>
      <c r="X14" s="186">
        <f t="shared" ca="1" si="9"/>
        <v>0</v>
      </c>
      <c r="Y14" s="186">
        <f t="shared" ca="1" si="9"/>
        <v>0</v>
      </c>
      <c r="Z14" s="186">
        <f t="shared" ca="1" si="9"/>
        <v>0</v>
      </c>
      <c r="AA14" s="186">
        <f t="shared" ca="1" si="9"/>
        <v>0</v>
      </c>
      <c r="AB14" s="186">
        <f t="shared" ca="1" si="9"/>
        <v>0</v>
      </c>
      <c r="AC14" s="186">
        <f t="shared" ca="1" si="9"/>
        <v>0</v>
      </c>
      <c r="AD14" s="186">
        <f t="shared" ca="1" si="9"/>
        <v>0</v>
      </c>
      <c r="AE14" s="186">
        <f t="shared" ca="1" si="9"/>
        <v>0</v>
      </c>
    </row>
    <row r="15" spans="1:31">
      <c r="A15" s="177">
        <f t="shared" si="1"/>
        <v>49999.999999999993</v>
      </c>
      <c r="B15" s="186" t="s">
        <v>377</v>
      </c>
      <c r="C15" s="186"/>
      <c r="D15" s="186">
        <f>'Grand Prairie- Loan Calcs (2)'!J20</f>
        <v>50000</v>
      </c>
      <c r="E15" s="188">
        <v>0</v>
      </c>
      <c r="F15" s="186">
        <f t="shared" ref="F15:AE15" si="10">_xlfn.IFS($D$2=18,($D$15-$E$15)*F37,$D$2=20,($D$15-$E$15)*F38,$D$2=22,($D$15-$E$15)*F39,$D$2=24,($D$15-$E$15)*F40)</f>
        <v>924.61877677376788</v>
      </c>
      <c r="G15" s="186">
        <f t="shared" si="10"/>
        <v>1140.6818987298391</v>
      </c>
      <c r="H15" s="186">
        <f t="shared" si="10"/>
        <v>1379.3691270939671</v>
      </c>
      <c r="I15" s="186">
        <f t="shared" si="10"/>
        <v>1634.972918106017</v>
      </c>
      <c r="J15" s="186">
        <f t="shared" si="10"/>
        <v>1899.5675221889551</v>
      </c>
      <c r="K15" s="186">
        <f t="shared" si="10"/>
        <v>2163.2814103104051</v>
      </c>
      <c r="L15" s="186">
        <f t="shared" si="10"/>
        <v>2414.8235985608449</v>
      </c>
      <c r="M15" s="186">
        <f t="shared" si="10"/>
        <v>2642.2378812297511</v>
      </c>
      <c r="N15" s="186">
        <f t="shared" si="10"/>
        <v>2833.8217444387142</v>
      </c>
      <c r="O15" s="186">
        <f t="shared" si="10"/>
        <v>2979.1148922103043</v>
      </c>
      <c r="P15" s="186">
        <f t="shared" si="10"/>
        <v>3069.8424478465504</v>
      </c>
      <c r="Q15" s="186">
        <f t="shared" si="10"/>
        <v>3100.6948773694799</v>
      </c>
      <c r="R15" s="186">
        <f t="shared" si="10"/>
        <v>3069.8424478465504</v>
      </c>
      <c r="S15" s="186">
        <f t="shared" si="10"/>
        <v>2979.1148922103043</v>
      </c>
      <c r="T15" s="186">
        <f t="shared" si="10"/>
        <v>2833.8217444387142</v>
      </c>
      <c r="U15" s="186">
        <f t="shared" si="10"/>
        <v>2642.2378812297507</v>
      </c>
      <c r="V15" s="186">
        <f t="shared" si="10"/>
        <v>2414.8235985608444</v>
      </c>
      <c r="W15" s="186">
        <f t="shared" si="10"/>
        <v>2163.2814103104051</v>
      </c>
      <c r="X15" s="186">
        <f t="shared" si="10"/>
        <v>1899.5675221889549</v>
      </c>
      <c r="Y15" s="186">
        <f t="shared" si="10"/>
        <v>1634.9729181060163</v>
      </c>
      <c r="Z15" s="186">
        <f t="shared" si="10"/>
        <v>1379.3691270939671</v>
      </c>
      <c r="AA15" s="186">
        <f t="shared" si="10"/>
        <v>1140.6818987298382</v>
      </c>
      <c r="AB15" s="186">
        <f t="shared" si="10"/>
        <v>924.61877677376731</v>
      </c>
      <c r="AC15" s="186">
        <f t="shared" si="10"/>
        <v>734.64068765228785</v>
      </c>
      <c r="AD15" s="186">
        <f t="shared" si="10"/>
        <v>0</v>
      </c>
      <c r="AE15" s="186">
        <f t="shared" si="10"/>
        <v>0</v>
      </c>
    </row>
    <row r="16" spans="1:31">
      <c r="A16" s="177">
        <f>SUM(E16:AC16)</f>
        <v>1426375.4160403621</v>
      </c>
      <c r="B16" s="186" t="s">
        <v>17</v>
      </c>
      <c r="C16" s="186"/>
      <c r="D16" s="186">
        <f>SUM('Grand Prairie- Exec Summary (1)'!N22)</f>
        <v>1426375.4160403621</v>
      </c>
      <c r="E16" s="188">
        <v>0</v>
      </c>
      <c r="F16" s="186">
        <f t="shared" ref="F16:AE16" si="11">_xlfn.IFS($D$2=18,($D$16-$E$16)*F37,$D$2=20,($D$16-$E$16)*F38,$D$2=22,($D$16-$E$16)*F39,$D$2=24,($D$16-$E$16)*F40)</f>
        <v>26377.069847988278</v>
      </c>
      <c r="G16" s="186">
        <f t="shared" si="11"/>
        <v>32540.81235740969</v>
      </c>
      <c r="H16" s="186">
        <f t="shared" si="11"/>
        <v>39349.964250637771</v>
      </c>
      <c r="I16" s="186">
        <f t="shared" si="11"/>
        <v>46641.703525563898</v>
      </c>
      <c r="J16" s="186">
        <f t="shared" si="11"/>
        <v>54189.928295180616</v>
      </c>
      <c r="K16" s="186">
        <f t="shared" si="11"/>
        <v>61713.028432877712</v>
      </c>
      <c r="L16" s="186">
        <f t="shared" si="11"/>
        <v>68888.900301226196</v>
      </c>
      <c r="M16" s="186">
        <f t="shared" si="11"/>
        <v>75376.463142333814</v>
      </c>
      <c r="N16" s="186">
        <f t="shared" si="11"/>
        <v>80841.873394159906</v>
      </c>
      <c r="O16" s="186">
        <f t="shared" si="11"/>
        <v>84986.724876170221</v>
      </c>
      <c r="P16" s="186">
        <f t="shared" si="11"/>
        <v>87574.955974509736</v>
      </c>
      <c r="Q16" s="186">
        <f t="shared" si="11"/>
        <v>88455.09891444222</v>
      </c>
      <c r="R16" s="186">
        <f t="shared" si="11"/>
        <v>87574.955974509736</v>
      </c>
      <c r="S16" s="186">
        <f t="shared" si="11"/>
        <v>84986.724876170221</v>
      </c>
      <c r="T16" s="186">
        <f t="shared" si="11"/>
        <v>80841.873394159906</v>
      </c>
      <c r="U16" s="186">
        <f t="shared" si="11"/>
        <v>75376.463142333814</v>
      </c>
      <c r="V16" s="186">
        <f t="shared" si="11"/>
        <v>68888.900301226182</v>
      </c>
      <c r="W16" s="186">
        <f t="shared" si="11"/>
        <v>61713.028432877712</v>
      </c>
      <c r="X16" s="186">
        <f t="shared" si="11"/>
        <v>54189.928295180602</v>
      </c>
      <c r="Y16" s="186">
        <f t="shared" si="11"/>
        <v>46641.703525563877</v>
      </c>
      <c r="Z16" s="186">
        <f t="shared" si="11"/>
        <v>39349.964250637771</v>
      </c>
      <c r="AA16" s="186">
        <f t="shared" si="11"/>
        <v>32540.812357409664</v>
      </c>
      <c r="AB16" s="186">
        <f t="shared" si="11"/>
        <v>26377.069847988259</v>
      </c>
      <c r="AC16" s="186">
        <f t="shared" si="11"/>
        <v>20957.468329804196</v>
      </c>
      <c r="AD16" s="186">
        <f t="shared" si="11"/>
        <v>0</v>
      </c>
      <c r="AE16" s="186">
        <f t="shared" si="11"/>
        <v>0</v>
      </c>
    </row>
    <row r="17" spans="1:31">
      <c r="A17" s="177">
        <f ca="1">SUM(E17:AE17)</f>
        <v>3470986.0601113746</v>
      </c>
      <c r="B17" s="186" t="s">
        <v>117</v>
      </c>
      <c r="C17" s="189">
        <f>'Grand Prairie- Exec Summary (1)'!G6</f>
        <v>5.5E-2</v>
      </c>
      <c r="D17" s="186">
        <f ca="1">SUM(E17:AE17)</f>
        <v>3470986.0601113746</v>
      </c>
      <c r="E17" s="188">
        <v>0</v>
      </c>
      <c r="F17" s="186">
        <f ca="1">MAX(F31*$C$17/12,0)</f>
        <v>0</v>
      </c>
      <c r="G17" s="186">
        <f t="shared" ref="G17:AE17" ca="1" si="12">MAX(G31*$C$17/12,0)</f>
        <v>2158.4040103431503</v>
      </c>
      <c r="H17" s="186">
        <f t="shared" ca="1" si="12"/>
        <v>8702.4976608546312</v>
      </c>
      <c r="I17" s="186">
        <f t="shared" ca="1" si="12"/>
        <v>16480.853930844332</v>
      </c>
      <c r="J17" s="186">
        <f t="shared" ca="1" si="12"/>
        <v>25540.419328836269</v>
      </c>
      <c r="K17" s="186">
        <f t="shared" ca="1" si="12"/>
        <v>37253.246165114266</v>
      </c>
      <c r="L17" s="186">
        <f t="shared" ca="1" si="12"/>
        <v>48827.548765683197</v>
      </c>
      <c r="M17" s="186">
        <f t="shared" ca="1" si="12"/>
        <v>61520.223013217059</v>
      </c>
      <c r="N17" s="186">
        <f t="shared" ca="1" si="12"/>
        <v>75165.410646126038</v>
      </c>
      <c r="O17" s="186">
        <f t="shared" ca="1" si="12"/>
        <v>89547.101187822744</v>
      </c>
      <c r="P17" s="186">
        <f t="shared" ca="1" si="12"/>
        <v>104409.31173177822</v>
      </c>
      <c r="Q17" s="186">
        <f t="shared" ca="1" si="12"/>
        <v>119469.99840280687</v>
      </c>
      <c r="R17" s="186">
        <f t="shared" ca="1" si="12"/>
        <v>134437.45464373316</v>
      </c>
      <c r="S17" s="186">
        <f t="shared" ca="1" si="12"/>
        <v>149027.61856742206</v>
      </c>
      <c r="T17" s="186">
        <f t="shared" ca="1" si="12"/>
        <v>162980.58979391278</v>
      </c>
      <c r="U17" s="186">
        <f t="shared" ca="1" si="12"/>
        <v>176074.76648547931</v>
      </c>
      <c r="V17" s="186">
        <f t="shared" ca="1" si="12"/>
        <v>188137.33623329995</v>
      </c>
      <c r="W17" s="186">
        <f t="shared" ca="1" si="12"/>
        <v>201136.05133278816</v>
      </c>
      <c r="X17" s="186">
        <f t="shared" ca="1" si="12"/>
        <v>210845.09143940292</v>
      </c>
      <c r="Y17" s="186">
        <f t="shared" ca="1" si="12"/>
        <v>219334.42960452344</v>
      </c>
      <c r="Z17" s="186">
        <f t="shared" ca="1" si="12"/>
        <v>228749.18406768629</v>
      </c>
      <c r="AA17" s="186">
        <f t="shared" ca="1" si="12"/>
        <v>234959.16752005249</v>
      </c>
      <c r="AB17" s="186">
        <f t="shared" ca="1" si="12"/>
        <v>240167.1211905017</v>
      </c>
      <c r="AC17" s="186">
        <f t="shared" ca="1" si="12"/>
        <v>244493.13147353203</v>
      </c>
      <c r="AD17" s="186">
        <f t="shared" ca="1" si="12"/>
        <v>245353.06992941207</v>
      </c>
      <c r="AE17" s="186">
        <f t="shared" ca="1" si="12"/>
        <v>246216.03298620196</v>
      </c>
    </row>
    <row r="18" spans="1:31">
      <c r="A18" s="177">
        <f ca="1">SUM(E18:AC18)</f>
        <v>1144348.0261823635</v>
      </c>
      <c r="B18" s="186" t="s">
        <v>372</v>
      </c>
      <c r="C18" s="476">
        <v>0.5</v>
      </c>
      <c r="D18" s="186">
        <f ca="1">'Grand Prairie- Exec Summary (1)'!O52</f>
        <v>2288696.0523647266</v>
      </c>
      <c r="E18" s="188">
        <v>0</v>
      </c>
      <c r="F18" s="186" cm="1">
        <f t="array" aca="1" ref="F18" ca="1">_xlfn.IFS($D$2=18,($D$18*$C$18-$E$18)*F37,$D$2=20,($D$18*$C$18-$E$18)*F38,$D$2=22,($D$18*$C$18-$E$18)*F39,$D$2=24,($D$18*$C$18-$E$18)*F40)</f>
        <v>21161.713443444249</v>
      </c>
      <c r="G18" s="186" cm="1">
        <f t="array" aca="1" ref="G18" ca="1">_xlfn.IFS($D$2=18,($D$18*$C$18-$E$18)*G37,$D$2=20,($D$18*$C$18-$E$18)*G38,$D$2=22,($D$18*$C$18-$E$18)*G39,$D$2=24,($D$18*$C$18-$E$18)*G40)</f>
        <v>26106.741586268836</v>
      </c>
      <c r="H18" s="186" cm="1">
        <f t="array" aca="1" ref="H18" ca="1">_xlfn.IFS($D$2=18,($D$18*$C$18-$E$18)*H37,$D$2=20,($D$18*$C$18-$E$18)*H38,$D$2=22,($D$18*$C$18-$E$18)*H39,$D$2=24,($D$18*$C$18-$E$18)*H40)</f>
        <v>31569.566759337416</v>
      </c>
      <c r="I18" s="186" cm="1">
        <f t="array" aca="1" ref="I18" ca="1">_xlfn.IFS($D$2=18,($D$18*$C$18-$E$18)*I37,$D$2=20,($D$18*$C$18-$E$18)*I38,$D$2=22,($D$18*$C$18-$E$18)*I39,$D$2=24,($D$18*$C$18-$E$18)*I40)</f>
        <v>37419.56063392479</v>
      </c>
      <c r="J18" s="186" cm="1">
        <f t="array" aca="1" ref="J18" ca="1">_xlfn.IFS($D$2=18,($D$18*$C$18-$E$18)*J37,$D$2=20,($D$18*$C$18-$E$18)*J38,$D$2=22,($D$18*$C$18-$E$18)*J39,$D$2=24,($D$18*$C$18-$E$18)*J40)</f>
        <v>43475.326892341065</v>
      </c>
      <c r="K18" s="186" cm="1">
        <f t="array" aca="1" ref="K18" ca="1">_xlfn.IFS($D$2=18,($D$18*$C$18-$E$18)*K37,$D$2=20,($D$18*$C$18-$E$18)*K38,$D$2=22,($D$18*$C$18-$E$18)*K39,$D$2=24,($D$18*$C$18-$E$18)*K40)</f>
        <v>49510.936239314229</v>
      </c>
      <c r="L18" s="186" cm="1">
        <f t="array" aca="1" ref="L18" ca="1">_xlfn.IFS($D$2=18,($D$18*$C$18-$E$18)*L37,$D$2=20,($D$18*$C$18-$E$18)*L38,$D$2=22,($D$18*$C$18-$E$18)*L39,$D$2=24,($D$18*$C$18-$E$18)*L40)</f>
        <v>55267.972371833894</v>
      </c>
      <c r="M18" s="186" cm="1">
        <f t="array" aca="1" ref="M18" ca="1">_xlfn.IFS($D$2=18,($D$18*$C$18-$E$18)*M37,$D$2=20,($D$18*$C$18-$E$18)*M38,$D$2=22,($D$18*$C$18-$E$18)*M39,$D$2=24,($D$18*$C$18-$E$18)*M40)</f>
        <v>60472.794081790707</v>
      </c>
      <c r="N18" s="186" cm="1">
        <f t="array" aca="1" ref="N18" ca="1">_xlfn.IFS($D$2=18,($D$18*$C$18-$E$18)*N37,$D$2=20,($D$18*$C$18-$E$18)*N38,$D$2=22,($D$18*$C$18-$E$18)*N39,$D$2=24,($D$18*$C$18-$E$18)*N40)</f>
        <v>64857.566396022077</v>
      </c>
      <c r="O18" s="186" cm="1">
        <f t="array" aca="1" ref="O18" ca="1">_xlfn.IFS($D$2=18,($D$18*$C$18-$E$18)*O37,$D$2=20,($D$18*$C$18-$E$18)*O38,$D$2=22,($D$18*$C$18-$E$18)*O39,$D$2=24,($D$18*$C$18-$E$18)*O40)</f>
        <v>68182.884933426918</v>
      </c>
      <c r="P18" s="186" cm="1">
        <f t="array" aca="1" ref="P18" ca="1">_xlfn.IFS($D$2=18,($D$18*$C$18-$E$18)*P37,$D$2=20,($D$18*$C$18-$E$18)*P38,$D$2=22,($D$18*$C$18-$E$18)*P39,$D$2=24,($D$18*$C$18-$E$18)*P40)</f>
        <v>70259.362917680686</v>
      </c>
      <c r="Q18" s="186" cm="1">
        <f t="array" aca="1" ref="Q18" ca="1">_xlfn.IFS($D$2=18,($D$18*$C$18-$E$18)*Q37,$D$2=20,($D$18*$C$18-$E$18)*Q38,$D$2=22,($D$18*$C$18-$E$18)*Q39,$D$2=24,($D$18*$C$18-$E$18)*Q40)</f>
        <v>70965.481254230588</v>
      </c>
      <c r="R18" s="186" cm="1">
        <f t="array" aca="1" ref="R18" ca="1">_xlfn.IFS($D$2=18,($D$18*$C$18-$E$18)*R37,$D$2=20,($D$18*$C$18-$E$18)*R38,$D$2=22,($D$18*$C$18-$E$18)*R39,$D$2=24,($D$18*$C$18-$E$18)*R40)</f>
        <v>70259.362917680686</v>
      </c>
      <c r="S18" s="186" cm="1">
        <f t="array" aca="1" ref="S18" ca="1">_xlfn.IFS($D$2=18,($D$18*$C$18-$E$18)*S37,$D$2=20,($D$18*$C$18-$E$18)*S38,$D$2=22,($D$18*$C$18-$E$18)*S39,$D$2=24,($D$18*$C$18-$E$18)*S40)</f>
        <v>68182.884933426918</v>
      </c>
      <c r="T18" s="186" cm="1">
        <f t="array" aca="1" ref="T18" ca="1">_xlfn.IFS($D$2=18,($D$18*$C$18-$E$18)*T37,$D$2=20,($D$18*$C$18-$E$18)*T38,$D$2=22,($D$18*$C$18-$E$18)*T39,$D$2=24,($D$18*$C$18-$E$18)*T40)</f>
        <v>64857.566396022077</v>
      </c>
      <c r="U18" s="186" cm="1">
        <f t="array" aca="1" ref="U18" ca="1">_xlfn.IFS($D$2=18,($D$18*$C$18-$E$18)*U37,$D$2=20,($D$18*$C$18-$E$18)*U38,$D$2=22,($D$18*$C$18-$E$18)*U39,$D$2=24,($D$18*$C$18-$E$18)*U40)</f>
        <v>60472.794081790693</v>
      </c>
      <c r="V18" s="186" cm="1">
        <f t="array" aca="1" ref="V18" ca="1">_xlfn.IFS($D$2=18,($D$18*$C$18-$E$18)*V37,$D$2=20,($D$18*$C$18-$E$18)*V38,$D$2=22,($D$18*$C$18-$E$18)*V39,$D$2=24,($D$18*$C$18-$E$18)*V40)</f>
        <v>55267.972371833879</v>
      </c>
      <c r="W18" s="186" cm="1">
        <f t="array" aca="1" ref="W18" ca="1">_xlfn.IFS($D$2=18,($D$18*$C$18-$E$18)*W37,$D$2=20,($D$18*$C$18-$E$18)*W38,$D$2=22,($D$18*$C$18-$E$18)*W39,$D$2=24,($D$18*$C$18-$E$18)*W40)</f>
        <v>49510.936239314229</v>
      </c>
      <c r="X18" s="186" cm="1">
        <f t="array" aca="1" ref="X18" ca="1">_xlfn.IFS($D$2=18,($D$18*$C$18-$E$18)*X37,$D$2=20,($D$18*$C$18-$E$18)*X38,$D$2=22,($D$18*$C$18-$E$18)*X39,$D$2=24,($D$18*$C$18-$E$18)*X40)</f>
        <v>43475.326892341058</v>
      </c>
      <c r="Y18" s="186" cm="1">
        <f t="array" aca="1" ref="Y18" ca="1">_xlfn.IFS($D$2=18,($D$18*$C$18-$E$18)*Y37,$D$2=20,($D$18*$C$18-$E$18)*Y38,$D$2=22,($D$18*$C$18-$E$18)*Y39,$D$2=24,($D$18*$C$18-$E$18)*Y40)</f>
        <v>37419.560633924768</v>
      </c>
      <c r="Z18" s="186" cm="1">
        <f t="array" aca="1" ref="Z18" ca="1">_xlfn.IFS($D$2=18,($D$18*$C$18-$E$18)*Z37,$D$2=20,($D$18*$C$18-$E$18)*Z38,$D$2=22,($D$18*$C$18-$E$18)*Z39,$D$2=24,($D$18*$C$18-$E$18)*Z40)</f>
        <v>31569.566759337416</v>
      </c>
      <c r="AA18" s="186" cm="1">
        <f t="array" aca="1" ref="AA18" ca="1">_xlfn.IFS($D$2=18,($D$18*$C$18-$E$18)*AA37,$D$2=20,($D$18*$C$18-$E$18)*AA38,$D$2=22,($D$18*$C$18-$E$18)*AA39,$D$2=24,($D$18*$C$18-$E$18)*AA40)</f>
        <v>26106.741586268818</v>
      </c>
      <c r="AB18" s="186" cm="1">
        <f t="array" aca="1" ref="AB18" ca="1">_xlfn.IFS($D$2=18,($D$18*$C$18-$E$18)*AB37,$D$2=20,($D$18*$C$18-$E$18)*AB38,$D$2=22,($D$18*$C$18-$E$18)*AB39,$D$2=24,($D$18*$C$18-$E$18)*AB40)</f>
        <v>21161.713443444234</v>
      </c>
      <c r="AC18" s="186" cm="1">
        <f t="array" aca="1" ref="AC18" ca="1">_xlfn.IFS($D$2=18,($D$18*$C$18-$E$18)*AC37,$D$2=20,($D$18*$C$18-$E$18)*AC38,$D$2=22,($D$18*$C$18-$E$18)*AC39,$D$2=24,($D$18*$C$18-$E$18)*AC40)</f>
        <v>16813.692417362992</v>
      </c>
      <c r="AD18" s="186" cm="1">
        <f t="array" aca="1" ref="AD18" ca="1">_xlfn.IFS($D$2=18,($D$18*$C$18-$E$18)*AD37,$D$2=20,($D$18*$C$18-$E$18)*AD38,$D$2=22,($D$18*$C$18-$E$18)*AD39,$D$2=24,($D$18*$C$18-$E$18)*AD40)</f>
        <v>0</v>
      </c>
      <c r="AE18" s="186" cm="1">
        <f t="array" aca="1" ref="AE18" ca="1">_xlfn.IFS($D$2=18,($D$18*$C$18-$E$18)*AE37,$D$2=20,($D$18*$C$18-$E$18)*AE38,$D$2=22,($D$18*$C$18-$E$18)*AE39,$D$2=24,($D$18*$C$18-$E$18)*AE40)</f>
        <v>0</v>
      </c>
    </row>
    <row r="19" spans="1:31">
      <c r="A19" s="177">
        <f>SUM(E19:AE19)</f>
        <v>983000</v>
      </c>
      <c r="B19" s="186" t="s">
        <v>118</v>
      </c>
      <c r="C19" s="186">
        <v>0.7</v>
      </c>
      <c r="D19" s="186">
        <f>SUM(E19:AE19)</f>
        <v>983000</v>
      </c>
      <c r="E19" s="188"/>
      <c r="F19" s="186"/>
      <c r="G19" s="186"/>
      <c r="H19" s="186"/>
      <c r="I19" s="186"/>
      <c r="J19" s="186"/>
      <c r="K19" s="186">
        <v>390000</v>
      </c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>
        <v>593000</v>
      </c>
      <c r="X19" s="186"/>
      <c r="Y19" s="186"/>
      <c r="Z19" s="186"/>
      <c r="AA19" s="186"/>
      <c r="AB19" s="186"/>
      <c r="AC19" s="186"/>
      <c r="AD19" s="186"/>
      <c r="AE19" s="186"/>
    </row>
    <row r="20" spans="1:31">
      <c r="A20" s="177">
        <f ca="1">SUM(E20:AC20)</f>
        <v>0</v>
      </c>
      <c r="B20" s="186"/>
      <c r="C20" s="190">
        <v>0</v>
      </c>
      <c r="D20" s="186">
        <f ca="1">SUM(E20:AC20)</f>
        <v>0</v>
      </c>
      <c r="E20" s="186">
        <f t="shared" ref="E20:AC20" ca="1" si="13">$C$20*SUM(E6:E18)</f>
        <v>0</v>
      </c>
      <c r="F20" s="186">
        <f ca="1">$C$20*SUM(F6:F18)</f>
        <v>0</v>
      </c>
      <c r="G20" s="186">
        <f ca="1">$C$20*SUM(G6:G18)</f>
        <v>0</v>
      </c>
      <c r="H20" s="186">
        <f ca="1">$C$20*SUM(H6:H18)</f>
        <v>0</v>
      </c>
      <c r="I20" s="186">
        <f t="shared" ca="1" si="13"/>
        <v>0</v>
      </c>
      <c r="J20" s="186">
        <f t="shared" ca="1" si="13"/>
        <v>0</v>
      </c>
      <c r="K20" s="186">
        <f t="shared" ca="1" si="13"/>
        <v>0</v>
      </c>
      <c r="L20" s="186">
        <f t="shared" ca="1" si="13"/>
        <v>0</v>
      </c>
      <c r="M20" s="186">
        <f t="shared" ca="1" si="13"/>
        <v>0</v>
      </c>
      <c r="N20" s="186">
        <f t="shared" ca="1" si="13"/>
        <v>0</v>
      </c>
      <c r="O20" s="186">
        <f t="shared" ca="1" si="13"/>
        <v>0</v>
      </c>
      <c r="P20" s="186">
        <f t="shared" ca="1" si="13"/>
        <v>0</v>
      </c>
      <c r="Q20" s="186">
        <f t="shared" ca="1" si="13"/>
        <v>0</v>
      </c>
      <c r="R20" s="186">
        <f t="shared" ca="1" si="13"/>
        <v>0</v>
      </c>
      <c r="S20" s="186">
        <f t="shared" ca="1" si="13"/>
        <v>0</v>
      </c>
      <c r="T20" s="186">
        <f t="shared" ca="1" si="13"/>
        <v>0</v>
      </c>
      <c r="U20" s="186">
        <f t="shared" ca="1" si="13"/>
        <v>0</v>
      </c>
      <c r="V20" s="186">
        <f t="shared" ca="1" si="13"/>
        <v>0</v>
      </c>
      <c r="W20" s="186">
        <f t="shared" ca="1" si="13"/>
        <v>0</v>
      </c>
      <c r="X20" s="186">
        <f t="shared" ca="1" si="13"/>
        <v>0</v>
      </c>
      <c r="Y20" s="186">
        <f t="shared" ca="1" si="13"/>
        <v>0</v>
      </c>
      <c r="Z20" s="186">
        <f t="shared" ca="1" si="13"/>
        <v>0</v>
      </c>
      <c r="AA20" s="186">
        <f t="shared" ca="1" si="13"/>
        <v>0</v>
      </c>
      <c r="AB20" s="186">
        <f t="shared" ca="1" si="13"/>
        <v>0</v>
      </c>
      <c r="AC20" s="186">
        <f t="shared" ca="1" si="13"/>
        <v>0</v>
      </c>
      <c r="AD20" s="186">
        <f ca="1">$C$20*SUM(AD6:AD18)</f>
        <v>0</v>
      </c>
      <c r="AE20" s="186">
        <f ca="1">$C$20*SUM(AE6:AE18)</f>
        <v>0</v>
      </c>
    </row>
    <row r="21" spans="1:31">
      <c r="A21" s="17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7"/>
      <c r="AA21" s="187"/>
      <c r="AB21" s="187"/>
      <c r="AC21" s="187"/>
      <c r="AD21" s="187"/>
      <c r="AE21" s="187"/>
    </row>
    <row r="22" spans="1:31">
      <c r="A22" s="177">
        <f ca="1">SUM(E22:AC22)</f>
        <v>76057375.579698458</v>
      </c>
      <c r="B22" s="186" t="s">
        <v>119</v>
      </c>
      <c r="C22" s="186"/>
      <c r="D22" s="186">
        <f ca="1">SUM(D6:D21)</f>
        <v>77693292.708796442</v>
      </c>
      <c r="E22" s="186">
        <f ca="1">SUM(E6:E21)</f>
        <v>4130981.8202799824</v>
      </c>
      <c r="F22" s="186">
        <f ca="1">SUM(F6:F21)</f>
        <v>1245738.541427166</v>
      </c>
      <c r="G22" s="186">
        <f t="shared" ref="G22:AC22" ca="1" si="14">SUM(G6:G21)</f>
        <v>1538998.711011553</v>
      </c>
      <c r="H22" s="186">
        <f t="shared" ca="1" si="14"/>
        <v>1867126.0205655135</v>
      </c>
      <c r="I22" s="186">
        <f t="shared" ca="1" si="14"/>
        <v>2219279.2714376212</v>
      </c>
      <c r="J22" s="186">
        <f t="shared" ca="1" si="14"/>
        <v>2584827.0506158816</v>
      </c>
      <c r="K22" s="186">
        <f t="shared" ca="1" si="14"/>
        <v>3341841.5029380578</v>
      </c>
      <c r="L22" s="186">
        <f t="shared" ca="1" si="14"/>
        <v>3302318.5042182696</v>
      </c>
      <c r="M22" s="186">
        <f t="shared" ca="1" si="14"/>
        <v>3621406.3587369313</v>
      </c>
      <c r="N22" s="186">
        <f t="shared" ca="1" si="14"/>
        <v>3893172.415543267</v>
      </c>
      <c r="O22" s="186">
        <f t="shared" ca="1" si="14"/>
        <v>4103307.5111973803</v>
      </c>
      <c r="P22" s="186">
        <f t="shared" ca="1" si="14"/>
        <v>4240406.9244292527</v>
      </c>
      <c r="Q22" s="186">
        <f t="shared" ca="1" si="14"/>
        <v>4297035.0781676108</v>
      </c>
      <c r="R22" s="186">
        <f t="shared" ca="1" si="14"/>
        <v>4270435.0673412075</v>
      </c>
      <c r="S22" s="186">
        <f t="shared" ca="1" si="14"/>
        <v>4162788.0285769794</v>
      </c>
      <c r="T22" s="186">
        <f t="shared" ca="1" si="14"/>
        <v>3980987.5946910535</v>
      </c>
      <c r="U22" s="186">
        <f t="shared" ca="1" si="14"/>
        <v>3735960.902209193</v>
      </c>
      <c r="V22" s="186">
        <f t="shared" ca="1" si="14"/>
        <v>3441628.2916858862</v>
      </c>
      <c r="W22" s="186">
        <f t="shared" ca="1" si="14"/>
        <v>3708724.3081057314</v>
      </c>
      <c r="X22" s="186">
        <f t="shared" ca="1" si="14"/>
        <v>2770131.722726448</v>
      </c>
      <c r="Y22" s="186">
        <f t="shared" ca="1" si="14"/>
        <v>2422132.8471112992</v>
      </c>
      <c r="Z22" s="186">
        <f t="shared" ca="1" si="14"/>
        <v>2686167.7069723448</v>
      </c>
      <c r="AA22" s="186">
        <f t="shared" ca="1" si="14"/>
        <v>1771799.4745212612</v>
      </c>
      <c r="AB22" s="186">
        <f t="shared" ca="1" si="14"/>
        <v>1485905.6626176669</v>
      </c>
      <c r="AC22" s="186">
        <f t="shared" ca="1" si="14"/>
        <v>1234274.2625709071</v>
      </c>
      <c r="AD22" s="186">
        <f ca="1">SUM(AD6:AD21)</f>
        <v>245353.06992941207</v>
      </c>
      <c r="AE22" s="186">
        <f ca="1">SUM(AE6:AE21)</f>
        <v>246216.03298620196</v>
      </c>
    </row>
    <row r="23" spans="1:31">
      <c r="A23" s="177"/>
      <c r="B23" s="191"/>
      <c r="C23" s="191"/>
      <c r="D23" s="191"/>
      <c r="E23" s="191"/>
      <c r="F23" s="192"/>
      <c r="G23" s="191"/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3"/>
      <c r="AA23" s="193"/>
      <c r="AB23" s="193"/>
      <c r="AC23" s="193"/>
      <c r="AD23" s="193"/>
      <c r="AE23" s="193"/>
    </row>
    <row r="24" spans="1:31">
      <c r="A24" s="177"/>
      <c r="B24" s="194" t="s">
        <v>120</v>
      </c>
      <c r="C24" s="183"/>
      <c r="D24" s="195"/>
      <c r="E24" s="195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95"/>
      <c r="AA24" s="195"/>
      <c r="AB24" s="195"/>
      <c r="AC24" s="195"/>
      <c r="AD24" s="195"/>
      <c r="AE24" s="195"/>
    </row>
    <row r="25" spans="1:31">
      <c r="A25" s="177">
        <f>D25</f>
        <v>6299894.7117256904</v>
      </c>
      <c r="B25" s="186" t="s">
        <v>121</v>
      </c>
      <c r="C25" s="186"/>
      <c r="D25" s="186">
        <f>'Scenario Summary'!E8</f>
        <v>6299894.7117256904</v>
      </c>
      <c r="E25" s="186">
        <f ca="1">IF(D25&gt;E22,E22,D25)</f>
        <v>4130981.8202799824</v>
      </c>
      <c r="F25" s="186">
        <f ca="1">IF($D$25-SUM($E$25:E25)&gt;F22,F22,$D$25-SUM($E$25:E25))</f>
        <v>1245738.541427166</v>
      </c>
      <c r="G25" s="186">
        <f ca="1">IF($D$25-SUM($E$25:F25)&gt;G22,G22,$D$25-SUM($E$25:F25))</f>
        <v>923174.35001854226</v>
      </c>
      <c r="H25" s="186">
        <f ca="1">IF($D$25-SUM($E$25:G25)&gt;H22,H22,$D$25-SUM($E$25:G25))</f>
        <v>0</v>
      </c>
      <c r="I25" s="186">
        <f ca="1">IF($D$25-SUM($E$25:H25)&gt;I22,I22,$D$25-SUM($E$25:H25))</f>
        <v>0</v>
      </c>
      <c r="J25" s="186">
        <f ca="1">IF($D$25-SUM($E$25:I25)&gt;J22,J22,$D$25-SUM($E$25:I25))</f>
        <v>0</v>
      </c>
      <c r="K25" s="186">
        <f ca="1">IF($D$25-SUM($E$25:J25)&gt;K22,K22,$D$25-SUM($E$25:J25))</f>
        <v>0</v>
      </c>
      <c r="L25" s="186">
        <f ca="1">IF($D$25-SUM($E$25:K25)&gt;L22,L22,$D$25-SUM($E$25:K25))</f>
        <v>0</v>
      </c>
      <c r="M25" s="186">
        <f ca="1">IF($D$25-SUM($E$25:L25)&gt;M22,M22,$D$25-SUM($E$25:L25))</f>
        <v>0</v>
      </c>
      <c r="N25" s="186">
        <f ca="1">IF($D$25-SUM($E$25:M25)&gt;N22,N22,$D$25-SUM($E$25:M25))</f>
        <v>0</v>
      </c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7"/>
      <c r="AA25" s="187"/>
      <c r="AB25" s="187"/>
      <c r="AC25" s="187"/>
      <c r="AD25" s="187"/>
      <c r="AE25" s="187"/>
    </row>
    <row r="26" spans="1:31">
      <c r="A26" s="17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7"/>
      <c r="AA26" s="187"/>
      <c r="AB26" s="187"/>
      <c r="AC26" s="187"/>
      <c r="AD26" s="187"/>
      <c r="AE26" s="187"/>
    </row>
    <row r="27" spans="1:31">
      <c r="A27" s="177"/>
      <c r="B27" s="186" t="s">
        <v>86</v>
      </c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7"/>
      <c r="AA27" s="187"/>
      <c r="AB27" s="187"/>
      <c r="AC27" s="187"/>
      <c r="AD27" s="187"/>
      <c r="AE27" s="187"/>
    </row>
    <row r="28" spans="1:31">
      <c r="A28" s="177">
        <f ca="1">SUM(E28:AC28)</f>
        <v>69757480.867972776</v>
      </c>
      <c r="B28" s="186" t="s">
        <v>122</v>
      </c>
      <c r="C28" s="186"/>
      <c r="D28" s="186"/>
      <c r="E28" s="186">
        <f ca="1">E22-SUM(E25:E27)</f>
        <v>0</v>
      </c>
      <c r="F28" s="186">
        <f ca="1">IF(F4&lt;=($D$2+$H$2),F22-SUM(F25:F27),0)</f>
        <v>0</v>
      </c>
      <c r="G28" s="186">
        <f t="shared" ref="G28:Z28" ca="1" si="15">IF(G4&lt;=($D$2+$H$2),G22-SUM(G25:G27),0)</f>
        <v>615824.36099301069</v>
      </c>
      <c r="H28" s="186">
        <f t="shared" ca="1" si="15"/>
        <v>1867126.0205655135</v>
      </c>
      <c r="I28" s="186">
        <f t="shared" ca="1" si="15"/>
        <v>2219279.2714376212</v>
      </c>
      <c r="J28" s="186">
        <f t="shared" ca="1" si="15"/>
        <v>2584827.0506158816</v>
      </c>
      <c r="K28" s="186">
        <f t="shared" ca="1" si="15"/>
        <v>3341841.5029380578</v>
      </c>
      <c r="L28" s="186">
        <f t="shared" ca="1" si="15"/>
        <v>3302318.5042182696</v>
      </c>
      <c r="M28" s="186">
        <f t="shared" ca="1" si="15"/>
        <v>3621406.3587369313</v>
      </c>
      <c r="N28" s="186">
        <f t="shared" ca="1" si="15"/>
        <v>3893172.415543267</v>
      </c>
      <c r="O28" s="186">
        <f t="shared" ca="1" si="15"/>
        <v>4103307.5111973803</v>
      </c>
      <c r="P28" s="186">
        <f t="shared" ca="1" si="15"/>
        <v>4240406.9244292527</v>
      </c>
      <c r="Q28" s="186">
        <f t="shared" ca="1" si="15"/>
        <v>4297035.0781676108</v>
      </c>
      <c r="R28" s="186">
        <f t="shared" ca="1" si="15"/>
        <v>4270435.0673412075</v>
      </c>
      <c r="S28" s="186">
        <f t="shared" ca="1" si="15"/>
        <v>4162788.0285769794</v>
      </c>
      <c r="T28" s="186">
        <f t="shared" ca="1" si="15"/>
        <v>3980987.5946910535</v>
      </c>
      <c r="U28" s="186">
        <f t="shared" ca="1" si="15"/>
        <v>3735960.902209193</v>
      </c>
      <c r="V28" s="186">
        <f t="shared" ca="1" si="15"/>
        <v>3441628.2916858862</v>
      </c>
      <c r="W28" s="186">
        <f t="shared" ca="1" si="15"/>
        <v>3708724.3081057314</v>
      </c>
      <c r="X28" s="186">
        <f t="shared" ca="1" si="15"/>
        <v>2770131.722726448</v>
      </c>
      <c r="Y28" s="186">
        <f t="shared" ca="1" si="15"/>
        <v>2422132.8471112992</v>
      </c>
      <c r="Z28" s="186">
        <f t="shared" ca="1" si="15"/>
        <v>2686167.7069723448</v>
      </c>
      <c r="AA28" s="186">
        <f ca="1">IF(AA4&lt;=($D$2+$H$2),AA22-SUM(AA25:AA27),0)</f>
        <v>1771799.4745212612</v>
      </c>
      <c r="AB28" s="186">
        <f ca="1">IF(AB4&lt;=($D$2+$H$2),AB22-SUM(AB25:AB27),0)</f>
        <v>1485905.6626176669</v>
      </c>
      <c r="AC28" s="186">
        <f ca="1">IF(AC4&lt;=($D$2+$H$2),AC22-SUM(AC25:AC27),0)</f>
        <v>1234274.2625709071</v>
      </c>
      <c r="AD28" s="186">
        <f ca="1">IF(AD4&lt;=($D$2+$H$2),AD22-SUM(AD25:AD27),0)</f>
        <v>245353.06992941207</v>
      </c>
      <c r="AE28" s="186">
        <f ca="1">IF(AE4&lt;=($D$2+$H$2),AE22-SUM(AE25:AE27),0)</f>
        <v>246216.03298620196</v>
      </c>
    </row>
    <row r="29" spans="1:31">
      <c r="A29" s="177">
        <f ca="1">MAX(E29:AE29)</f>
        <v>70249049.970888391</v>
      </c>
      <c r="B29" s="191" t="s">
        <v>123</v>
      </c>
      <c r="C29" s="191"/>
      <c r="D29" s="191"/>
      <c r="E29" s="191">
        <f ca="1">E28</f>
        <v>0</v>
      </c>
      <c r="F29" s="191">
        <f ca="1">MIN(IF(F4&lt;=($D$2+$J$2),E29+F28,0),('Grand Prairie- Exec Summary (1)'!$O$9+'Grand Prairie- Exec Summary (1)'!$O$10))</f>
        <v>0</v>
      </c>
      <c r="G29" s="191">
        <f ca="1">MIN(IF(G4&lt;=($D$2+$J$2),F29+G28,0),('Grand Prairie- Exec Summary (1)'!$O$9+'Grand Prairie- Exec Summary (1)'!$O$10))</f>
        <v>615824.36099301069</v>
      </c>
      <c r="H29" s="191">
        <f ca="1">MIN(IF(H4&lt;=($D$2+$J$2),G29+H28,0),('Grand Prairie- Exec Summary (1)'!$O$9+'Grand Prairie- Exec Summary (1)'!$O$10))</f>
        <v>2482950.3815585244</v>
      </c>
      <c r="I29" s="191">
        <f ca="1">MIN(IF(I4&lt;=($D$2+$J$2),H29+I28,0),('Grand Prairie- Exec Summary (1)'!$O$9+'Grand Prairie- Exec Summary (1)'!$O$10))</f>
        <v>4702229.6529961452</v>
      </c>
      <c r="J29" s="191">
        <f ca="1">MIN(IF(J4&lt;=($D$2+$J$2),I29+J28,0),('Grand Prairie- Exec Summary (1)'!$O$9+'Grand Prairie- Exec Summary (1)'!$O$10))</f>
        <v>7287056.7036120268</v>
      </c>
      <c r="K29" s="191">
        <f ca="1">MIN(IF(K4&lt;=($D$2+$J$2),J29+K28,0),('Grand Prairie- Exec Summary (1)'!$O$9+'Grand Prairie- Exec Summary (1)'!$O$10))</f>
        <v>10628898.206550084</v>
      </c>
      <c r="L29" s="191">
        <f ca="1">MIN(IF(L4&lt;=($D$2+$J$2),K29+L28,0),('Grand Prairie- Exec Summary (1)'!$O$9+'Grand Prairie- Exec Summary (1)'!$O$10))</f>
        <v>13931216.710768353</v>
      </c>
      <c r="M29" s="191">
        <f ca="1">MIN(IF(M4&lt;=($D$2+$J$2),L29+M28,0),('Grand Prairie- Exec Summary (1)'!$O$9+'Grand Prairie- Exec Summary (1)'!$O$10))</f>
        <v>17552623.069505285</v>
      </c>
      <c r="N29" s="191">
        <f ca="1">MIN(IF(N4&lt;=($D$2+$J$2),M29+N28,0),('Grand Prairie- Exec Summary (1)'!$O$9+'Grand Prairie- Exec Summary (1)'!$O$10))</f>
        <v>21445795.485048551</v>
      </c>
      <c r="O29" s="191">
        <f ca="1">MIN(IF(O4&lt;=($D$2+$J$2),N29+O28,0),('Grand Prairie- Exec Summary (1)'!$O$9+'Grand Prairie- Exec Summary (1)'!$O$10))</f>
        <v>25549102.996245932</v>
      </c>
      <c r="P29" s="191">
        <f ca="1">MIN(IF(P4&lt;=($D$2+$J$2),O29+P28,0),('Grand Prairie- Exec Summary (1)'!$O$9+'Grand Prairie- Exec Summary (1)'!$O$10))</f>
        <v>29789509.920675185</v>
      </c>
      <c r="Q29" s="191">
        <f ca="1">MIN(IF(Q4&lt;=($D$2+$J$2),P29+Q28,0),('Grand Prairie- Exec Summary (1)'!$O$9+'Grand Prairie- Exec Summary (1)'!$O$10))</f>
        <v>34086544.998842798</v>
      </c>
      <c r="R29" s="191">
        <f ca="1">MIN(IF(R4&lt;=($D$2+$J$2),Q29+R28,0),('Grand Prairie- Exec Summary (1)'!$O$9+'Grand Prairie- Exec Summary (1)'!$O$10))</f>
        <v>38356980.066184007</v>
      </c>
      <c r="S29" s="191">
        <f ca="1">MIN(IF(S4&lt;=($D$2+$J$2),R29+S28,0),('Grand Prairie- Exec Summary (1)'!$O$9+'Grand Prairie- Exec Summary (1)'!$O$10))</f>
        <v>42519768.094760984</v>
      </c>
      <c r="T29" s="191">
        <f ca="1">MIN(IF(T4&lt;=($D$2+$J$2),S29+T28,0),('Grand Prairie- Exec Summary (1)'!$O$9+'Grand Prairie- Exec Summary (1)'!$O$10))</f>
        <v>46500755.689452037</v>
      </c>
      <c r="U29" s="191">
        <f ca="1">MIN(IF(U4&lt;=($D$2+$J$2),T29+U28,0),('Grand Prairie- Exec Summary (1)'!$O$9+'Grand Prairie- Exec Summary (1)'!$O$10))</f>
        <v>50236716.59166123</v>
      </c>
      <c r="V29" s="191">
        <f ca="1">MIN(IF(V4&lt;=($D$2+$J$2),U29+V28,0),('Grand Prairie- Exec Summary (1)'!$O$9+'Grand Prairie- Exec Summary (1)'!$O$10))</f>
        <v>53678344.883347116</v>
      </c>
      <c r="W29" s="191">
        <f ca="1">MIN(IF(W4&lt;=($D$2+$J$2),V29+W28,0),('Grand Prairie- Exec Summary (1)'!$O$9+'Grand Prairie- Exec Summary (1)'!$O$10))</f>
        <v>57387069.191452846</v>
      </c>
      <c r="X29" s="191">
        <f ca="1">MIN(IF(X4&lt;=($D$2+$J$2),W29+X28,0),('Grand Prairie- Exec Summary (1)'!$O$9+'Grand Prairie- Exec Summary (1)'!$O$10))</f>
        <v>60157200.914179295</v>
      </c>
      <c r="Y29" s="191">
        <f ca="1">MIN(IF(Y4&lt;=($D$2+$J$2),X29+Y28,0),('Grand Prairie- Exec Summary (1)'!$O$9+'Grand Prairie- Exec Summary (1)'!$O$10))</f>
        <v>62579333.761290595</v>
      </c>
      <c r="Z29" s="191">
        <f ca="1">MIN(IF(Z4&lt;=($D$2+$J$2),Y29+Z28,0),('Grand Prairie- Exec Summary (1)'!$O$9+'Grand Prairie- Exec Summary (1)'!$O$10))</f>
        <v>65265501.468262941</v>
      </c>
      <c r="AA29" s="191">
        <f ca="1">MIN(IF(AA4&lt;=($D$2+$J$2),Z29+AA28,0),('Grand Prairie- Exec Summary (1)'!$O$9+'Grand Prairie- Exec Summary (1)'!$O$10))</f>
        <v>67037300.942784205</v>
      </c>
      <c r="AB29" s="191">
        <f ca="1">MIN(IF(AB4&lt;=($D$2+$J$2),AA29+AB28,0),('Grand Prairie- Exec Summary (1)'!$O$9+'Grand Prairie- Exec Summary (1)'!$O$10))</f>
        <v>68523206.605401874</v>
      </c>
      <c r="AC29" s="191">
        <f ca="1">MIN(IF(AC4&lt;=($D$2+$J$2),AB29+AC28,0),('Grand Prairie- Exec Summary (1)'!$O$9+'Grand Prairie- Exec Summary (1)'!$O$10))</f>
        <v>69757480.867972776</v>
      </c>
      <c r="AD29" s="191">
        <f ca="1">MIN(IF(AD4&lt;=($D$2+$J$2),AC29+AD28,0),('Grand Prairie- Exec Summary (1)'!$O$9+'Grand Prairie- Exec Summary (1)'!$O$10))</f>
        <v>70002833.937902182</v>
      </c>
      <c r="AE29" s="191">
        <f ca="1">MIN(IF(AE4&lt;=($D$2+$J$2),AD29+AE28,0),('Grand Prairie- Exec Summary (1)'!$O$9+'Grand Prairie- Exec Summary (1)'!$O$10))</f>
        <v>70249049.970888391</v>
      </c>
    </row>
    <row r="30" spans="1:31">
      <c r="A30" s="177">
        <f ca="1">MAX(E30:AE30)</f>
        <v>16529188.228444327</v>
      </c>
      <c r="B30" s="475" t="s">
        <v>370</v>
      </c>
      <c r="C30" s="475"/>
      <c r="D30" s="475"/>
      <c r="E30" s="475">
        <f ca="1">MIN(E29,'Grand Prairie- Loan Amort (4)'!$Y$6-'Grand Prairie- Loan Amort (4)'!$AE$11)</f>
        <v>0</v>
      </c>
      <c r="F30" s="475">
        <f ca="1">MIN(F29*'Grand Prairie- Loan Amort (4)'!$Q$8,'Grand Prairie- Loan Amort (4)'!$Y$6-'Grand Prairie- Loan Amort (4)'!$AE$11)</f>
        <v>0</v>
      </c>
      <c r="G30" s="475">
        <f ca="1">MIN(G29*'Grand Prairie- Loan Amort (4)'!$Q$8,'Grand Prairie- Loan Amort (4)'!$Y$6-'Grand Prairie- Loan Amort (4)'!$AE$11)</f>
        <v>144899.84964541427</v>
      </c>
      <c r="H30" s="475">
        <f ca="1">MIN(H29*'Grand Prairie- Loan Amort (4)'!$Q$8,'Grand Prairie- Loan Amort (4)'!$Y$6-'Grand Prairie- Loan Amort (4)'!$AE$11)</f>
        <v>584223.61919024109</v>
      </c>
      <c r="I30" s="475">
        <f ca="1">MIN(I29*'Grand Prairie- Loan Amort (4)'!$Q$8,'Grand Prairie- Loan Amort (4)'!$Y$6-'Grand Prairie- Loan Amort (4)'!$AE$11)</f>
        <v>1106406.9771755636</v>
      </c>
      <c r="J30" s="475">
        <f ca="1">MIN(J29*'Grand Prairie- Loan Amort (4)'!$Q$8,'Grand Prairie- Loan Amort (4)'!$Y$6-'Grand Prairie- Loan Amort (4)'!$AE$11)</f>
        <v>1714601.5773204768</v>
      </c>
      <c r="K30" s="475">
        <f ca="1">MIN(K29*'Grand Prairie- Loan Amort (4)'!$Q$8,'Grand Prairie- Loan Amort (4)'!$Y$6-'Grand Prairie- Loan Amort (4)'!$AE$11)</f>
        <v>2500917.2250706078</v>
      </c>
      <c r="L30" s="475">
        <f ca="1">MIN(L29*'Grand Prairie- Loan Amort (4)'!$Q$8,'Grand Prairie- Loan Amort (4)'!$Y$6-'Grand Prairie- Loan Amort (4)'!$AE$11)</f>
        <v>3277933.3437102009</v>
      </c>
      <c r="M30" s="475">
        <f ca="1">MIN(M29*'Grand Prairie- Loan Amort (4)'!$Q$8,'Grand Prairie- Loan Amort (4)'!$Y$6-'Grand Prairie- Loan Amort (4)'!$AE$11)</f>
        <v>4130028.9575306554</v>
      </c>
      <c r="N30" s="475">
        <f ca="1">MIN(N29*'Grand Prairie- Loan Amort (4)'!$Q$8,'Grand Prairie- Loan Amort (4)'!$Y$6-'Grand Prairie- Loan Amort (4)'!$AE$11)</f>
        <v>5046069.5258937767</v>
      </c>
      <c r="O30" s="475">
        <f ca="1">MIN(O29*'Grand Prairie- Loan Amort (4)'!$Q$8,'Grand Prairie- Loan Amort (4)'!$Y$6-'Grand Prairie- Loan Amort (4)'!$AE$11)</f>
        <v>6011553.646175513</v>
      </c>
      <c r="P30" s="475">
        <f ca="1">MIN(P29*'Grand Prairie- Loan Amort (4)'!$Q$8,'Grand Prairie- Loan Amort (4)'!$Y$6-'Grand Prairie- Loan Amort (4)'!$AE$11)</f>
        <v>7009296.4519235725</v>
      </c>
      <c r="Q30" s="475">
        <f ca="1">MIN(Q29*'Grand Prairie- Loan Amort (4)'!$Q$8,'Grand Prairie- Loan Amort (4)'!$Y$6-'Grand Prairie- Loan Amort (4)'!$AE$11)</f>
        <v>8020363.5291394815</v>
      </c>
      <c r="R30" s="475">
        <f ca="1">MIN(R29*'Grand Prairie- Loan Amort (4)'!$Q$8,'Grand Prairie- Loan Amort (4)'!$Y$6-'Grand Prairie- Loan Amort (4)'!$AE$11)</f>
        <v>9025171.7802785896</v>
      </c>
      <c r="S30" s="475">
        <f ca="1">MIN(S29*'Grand Prairie- Loan Amort (4)'!$Q$8,'Grand Prairie- Loan Amort (4)'!$Y$6-'Grand Prairie- Loan Amort (4)'!$AE$11)</f>
        <v>10004651.316414349</v>
      </c>
      <c r="T30" s="475">
        <f ca="1">MIN(T29*'Grand Prairie- Loan Amort (4)'!$Q$8,'Grand Prairie- Loan Amort (4)'!$Y$6-'Grand Prairie- Loan Amort (4)'!$AE$11)</f>
        <v>10941354.279871067</v>
      </c>
      <c r="U30" s="475">
        <f ca="1">MIN(U29*'Grand Prairie- Loan Amort (4)'!$Q$8,'Grand Prairie- Loan Amort (4)'!$Y$6-'Grand Prairie- Loan Amort (4)'!$AE$11)</f>
        <v>11820403.903920289</v>
      </c>
      <c r="V30" s="475">
        <f ca="1">MIN(V29*'Grand Prairie- Loan Amort (4)'!$Q$8,'Grand Prairie- Loan Amort (4)'!$Y$6-'Grand Prairie- Loan Amort (4)'!$AE$11)</f>
        <v>12630198.796081673</v>
      </c>
      <c r="W30" s="475">
        <f ca="1">MIN(W29*'Grand Prairie- Loan Amort (4)'!$Q$8,'Grand Prairie- Loan Amort (4)'!$Y$6-'Grand Prairie- Loan Amort (4)'!$AE$11)</f>
        <v>13502839.80975361</v>
      </c>
      <c r="X30" s="475">
        <f ca="1">MIN(X29*'Grand Prairie- Loan Amort (4)'!$Q$8,'Grand Prairie- Loan Amort (4)'!$Y$6-'Grand Prairie- Loan Amort (4)'!$AE$11)</f>
        <v>14154635.509218657</v>
      </c>
      <c r="Y30" s="475">
        <f ca="1">MIN(Y29*'Grand Prairie- Loan Amort (4)'!$Q$8,'Grand Prairie- Loan Amort (4)'!$Y$6-'Grand Prairie- Loan Amort (4)'!$AE$11)</f>
        <v>14724549.12030367</v>
      </c>
      <c r="Z30" s="475">
        <f ca="1">MIN(Z29*'Grand Prairie- Loan Amort (4)'!$Q$8,'Grand Prairie- Loan Amort (4)'!$Y$6-'Grand Prairie- Loan Amort (4)'!$AE$11)</f>
        <v>15356588.580767751</v>
      </c>
      <c r="AA30" s="475">
        <f ca="1">MIN(AA29*'Grand Prairie- Loan Amort (4)'!$Q$8,'Grand Prairie- Loan Amort (4)'!$Y$6-'Grand Prairie- Loan Amort (4)'!$AE$11)</f>
        <v>15773482.574772755</v>
      </c>
      <c r="AB30" s="475">
        <f ca="1">MIN(AB29*'Grand Prairie- Loan Amort (4)'!$Q$8,'Grand Prairie- Loan Amort (4)'!$Y$6-'Grand Prairie- Loan Amort (4)'!$AE$11)</f>
        <v>16123107.436565146</v>
      </c>
      <c r="AC30" s="475">
        <f ca="1">MIN(AC29*'Grand Prairie- Loan Amort (4)'!$Q$8,'Grand Prairie- Loan Amort (4)'!$Y$6-'Grand Prairie- Loan Amort (4)'!$AE$11)</f>
        <v>16413524.910111241</v>
      </c>
      <c r="AD30" s="475">
        <f ca="1">MIN(AD29*'Grand Prairie- Loan Amort (4)'!$Q$8,'Grand Prairie- Loan Amort (4)'!$Y$6-'Grand Prairie- Loan Amort (4)'!$AE$11)</f>
        <v>16471255.044212278</v>
      </c>
      <c r="AE30" s="475">
        <f ca="1">MIN(AE29*'Grand Prairie- Loan Amort (4)'!$Q$8,'Grand Prairie- Loan Amort (4)'!$Y$6-'Grand Prairie- Loan Amort (4)'!$AE$11)</f>
        <v>16529188.228444327</v>
      </c>
    </row>
    <row r="31" spans="1:31">
      <c r="A31" s="177">
        <f ca="1">MAX(E31:AE31)</f>
        <v>53719861.742444068</v>
      </c>
      <c r="B31" s="475" t="s">
        <v>371</v>
      </c>
      <c r="C31" s="475"/>
      <c r="D31" s="475"/>
      <c r="E31" s="475">
        <f ca="1">E29-E30</f>
        <v>0</v>
      </c>
      <c r="F31" s="475">
        <f t="shared" ref="F31:AE31" ca="1" si="16">F29-F30</f>
        <v>0</v>
      </c>
      <c r="G31" s="475">
        <f t="shared" ca="1" si="16"/>
        <v>470924.51134759642</v>
      </c>
      <c r="H31" s="475">
        <f t="shared" ca="1" si="16"/>
        <v>1898726.7623682832</v>
      </c>
      <c r="I31" s="475">
        <f t="shared" ca="1" si="16"/>
        <v>3595822.6758205816</v>
      </c>
      <c r="J31" s="475">
        <f t="shared" ca="1" si="16"/>
        <v>5572455.1262915498</v>
      </c>
      <c r="K31" s="475">
        <f t="shared" ca="1" si="16"/>
        <v>8127980.9814794762</v>
      </c>
      <c r="L31" s="475">
        <f t="shared" ca="1" si="16"/>
        <v>10653283.367058152</v>
      </c>
      <c r="M31" s="475">
        <f t="shared" ca="1" si="16"/>
        <v>13422594.111974631</v>
      </c>
      <c r="N31" s="475">
        <f t="shared" ca="1" si="16"/>
        <v>16399725.959154774</v>
      </c>
      <c r="O31" s="475">
        <f t="shared" ca="1" si="16"/>
        <v>19537549.350070417</v>
      </c>
      <c r="P31" s="475">
        <f t="shared" ca="1" si="16"/>
        <v>22780213.468751613</v>
      </c>
      <c r="Q31" s="475">
        <f t="shared" ca="1" si="16"/>
        <v>26066181.469703317</v>
      </c>
      <c r="R31" s="475">
        <f t="shared" ca="1" si="16"/>
        <v>29331808.285905417</v>
      </c>
      <c r="S31" s="475">
        <f t="shared" ca="1" si="16"/>
        <v>32515116.778346635</v>
      </c>
      <c r="T31" s="475">
        <f t="shared" ca="1" si="16"/>
        <v>35559401.409580968</v>
      </c>
      <c r="U31" s="475">
        <f t="shared" ca="1" si="16"/>
        <v>38416312.687740937</v>
      </c>
      <c r="V31" s="475">
        <f t="shared" ca="1" si="16"/>
        <v>41048146.087265447</v>
      </c>
      <c r="W31" s="475">
        <f t="shared" ca="1" si="16"/>
        <v>43884229.381699234</v>
      </c>
      <c r="X31" s="475">
        <f t="shared" ca="1" si="16"/>
        <v>46002565.40496064</v>
      </c>
      <c r="Y31" s="475">
        <f t="shared" ca="1" si="16"/>
        <v>47854784.640986927</v>
      </c>
      <c r="Z31" s="475">
        <f t="shared" ca="1" si="16"/>
        <v>49908912.88749519</v>
      </c>
      <c r="AA31" s="475">
        <f t="shared" ca="1" si="16"/>
        <v>51263818.368011452</v>
      </c>
      <c r="AB31" s="475">
        <f t="shared" ca="1" si="16"/>
        <v>52400099.168836728</v>
      </c>
      <c r="AC31" s="475">
        <f t="shared" ca="1" si="16"/>
        <v>53343955.957861535</v>
      </c>
      <c r="AD31" s="475">
        <f t="shared" ca="1" si="16"/>
        <v>53531578.893689901</v>
      </c>
      <c r="AE31" s="475">
        <f t="shared" ca="1" si="16"/>
        <v>53719861.742444068</v>
      </c>
    </row>
    <row r="32" spans="1:31">
      <c r="A32" s="179">
        <f ca="1">AE32</f>
        <v>76548944.682614073</v>
      </c>
      <c r="B32" s="177" t="s">
        <v>124</v>
      </c>
      <c r="C32" s="177"/>
      <c r="D32" s="177"/>
      <c r="E32" s="177">
        <f ca="1">E26+E25+E28</f>
        <v>4130981.8202799824</v>
      </c>
      <c r="F32" s="177">
        <f ca="1">E32+F28+F26+F25</f>
        <v>5376720.3617071481</v>
      </c>
      <c r="G32" s="177">
        <f t="shared" ref="G32:AE32" ca="1" si="17">F32+G28+G26+G25</f>
        <v>6915719.0727187013</v>
      </c>
      <c r="H32" s="177">
        <f t="shared" ca="1" si="17"/>
        <v>8782845.0932842158</v>
      </c>
      <c r="I32" s="177">
        <f t="shared" ca="1" si="17"/>
        <v>11002124.364721837</v>
      </c>
      <c r="J32" s="177">
        <f t="shared" ca="1" si="17"/>
        <v>13586951.415337719</v>
      </c>
      <c r="K32" s="177">
        <f t="shared" ca="1" si="17"/>
        <v>16928792.918275777</v>
      </c>
      <c r="L32" s="177">
        <f t="shared" ca="1" si="17"/>
        <v>20231111.422494046</v>
      </c>
      <c r="M32" s="177">
        <f t="shared" ca="1" si="17"/>
        <v>23852517.781230979</v>
      </c>
      <c r="N32" s="177">
        <f t="shared" ca="1" si="17"/>
        <v>27745690.196774244</v>
      </c>
      <c r="O32" s="177">
        <f t="shared" ca="1" si="17"/>
        <v>31848997.707971625</v>
      </c>
      <c r="P32" s="177">
        <f t="shared" ca="1" si="17"/>
        <v>36089404.632400878</v>
      </c>
      <c r="Q32" s="177">
        <f t="shared" ca="1" si="17"/>
        <v>40386439.710568488</v>
      </c>
      <c r="R32" s="177">
        <f t="shared" ca="1" si="17"/>
        <v>44656874.777909696</v>
      </c>
      <c r="S32" s="177">
        <f t="shared" ca="1" si="17"/>
        <v>48819662.806486674</v>
      </c>
      <c r="T32" s="177">
        <f t="shared" ca="1" si="17"/>
        <v>52800650.401177727</v>
      </c>
      <c r="U32" s="177">
        <f t="shared" ca="1" si="17"/>
        <v>56536611.303386919</v>
      </c>
      <c r="V32" s="177">
        <f t="shared" ca="1" si="17"/>
        <v>59978239.595072806</v>
      </c>
      <c r="W32" s="177">
        <f t="shared" ca="1" si="17"/>
        <v>63686963.903178535</v>
      </c>
      <c r="X32" s="177">
        <f t="shared" ca="1" si="17"/>
        <v>66457095.625904985</v>
      </c>
      <c r="Y32" s="177">
        <f t="shared" ca="1" si="17"/>
        <v>68879228.473016277</v>
      </c>
      <c r="Z32" s="177">
        <f t="shared" ca="1" si="17"/>
        <v>71565396.179988623</v>
      </c>
      <c r="AA32" s="177">
        <f t="shared" ca="1" si="17"/>
        <v>73337195.654509887</v>
      </c>
      <c r="AB32" s="177">
        <f t="shared" ca="1" si="17"/>
        <v>74823101.317127556</v>
      </c>
      <c r="AC32" s="177">
        <f t="shared" ca="1" si="17"/>
        <v>76057375.579698458</v>
      </c>
      <c r="AD32" s="177">
        <f t="shared" ca="1" si="17"/>
        <v>76302728.649627864</v>
      </c>
      <c r="AE32" s="177">
        <f t="shared" ca="1" si="17"/>
        <v>76548944.682614073</v>
      </c>
    </row>
    <row r="33" spans="1:31">
      <c r="A33" s="179">
        <f ca="1">SUM(E33:AE33)</f>
        <v>0</v>
      </c>
      <c r="B33" s="177" t="s">
        <v>125</v>
      </c>
      <c r="C33" s="177"/>
      <c r="D33" s="177"/>
      <c r="E33" s="177">
        <f ca="1">IF(E29=('Grand Prairie- Exec Summary (1)'!$O$9+'Grand Prairie- Exec Summary (1)'!$O$10),'Grand Prairie Const Sched (3)'!E28-('Grand Prairie Const Sched (3)'!E29-'Grand Prairie Const Sched (3)'!D29),0)</f>
        <v>0</v>
      </c>
      <c r="F33" s="177">
        <f ca="1">IF(F29=('Grand Prairie- Exec Summary (1)'!$O$9+'Grand Prairie- Exec Summary (1)'!$O$10),'Grand Prairie Const Sched (3)'!F28-('Grand Prairie Const Sched (3)'!F29-'Grand Prairie Const Sched (3)'!E29),0)</f>
        <v>0</v>
      </c>
      <c r="G33" s="177">
        <f ca="1">IF(G29=('Grand Prairie- Exec Summary (1)'!$O$9+'Grand Prairie- Exec Summary (1)'!$O$10),'Grand Prairie Const Sched (3)'!G28-('Grand Prairie Const Sched (3)'!G29-'Grand Prairie Const Sched (3)'!F29),0)</f>
        <v>0</v>
      </c>
      <c r="H33" s="177">
        <f ca="1">IF(H29=('Grand Prairie- Exec Summary (1)'!$O$9+'Grand Prairie- Exec Summary (1)'!$O$10),'Grand Prairie Const Sched (3)'!H28-('Grand Prairie Const Sched (3)'!H29-'Grand Prairie Const Sched (3)'!G29),0)</f>
        <v>0</v>
      </c>
      <c r="I33" s="177">
        <f ca="1">IF(I29=('Grand Prairie- Exec Summary (1)'!$O$9+'Grand Prairie- Exec Summary (1)'!$O$10),'Grand Prairie Const Sched (3)'!I28-('Grand Prairie Const Sched (3)'!I29-'Grand Prairie Const Sched (3)'!H29),0)</f>
        <v>0</v>
      </c>
      <c r="J33" s="177">
        <f ca="1">IF(J29=('Grand Prairie- Exec Summary (1)'!$O$9+'Grand Prairie- Exec Summary (1)'!$O$10),'Grand Prairie Const Sched (3)'!J28-('Grand Prairie Const Sched (3)'!J29-'Grand Prairie Const Sched (3)'!I29),0)</f>
        <v>0</v>
      </c>
      <c r="K33" s="177">
        <f ca="1">IF(K29=('Grand Prairie- Exec Summary (1)'!$O$9+'Grand Prairie- Exec Summary (1)'!$O$10),'Grand Prairie Const Sched (3)'!K28-('Grand Prairie Const Sched (3)'!K29-'Grand Prairie Const Sched (3)'!J29),0)</f>
        <v>0</v>
      </c>
      <c r="L33" s="177">
        <f ca="1">IF(L29=('Grand Prairie- Exec Summary (1)'!$O$9+'Grand Prairie- Exec Summary (1)'!$O$10),'Grand Prairie Const Sched (3)'!L28-('Grand Prairie Const Sched (3)'!L29-'Grand Prairie Const Sched (3)'!K29),0)</f>
        <v>0</v>
      </c>
      <c r="M33" s="177">
        <f ca="1">IF(M29=('Grand Prairie- Exec Summary (1)'!$O$9+'Grand Prairie- Exec Summary (1)'!$O$10),'Grand Prairie Const Sched (3)'!M28-('Grand Prairie Const Sched (3)'!M29-'Grand Prairie Const Sched (3)'!L29),0)</f>
        <v>0</v>
      </c>
      <c r="N33" s="177">
        <f ca="1">IF(N29=('Grand Prairie- Exec Summary (1)'!$O$9+'Grand Prairie- Exec Summary (1)'!$O$10),'Grand Prairie Const Sched (3)'!N28-('Grand Prairie Const Sched (3)'!N29-'Grand Prairie Const Sched (3)'!M29),0)</f>
        <v>0</v>
      </c>
      <c r="O33" s="177">
        <f ca="1">IF(O29=('Grand Prairie- Exec Summary (1)'!$O$9+'Grand Prairie- Exec Summary (1)'!$O$10),'Grand Prairie Const Sched (3)'!O28-('Grand Prairie Const Sched (3)'!O29-'Grand Prairie Const Sched (3)'!N29),0)</f>
        <v>0</v>
      </c>
      <c r="P33" s="177">
        <f ca="1">IF(P29=('Grand Prairie- Exec Summary (1)'!$O$9+'Grand Prairie- Exec Summary (1)'!$O$10),'Grand Prairie Const Sched (3)'!P28-('Grand Prairie Const Sched (3)'!P29-'Grand Prairie Const Sched (3)'!O29),0)</f>
        <v>0</v>
      </c>
      <c r="Q33" s="177">
        <f ca="1">IF(Q29=('Grand Prairie- Exec Summary (1)'!$O$9+'Grand Prairie- Exec Summary (1)'!$O$10),'Grand Prairie Const Sched (3)'!Q28-('Grand Prairie Const Sched (3)'!Q29-'Grand Prairie Const Sched (3)'!P29),0)</f>
        <v>0</v>
      </c>
      <c r="R33" s="177">
        <f ca="1">IF(R29=('Grand Prairie- Exec Summary (1)'!$O$9+'Grand Prairie- Exec Summary (1)'!$O$10),'Grand Prairie Const Sched (3)'!R28-('Grand Prairie Const Sched (3)'!R29-'Grand Prairie Const Sched (3)'!Q29),0)</f>
        <v>0</v>
      </c>
      <c r="S33" s="177">
        <f ca="1">IF(S29=('Grand Prairie- Exec Summary (1)'!$O$9+'Grand Prairie- Exec Summary (1)'!$O$10),'Grand Prairie Const Sched (3)'!S28-('Grand Prairie Const Sched (3)'!S29-'Grand Prairie Const Sched (3)'!R29),0)</f>
        <v>0</v>
      </c>
      <c r="T33" s="177">
        <f ca="1">IF(T29=('Grand Prairie- Exec Summary (1)'!$O$9+'Grand Prairie- Exec Summary (1)'!$O$10),'Grand Prairie Const Sched (3)'!T28-('Grand Prairie Const Sched (3)'!T29-'Grand Prairie Const Sched (3)'!S29),0)</f>
        <v>0</v>
      </c>
      <c r="U33" s="177">
        <f ca="1">IF(U29=('Grand Prairie- Exec Summary (1)'!$O$9+'Grand Prairie- Exec Summary (1)'!$O$10),'Grand Prairie Const Sched (3)'!U28-('Grand Prairie Const Sched (3)'!U29-'Grand Prairie Const Sched (3)'!T29),0)</f>
        <v>0</v>
      </c>
      <c r="V33" s="177">
        <f ca="1">IF(V29=('Grand Prairie- Exec Summary (1)'!$O$9+'Grand Prairie- Exec Summary (1)'!$O$10),'Grand Prairie Const Sched (3)'!V28-('Grand Prairie Const Sched (3)'!V29-'Grand Prairie Const Sched (3)'!U29),0)</f>
        <v>0</v>
      </c>
      <c r="W33" s="177">
        <f ca="1">IF(W29=('Grand Prairie- Exec Summary (1)'!$O$9+'Grand Prairie- Exec Summary (1)'!$O$10),'Grand Prairie Const Sched (3)'!W28-('Grand Prairie Const Sched (3)'!W29-'Grand Prairie Const Sched (3)'!V29),0)</f>
        <v>0</v>
      </c>
      <c r="X33" s="177">
        <f ca="1">IF(X29=('Grand Prairie- Exec Summary (1)'!$O$9+'Grand Prairie- Exec Summary (1)'!$O$10),'Grand Prairie Const Sched (3)'!X28-('Grand Prairie Const Sched (3)'!X29-'Grand Prairie Const Sched (3)'!W29),0)</f>
        <v>0</v>
      </c>
      <c r="Y33" s="177">
        <f ca="1">IF(Y29=('Grand Prairie- Exec Summary (1)'!$O$9+'Grand Prairie- Exec Summary (1)'!$O$10),'Grand Prairie Const Sched (3)'!Y28-('Grand Prairie Const Sched (3)'!Y29-'Grand Prairie Const Sched (3)'!X29),0)</f>
        <v>0</v>
      </c>
      <c r="Z33" s="177">
        <f ca="1">IF(Z29=('Grand Prairie- Exec Summary (1)'!$O$9+'Grand Prairie- Exec Summary (1)'!$O$10),'Grand Prairie Const Sched (3)'!Z28-('Grand Prairie Const Sched (3)'!Z29-'Grand Prairie Const Sched (3)'!Y29),0)</f>
        <v>0</v>
      </c>
      <c r="AA33" s="177">
        <f ca="1">IF(AA29=('Grand Prairie- Exec Summary (1)'!$O$9+'Grand Prairie- Exec Summary (1)'!$O$10),'Grand Prairie Const Sched (3)'!AA28-('Grand Prairie Const Sched (3)'!AA29-'Grand Prairie Const Sched (3)'!Z29),0)</f>
        <v>0</v>
      </c>
      <c r="AB33" s="177">
        <f ca="1">IF(AB29=('Grand Prairie- Exec Summary (1)'!$O$9+'Grand Prairie- Exec Summary (1)'!$O$10),'Grand Prairie Const Sched (3)'!AB28-('Grand Prairie Const Sched (3)'!AB29-'Grand Prairie Const Sched (3)'!AA29),0)</f>
        <v>0</v>
      </c>
      <c r="AC33" s="177">
        <f ca="1">IF(AC29=('Grand Prairie- Exec Summary (1)'!$O$9+'Grand Prairie- Exec Summary (1)'!$O$10),'Grand Prairie Const Sched (3)'!AC28-('Grand Prairie Const Sched (3)'!AC29-'Grand Prairie Const Sched (3)'!AB29),0)</f>
        <v>0</v>
      </c>
      <c r="AD33" s="177">
        <f ca="1">IF(AD29=('Grand Prairie- Exec Summary (1)'!$O$9+'Grand Prairie- Exec Summary (1)'!$O$10),'Grand Prairie Const Sched (3)'!AD28-('Grand Prairie Const Sched (3)'!AD29-'Grand Prairie Const Sched (3)'!AC29),0)</f>
        <v>0</v>
      </c>
      <c r="AE33" s="177">
        <f ca="1">IF(AE29=('Grand Prairie- Exec Summary (1)'!$O$9+'Grand Prairie- Exec Summary (1)'!$O$10),'Grand Prairie Const Sched (3)'!AE28-('Grand Prairie Const Sched (3)'!AE29-'Grand Prairie Const Sched (3)'!AD29),0)</f>
        <v>0</v>
      </c>
    </row>
    <row r="34" spans="1:31">
      <c r="B34" s="177" t="s">
        <v>126</v>
      </c>
      <c r="C34" s="177"/>
      <c r="D34" s="177">
        <f ca="1">A33-D6</f>
        <v>-2000000</v>
      </c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</row>
    <row r="35" spans="1:31">
      <c r="A35" s="177" t="b">
        <f ca="1">IF(D35=A32,TRUE,FALSE)</f>
        <v>1</v>
      </c>
      <c r="B35" s="179" t="s">
        <v>127</v>
      </c>
      <c r="C35" s="177"/>
      <c r="D35" s="177">
        <f ca="1">A33+A29+A26+A25</f>
        <v>76548944.682614088</v>
      </c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</row>
    <row r="36" spans="1:31">
      <c r="A36" s="177"/>
      <c r="C36" s="177"/>
      <c r="D36" s="177"/>
      <c r="E36" s="177" t="s">
        <v>128</v>
      </c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  <c r="R36" s="177"/>
      <c r="S36" s="177"/>
      <c r="T36" s="177"/>
      <c r="U36" s="177"/>
      <c r="V36" s="177"/>
      <c r="W36" s="177"/>
      <c r="X36" s="177"/>
      <c r="Y36" s="177"/>
    </row>
    <row r="37" spans="1:31">
      <c r="A37" s="177"/>
      <c r="B37" s="177" t="s">
        <v>129</v>
      </c>
      <c r="C37" s="196">
        <f>_xlfn.IFS(D2=E37,D37,D2=E38,D38,D2=E39,D39,D2=E40,D40)</f>
        <v>0.94400117273688211</v>
      </c>
      <c r="D37" s="34">
        <f>_xlfn.IFS('[36]Pro Forma (4)'!D13=1,SUM(F37:O37),'[36]Pro Forma (4)'!D13=2,SUM(F37:P37),'[36]Pro Forma (4)'!D13=3,SUM(F37:Q37),'[36]Pro Forma (4)'!D13=4,SUM(F37:R37),'[36]Pro Forma (4)'!D13=5,SUM(F37:S37),'[36]Pro Forma (4)'!D13=6,SUM(F37:T37))</f>
        <v>0.75930653946292059</v>
      </c>
      <c r="E37" s="177">
        <f>D54</f>
        <v>18</v>
      </c>
      <c r="F37" s="34">
        <f>F60</f>
        <v>2.6800510456172988E-2</v>
      </c>
      <c r="G37" s="34">
        <f>G60</f>
        <v>3.4868325173338419E-2</v>
      </c>
      <c r="H37" s="34">
        <f t="shared" ref="H37:W37" si="18">H60</f>
        <v>4.3800665195676818E-2</v>
      </c>
      <c r="I37" s="34">
        <f t="shared" si="18"/>
        <v>5.3124141149876354E-2</v>
      </c>
      <c r="J37" s="34">
        <f t="shared" si="18"/>
        <v>6.2210649403533484E-2</v>
      </c>
      <c r="K37" s="34">
        <f t="shared" si="18"/>
        <v>7.0339478632248417E-2</v>
      </c>
      <c r="L37" s="34">
        <f t="shared" si="18"/>
        <v>7.6788317535130754E-2</v>
      </c>
      <c r="M37" s="34">
        <f t="shared" si="18"/>
        <v>8.0938053631263121E-2</v>
      </c>
      <c r="N37" s="34">
        <f t="shared" si="18"/>
        <v>8.2370548487038009E-2</v>
      </c>
      <c r="O37" s="34">
        <f t="shared" si="18"/>
        <v>8.0938053631263121E-2</v>
      </c>
      <c r="P37" s="34">
        <f t="shared" si="18"/>
        <v>7.6788317535130768E-2</v>
      </c>
      <c r="Q37" s="34">
        <f t="shared" si="18"/>
        <v>7.0339478632248445E-2</v>
      </c>
      <c r="R37" s="34">
        <f t="shared" si="18"/>
        <v>6.2210649403533491E-2</v>
      </c>
      <c r="S37" s="34">
        <f t="shared" si="18"/>
        <v>5.3124141149876361E-2</v>
      </c>
      <c r="T37" s="34">
        <f t="shared" si="18"/>
        <v>4.3800665195676831E-2</v>
      </c>
      <c r="U37" s="34">
        <f t="shared" si="18"/>
        <v>3.4868325173338419E-2</v>
      </c>
      <c r="V37" s="34">
        <f t="shared" si="18"/>
        <v>2.6800510456172988E-2</v>
      </c>
      <c r="W37" s="34">
        <f t="shared" si="18"/>
        <v>1.9889169158481223E-2</v>
      </c>
      <c r="X37" s="34"/>
      <c r="Y37" s="34"/>
      <c r="Z37" s="197"/>
      <c r="AA37" s="197"/>
      <c r="AB37" s="197"/>
      <c r="AC37" s="197"/>
    </row>
    <row r="38" spans="1:31">
      <c r="A38" s="177"/>
      <c r="B38" s="177"/>
      <c r="C38" s="181"/>
      <c r="D38" s="34">
        <f>_xlfn.IFS('[36]Pro Forma (4)'!D13=1,SUM(F38:R38),'[36]Pro Forma (4)'!D13=2,SUM(F38:S38),'[36]Pro Forma (4)'!D13=3,SUM(F38:T38),'[36]Pro Forma (4)'!D13=4,SUM(F38:U38),'[36]Pro Forma (4)'!D13=5,SUM(F38:V38),'[36]Pro Forma (4)'!D13=6,SUM(F38:W38))</f>
        <v>0.84784674092426338</v>
      </c>
      <c r="E38" s="177">
        <f>D55</f>
        <v>20</v>
      </c>
      <c r="F38" s="34">
        <f>F62</f>
        <v>2.3341265754813847E-2</v>
      </c>
      <c r="G38" s="34">
        <f>G62</f>
        <v>2.9757464241191585E-2</v>
      </c>
      <c r="H38" s="34">
        <f t="shared" ref="H38:Y38" si="19">H62</f>
        <v>3.6868801797010776E-2</v>
      </c>
      <c r="I38" s="34">
        <f t="shared" si="19"/>
        <v>4.439292009418655E-2</v>
      </c>
      <c r="J38" s="34">
        <f t="shared" si="19"/>
        <v>5.194694226015785E-2</v>
      </c>
      <c r="K38" s="34">
        <f t="shared" si="19"/>
        <v>5.9074200249639594E-2</v>
      </c>
      <c r="L38" s="34">
        <f t="shared" si="19"/>
        <v>6.5287088124478851E-2</v>
      </c>
      <c r="M38" s="34">
        <f t="shared" si="19"/>
        <v>7.0121037536516148E-2</v>
      </c>
      <c r="N38" s="34">
        <f t="shared" si="19"/>
        <v>7.3191551627776505E-2</v>
      </c>
      <c r="O38" s="34">
        <f t="shared" si="19"/>
        <v>7.424464943992283E-2</v>
      </c>
      <c r="P38" s="34">
        <f t="shared" si="19"/>
        <v>7.3191551627776505E-2</v>
      </c>
      <c r="Q38" s="34">
        <f t="shared" si="19"/>
        <v>7.0121037536516148E-2</v>
      </c>
      <c r="R38" s="34">
        <f t="shared" si="19"/>
        <v>6.5287088124478851E-2</v>
      </c>
      <c r="S38" s="34">
        <f t="shared" si="19"/>
        <v>5.9074200249639594E-2</v>
      </c>
      <c r="T38" s="34">
        <f t="shared" si="19"/>
        <v>5.194694226015785E-2</v>
      </c>
      <c r="U38" s="34">
        <f t="shared" si="19"/>
        <v>4.439292009418655E-2</v>
      </c>
      <c r="V38" s="34">
        <f t="shared" si="19"/>
        <v>3.6868801797010776E-2</v>
      </c>
      <c r="W38" s="34">
        <f t="shared" si="19"/>
        <v>2.9757464241191585E-2</v>
      </c>
      <c r="X38" s="34">
        <f t="shared" si="19"/>
        <v>2.3341265754813847E-2</v>
      </c>
      <c r="Y38" s="34">
        <f t="shared" si="19"/>
        <v>1.7792807188533814E-2</v>
      </c>
      <c r="Z38" s="197"/>
      <c r="AA38" s="197"/>
      <c r="AB38" s="197"/>
      <c r="AC38" s="197"/>
    </row>
    <row r="39" spans="1:31">
      <c r="A39" s="177"/>
      <c r="B39" s="177"/>
      <c r="C39" s="181"/>
      <c r="D39" s="34">
        <f>_xlfn.IFS('[36]Pro Forma (4)'!D13=1,SUM(F39:X39),'[36]Pro Forma (4)'!D13=2,SUM(F39:Y39),'[36]Pro Forma (4)'!D13=3,SUM(F39:Z39),'[36]Pro Forma (4)'!D13=4,SUM(F39:AA39),'[36]Pro Forma (4)'!D13=5,SUM(F39:AB39),'[36]Pro Forma (4)'!D13=6,SUM(F39:AC39))</f>
        <v>0.9839047319658929</v>
      </c>
      <c r="E39" s="177">
        <f>D56</f>
        <v>22</v>
      </c>
      <c r="F39" s="34">
        <f>F64</f>
        <v>2.0646321657466209E-2</v>
      </c>
      <c r="G39" s="34">
        <f>G64</f>
        <v>2.586352353357137E-2</v>
      </c>
      <c r="H39" s="34">
        <f t="shared" ref="H39:AA39" si="20">H64</f>
        <v>3.1639762796723897E-2</v>
      </c>
      <c r="I39" s="34">
        <f t="shared" si="20"/>
        <v>3.7798909710673685E-2</v>
      </c>
      <c r="J39" s="34">
        <f t="shared" si="20"/>
        <v>4.409870673143737E-2</v>
      </c>
      <c r="K39" s="34">
        <f t="shared" si="20"/>
        <v>5.024269879717122E-2</v>
      </c>
      <c r="L39" s="34">
        <f t="shared" si="20"/>
        <v>5.5901130658340903E-2</v>
      </c>
      <c r="M39" s="34">
        <f t="shared" si="20"/>
        <v>6.0739155680644766E-2</v>
      </c>
      <c r="N39" s="34">
        <f t="shared" si="20"/>
        <v>6.44491858170613E-2</v>
      </c>
      <c r="O39" s="34">
        <f t="shared" si="20"/>
        <v>6.6783110987734359E-2</v>
      </c>
      <c r="P39" s="34">
        <f t="shared" si="20"/>
        <v>6.7579719224242787E-2</v>
      </c>
      <c r="Q39" s="34">
        <f t="shared" si="20"/>
        <v>6.6783110987734345E-2</v>
      </c>
      <c r="R39" s="34">
        <f t="shared" si="20"/>
        <v>6.44491858170613E-2</v>
      </c>
      <c r="S39" s="34">
        <f t="shared" si="20"/>
        <v>6.0739155680644766E-2</v>
      </c>
      <c r="T39" s="34">
        <f t="shared" si="20"/>
        <v>5.5901130658340896E-2</v>
      </c>
      <c r="U39" s="34">
        <f t="shared" si="20"/>
        <v>5.0242698797171213E-2</v>
      </c>
      <c r="V39" s="34">
        <f t="shared" si="20"/>
        <v>4.4098706731437363E-2</v>
      </c>
      <c r="W39" s="34">
        <f t="shared" si="20"/>
        <v>3.7798909710673671E-2</v>
      </c>
      <c r="X39" s="34">
        <f t="shared" si="20"/>
        <v>3.1639762796723883E-2</v>
      </c>
      <c r="Y39" s="34">
        <f t="shared" si="20"/>
        <v>2.5863523533571353E-2</v>
      </c>
      <c r="Z39" s="34">
        <f t="shared" si="20"/>
        <v>2.0646321657466198E-2</v>
      </c>
      <c r="AA39" s="34">
        <f t="shared" si="20"/>
        <v>1.6095268034107275E-2</v>
      </c>
      <c r="AB39" s="34"/>
      <c r="AC39" s="34"/>
    </row>
    <row r="40" spans="1:31">
      <c r="A40" s="177"/>
      <c r="B40" s="177"/>
      <c r="D40" s="34">
        <f>_xlfn.IFS('[36]Pro Forma (4)'!D13=1,SUM(F40:X40),'[36]Pro Forma (4)'!D13=2,SUM(F40:Y40),'[36]Pro Forma (4)'!D13=3,SUM(F40:Z40),'[36]Pro Forma (4)'!D13=4,SUM(F40:AA40),'[36]Pro Forma (4)'!D13=5,SUM(F40:AB40),'[36]Pro Forma (4)'!D13=6,SUM(F40:AC40))</f>
        <v>0.94400117273688211</v>
      </c>
      <c r="E40" s="177">
        <f>D57</f>
        <v>24</v>
      </c>
      <c r="F40" s="34">
        <f>F66</f>
        <v>1.8492375535475357E-2</v>
      </c>
      <c r="G40" s="34">
        <f>G66</f>
        <v>2.2813637974596783E-2</v>
      </c>
      <c r="H40" s="34">
        <f t="shared" ref="H40:AC40" si="21">H66</f>
        <v>2.7587382541879344E-2</v>
      </c>
      <c r="I40" s="34">
        <f t="shared" si="21"/>
        <v>3.2699458362120341E-2</v>
      </c>
      <c r="J40" s="34">
        <f t="shared" si="21"/>
        <v>3.7991350443779104E-2</v>
      </c>
      <c r="K40" s="34">
        <f t="shared" si="21"/>
        <v>4.3265628206208107E-2</v>
      </c>
      <c r="L40" s="34">
        <f t="shared" si="21"/>
        <v>4.8296471971216899E-2</v>
      </c>
      <c r="M40" s="34">
        <f t="shared" si="21"/>
        <v>5.2844757624595021E-2</v>
      </c>
      <c r="N40" s="34">
        <f t="shared" si="21"/>
        <v>5.6676434888774281E-2</v>
      </c>
      <c r="O40" s="34">
        <f t="shared" si="21"/>
        <v>5.9582297844206086E-2</v>
      </c>
      <c r="P40" s="34">
        <f t="shared" si="21"/>
        <v>6.1396848956931011E-2</v>
      </c>
      <c r="Q40" s="34">
        <f t="shared" si="21"/>
        <v>6.2013897547389597E-2</v>
      </c>
      <c r="R40" s="34">
        <f t="shared" si="21"/>
        <v>6.1396848956931011E-2</v>
      </c>
      <c r="S40" s="34">
        <f t="shared" si="21"/>
        <v>5.9582297844206086E-2</v>
      </c>
      <c r="T40" s="34">
        <f t="shared" si="21"/>
        <v>5.6676434888774281E-2</v>
      </c>
      <c r="U40" s="34">
        <f t="shared" si="21"/>
        <v>5.2844757624595014E-2</v>
      </c>
      <c r="V40" s="34">
        <f t="shared" si="21"/>
        <v>4.8296471971216892E-2</v>
      </c>
      <c r="W40" s="34">
        <f t="shared" si="21"/>
        <v>4.3265628206208107E-2</v>
      </c>
      <c r="X40" s="34">
        <f t="shared" si="21"/>
        <v>3.7991350443779097E-2</v>
      </c>
      <c r="Y40" s="34">
        <f t="shared" si="21"/>
        <v>3.2699458362120327E-2</v>
      </c>
      <c r="Z40" s="34">
        <f t="shared" si="21"/>
        <v>2.7587382541879344E-2</v>
      </c>
      <c r="AA40" s="34">
        <f t="shared" si="21"/>
        <v>2.2813637974596766E-2</v>
      </c>
      <c r="AB40" s="34">
        <f t="shared" si="21"/>
        <v>1.8492375535475346E-2</v>
      </c>
      <c r="AC40" s="34">
        <f t="shared" si="21"/>
        <v>1.4692813753045757E-2</v>
      </c>
    </row>
    <row r="41" spans="1:31">
      <c r="A41" s="177"/>
      <c r="B41" s="177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</row>
    <row r="42" spans="1:31">
      <c r="A42" s="177"/>
      <c r="B42" s="177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  <c r="R42" s="177"/>
      <c r="S42" s="177"/>
      <c r="T42" s="177"/>
      <c r="U42" s="177"/>
      <c r="V42" s="177"/>
      <c r="W42" s="177"/>
      <c r="X42" s="177"/>
      <c r="Y42" s="177"/>
    </row>
    <row r="43" spans="1:31">
      <c r="A43" s="177"/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7"/>
      <c r="S43" s="177"/>
      <c r="T43" s="177"/>
      <c r="U43" s="177"/>
      <c r="V43" s="177"/>
      <c r="W43" s="177"/>
      <c r="X43" s="177"/>
      <c r="Y43" s="177"/>
    </row>
    <row r="44" spans="1:31" ht="16">
      <c r="A44" s="177"/>
      <c r="B44"/>
      <c r="C44"/>
      <c r="D44"/>
      <c r="E44"/>
      <c r="F44"/>
      <c r="G44"/>
      <c r="H44"/>
      <c r="I44"/>
      <c r="J44"/>
      <c r="K44" s="177"/>
      <c r="L44" s="177"/>
      <c r="M44" s="177"/>
      <c r="N44" s="177"/>
      <c r="O44" s="177"/>
      <c r="P44" s="177"/>
      <c r="Q44" s="177"/>
      <c r="R44" s="177"/>
      <c r="S44" s="177"/>
      <c r="T44" s="177"/>
      <c r="U44" s="177"/>
      <c r="V44" s="177"/>
      <c r="W44" s="177"/>
      <c r="X44" s="177"/>
      <c r="Y44" s="177"/>
    </row>
    <row r="45" spans="1:31" ht="16">
      <c r="A45" s="177"/>
      <c r="B45"/>
      <c r="C45"/>
      <c r="D45" s="229"/>
      <c r="E45"/>
      <c r="F45"/>
      <c r="G45"/>
      <c r="H45"/>
      <c r="I45"/>
      <c r="J45"/>
      <c r="K45" s="177"/>
      <c r="L45" s="177"/>
      <c r="M45" s="177"/>
      <c r="N45" s="177"/>
      <c r="O45" s="177"/>
      <c r="P45" s="177"/>
      <c r="Q45" s="177"/>
      <c r="R45" s="177"/>
      <c r="S45" s="177"/>
      <c r="T45" s="177"/>
      <c r="U45" s="177"/>
      <c r="V45" s="177"/>
      <c r="W45" s="177"/>
      <c r="X45" s="177"/>
      <c r="Y45" s="177"/>
    </row>
    <row r="46" spans="1:31" ht="16">
      <c r="A46" s="177"/>
      <c r="B46"/>
      <c r="C46"/>
      <c r="D46" s="167"/>
      <c r="E46"/>
      <c r="F46"/>
      <c r="G46"/>
      <c r="H46"/>
      <c r="I46"/>
      <c r="J46"/>
      <c r="K46" s="177"/>
      <c r="L46" s="177"/>
      <c r="M46" s="177"/>
      <c r="N46" s="177"/>
      <c r="O46" s="177"/>
      <c r="P46" s="177"/>
      <c r="Q46" s="177"/>
      <c r="R46" s="177"/>
      <c r="S46" s="177"/>
      <c r="T46" s="177"/>
      <c r="U46" s="177"/>
      <c r="V46" s="177"/>
      <c r="W46" s="177"/>
      <c r="X46" s="177"/>
      <c r="Y46" s="177"/>
    </row>
    <row r="47" spans="1:31" ht="16">
      <c r="A47" s="177"/>
      <c r="B47"/>
      <c r="C47"/>
      <c r="D47"/>
      <c r="E47"/>
      <c r="F47"/>
      <c r="G47"/>
      <c r="H47"/>
      <c r="I47"/>
      <c r="J4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</row>
    <row r="48" spans="1:31" ht="16">
      <c r="A48" s="177"/>
      <c r="B48"/>
      <c r="C48"/>
      <c r="D48"/>
      <c r="E48"/>
      <c r="F48"/>
      <c r="G48"/>
      <c r="H48"/>
      <c r="I48"/>
      <c r="J48"/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177"/>
      <c r="W48" s="177"/>
      <c r="X48" s="177"/>
      <c r="Y48" s="177"/>
    </row>
    <row r="49" spans="1:29" ht="16">
      <c r="A49" s="177"/>
      <c r="B49"/>
      <c r="C49"/>
      <c r="D49"/>
      <c r="E49"/>
      <c r="F49"/>
      <c r="G49"/>
      <c r="H49"/>
      <c r="I49"/>
      <c r="J49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177"/>
      <c r="X49" s="177"/>
      <c r="Y49" s="177"/>
    </row>
    <row r="50" spans="1:29" ht="16">
      <c r="A50" s="177"/>
      <c r="B50"/>
      <c r="C50"/>
      <c r="D50"/>
      <c r="E50"/>
      <c r="F50"/>
      <c r="G50"/>
      <c r="H50"/>
      <c r="I50"/>
      <c r="J50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</row>
    <row r="51" spans="1:29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</row>
    <row r="52" spans="1:29">
      <c r="A52" s="177"/>
      <c r="B52" s="198" t="s">
        <v>130</v>
      </c>
      <c r="C52" s="177"/>
      <c r="D52" s="177"/>
      <c r="E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</row>
    <row r="53" spans="1:29">
      <c r="A53" s="177"/>
      <c r="B53" s="177"/>
      <c r="C53" s="177" t="s">
        <v>131</v>
      </c>
      <c r="D53" s="177"/>
      <c r="E53" s="182">
        <v>100</v>
      </c>
      <c r="F53" s="177">
        <v>1</v>
      </c>
      <c r="G53" s="177">
        <f>F53+1</f>
        <v>2</v>
      </c>
      <c r="H53" s="177">
        <f t="shared" ref="H53:AC53" si="22">G53+1</f>
        <v>3</v>
      </c>
      <c r="I53" s="177">
        <f t="shared" si="22"/>
        <v>4</v>
      </c>
      <c r="J53" s="177">
        <f t="shared" si="22"/>
        <v>5</v>
      </c>
      <c r="K53" s="177">
        <f t="shared" si="22"/>
        <v>6</v>
      </c>
      <c r="L53" s="177">
        <f t="shared" si="22"/>
        <v>7</v>
      </c>
      <c r="M53" s="177">
        <f t="shared" si="22"/>
        <v>8</v>
      </c>
      <c r="N53" s="177">
        <f t="shared" si="22"/>
        <v>9</v>
      </c>
      <c r="O53" s="177">
        <f t="shared" si="22"/>
        <v>10</v>
      </c>
      <c r="P53" s="177">
        <f t="shared" si="22"/>
        <v>11</v>
      </c>
      <c r="Q53" s="177">
        <f t="shared" si="22"/>
        <v>12</v>
      </c>
      <c r="R53" s="177">
        <f t="shared" si="22"/>
        <v>13</v>
      </c>
      <c r="S53" s="177">
        <f t="shared" si="22"/>
        <v>14</v>
      </c>
      <c r="T53" s="177">
        <f t="shared" si="22"/>
        <v>15</v>
      </c>
      <c r="U53" s="177">
        <f t="shared" si="22"/>
        <v>16</v>
      </c>
      <c r="V53" s="177">
        <f t="shared" si="22"/>
        <v>17</v>
      </c>
      <c r="W53" s="177">
        <f t="shared" si="22"/>
        <v>18</v>
      </c>
      <c r="X53" s="177">
        <f t="shared" si="22"/>
        <v>19</v>
      </c>
      <c r="Y53" s="177">
        <f t="shared" si="22"/>
        <v>20</v>
      </c>
      <c r="Z53" s="177">
        <f t="shared" si="22"/>
        <v>21</v>
      </c>
      <c r="AA53" s="177">
        <f t="shared" si="22"/>
        <v>22</v>
      </c>
      <c r="AB53" s="177">
        <f>AA53+1</f>
        <v>23</v>
      </c>
      <c r="AC53" s="177">
        <f t="shared" si="22"/>
        <v>24</v>
      </c>
    </row>
    <row r="54" spans="1:29">
      <c r="A54" s="199"/>
      <c r="B54" s="200">
        <v>29.658550700086973</v>
      </c>
      <c r="C54" s="200">
        <f>STDEV(F54:W54)</f>
        <v>29.658550700086973</v>
      </c>
      <c r="D54" s="182">
        <v>18</v>
      </c>
      <c r="E54" s="201">
        <f>$E$53/D54</f>
        <v>5.5555555555555554</v>
      </c>
      <c r="F54" s="201">
        <f>$E$54*F53</f>
        <v>5.5555555555555554</v>
      </c>
      <c r="G54" s="201">
        <f>$E$54*G53</f>
        <v>11.111111111111111</v>
      </c>
      <c r="H54" s="201">
        <f t="shared" ref="H54:W54" si="23">$E$54*H53</f>
        <v>16.666666666666664</v>
      </c>
      <c r="I54" s="201">
        <f t="shared" si="23"/>
        <v>22.222222222222221</v>
      </c>
      <c r="J54" s="201">
        <f t="shared" si="23"/>
        <v>27.777777777777779</v>
      </c>
      <c r="K54" s="201">
        <f t="shared" si="23"/>
        <v>33.333333333333329</v>
      </c>
      <c r="L54" s="201">
        <f t="shared" si="23"/>
        <v>38.888888888888886</v>
      </c>
      <c r="M54" s="201">
        <f t="shared" si="23"/>
        <v>44.444444444444443</v>
      </c>
      <c r="N54" s="201">
        <f t="shared" si="23"/>
        <v>50</v>
      </c>
      <c r="O54" s="201">
        <f t="shared" si="23"/>
        <v>55.555555555555557</v>
      </c>
      <c r="P54" s="201">
        <f t="shared" si="23"/>
        <v>61.111111111111107</v>
      </c>
      <c r="Q54" s="201">
        <f t="shared" si="23"/>
        <v>66.666666666666657</v>
      </c>
      <c r="R54" s="201">
        <f t="shared" si="23"/>
        <v>72.222222222222214</v>
      </c>
      <c r="S54" s="201">
        <f t="shared" si="23"/>
        <v>77.777777777777771</v>
      </c>
      <c r="T54" s="201">
        <f t="shared" si="23"/>
        <v>83.333333333333329</v>
      </c>
      <c r="U54" s="201">
        <f t="shared" si="23"/>
        <v>88.888888888888886</v>
      </c>
      <c r="V54" s="201">
        <f t="shared" si="23"/>
        <v>94.444444444444443</v>
      </c>
      <c r="W54" s="201">
        <f t="shared" si="23"/>
        <v>100</v>
      </c>
      <c r="X54" s="177"/>
      <c r="Y54" s="177"/>
    </row>
    <row r="55" spans="1:29">
      <c r="A55" s="199"/>
      <c r="B55" s="200">
        <v>29.58039891549808</v>
      </c>
      <c r="C55" s="200">
        <f>STDEV(F55:Y55)</f>
        <v>29.58039891549808</v>
      </c>
      <c r="D55" s="182">
        <v>20</v>
      </c>
      <c r="E55" s="201">
        <f>$E$53/D55</f>
        <v>5</v>
      </c>
      <c r="F55" s="201">
        <f t="shared" ref="F55:Y55" si="24">$E$55*F53</f>
        <v>5</v>
      </c>
      <c r="G55" s="201">
        <f t="shared" si="24"/>
        <v>10</v>
      </c>
      <c r="H55" s="201">
        <f t="shared" si="24"/>
        <v>15</v>
      </c>
      <c r="I55" s="201">
        <f t="shared" si="24"/>
        <v>20</v>
      </c>
      <c r="J55" s="201">
        <f t="shared" si="24"/>
        <v>25</v>
      </c>
      <c r="K55" s="201">
        <f t="shared" si="24"/>
        <v>30</v>
      </c>
      <c r="L55" s="201">
        <f t="shared" si="24"/>
        <v>35</v>
      </c>
      <c r="M55" s="201">
        <f t="shared" si="24"/>
        <v>40</v>
      </c>
      <c r="N55" s="201">
        <f t="shared" si="24"/>
        <v>45</v>
      </c>
      <c r="O55" s="201">
        <f t="shared" si="24"/>
        <v>50</v>
      </c>
      <c r="P55" s="201">
        <f t="shared" si="24"/>
        <v>55</v>
      </c>
      <c r="Q55" s="201">
        <f t="shared" si="24"/>
        <v>60</v>
      </c>
      <c r="R55" s="201">
        <f t="shared" si="24"/>
        <v>65</v>
      </c>
      <c r="S55" s="201">
        <f t="shared" si="24"/>
        <v>70</v>
      </c>
      <c r="T55" s="201">
        <f t="shared" si="24"/>
        <v>75</v>
      </c>
      <c r="U55" s="201">
        <f t="shared" si="24"/>
        <v>80</v>
      </c>
      <c r="V55" s="201">
        <f t="shared" si="24"/>
        <v>85</v>
      </c>
      <c r="W55" s="201">
        <f t="shared" si="24"/>
        <v>90</v>
      </c>
      <c r="X55" s="201">
        <f t="shared" si="24"/>
        <v>95</v>
      </c>
      <c r="Y55" s="201">
        <f t="shared" si="24"/>
        <v>100</v>
      </c>
    </row>
    <row r="56" spans="1:29">
      <c r="A56" s="199"/>
      <c r="B56" s="200">
        <v>29.516302634512375</v>
      </c>
      <c r="C56" s="200">
        <f>STDEV(F56:AA56)</f>
        <v>29.516302634512375</v>
      </c>
      <c r="D56" s="182">
        <v>22</v>
      </c>
      <c r="E56" s="201">
        <f>$E$53/D56</f>
        <v>4.5454545454545459</v>
      </c>
      <c r="F56" s="201">
        <f t="shared" ref="F56:AA56" si="25">$E$56*F53</f>
        <v>4.5454545454545459</v>
      </c>
      <c r="G56" s="201">
        <f t="shared" si="25"/>
        <v>9.0909090909090917</v>
      </c>
      <c r="H56" s="201">
        <f t="shared" si="25"/>
        <v>13.636363636363637</v>
      </c>
      <c r="I56" s="201">
        <f t="shared" si="25"/>
        <v>18.181818181818183</v>
      </c>
      <c r="J56" s="201">
        <f t="shared" si="25"/>
        <v>22.72727272727273</v>
      </c>
      <c r="K56" s="201">
        <f t="shared" si="25"/>
        <v>27.272727272727273</v>
      </c>
      <c r="L56" s="201">
        <f t="shared" si="25"/>
        <v>31.81818181818182</v>
      </c>
      <c r="M56" s="201">
        <f t="shared" si="25"/>
        <v>36.363636363636367</v>
      </c>
      <c r="N56" s="201">
        <f t="shared" si="25"/>
        <v>40.909090909090914</v>
      </c>
      <c r="O56" s="201">
        <f t="shared" si="25"/>
        <v>45.45454545454546</v>
      </c>
      <c r="P56" s="201">
        <f t="shared" si="25"/>
        <v>50.000000000000007</v>
      </c>
      <c r="Q56" s="201">
        <f t="shared" si="25"/>
        <v>54.545454545454547</v>
      </c>
      <c r="R56" s="201">
        <f t="shared" si="25"/>
        <v>59.090909090909093</v>
      </c>
      <c r="S56" s="201">
        <f t="shared" si="25"/>
        <v>63.63636363636364</v>
      </c>
      <c r="T56" s="201">
        <f t="shared" si="25"/>
        <v>68.181818181818187</v>
      </c>
      <c r="U56" s="201">
        <f t="shared" si="25"/>
        <v>72.727272727272734</v>
      </c>
      <c r="V56" s="201">
        <f t="shared" si="25"/>
        <v>77.27272727272728</v>
      </c>
      <c r="W56" s="201">
        <f t="shared" si="25"/>
        <v>81.818181818181827</v>
      </c>
      <c r="X56" s="201">
        <f t="shared" si="25"/>
        <v>86.363636363636374</v>
      </c>
      <c r="Y56" s="201">
        <f t="shared" si="25"/>
        <v>90.909090909090921</v>
      </c>
      <c r="Z56" s="201">
        <f t="shared" si="25"/>
        <v>95.454545454545467</v>
      </c>
      <c r="AA56" s="201">
        <f t="shared" si="25"/>
        <v>100.00000000000001</v>
      </c>
    </row>
    <row r="57" spans="1:29">
      <c r="A57" s="199"/>
      <c r="B57" s="200">
        <v>29.462782549439488</v>
      </c>
      <c r="C57" s="200">
        <f>STDEV(F57:AC57)</f>
        <v>29.462782549439488</v>
      </c>
      <c r="D57" s="182">
        <v>24</v>
      </c>
      <c r="E57" s="201">
        <f>$E$53/D57</f>
        <v>4.166666666666667</v>
      </c>
      <c r="F57" s="201">
        <f t="shared" ref="F57:AC57" si="26">$E$57*F53</f>
        <v>4.166666666666667</v>
      </c>
      <c r="G57" s="201">
        <f t="shared" si="26"/>
        <v>8.3333333333333339</v>
      </c>
      <c r="H57" s="201">
        <f t="shared" si="26"/>
        <v>12.5</v>
      </c>
      <c r="I57" s="201">
        <f t="shared" si="26"/>
        <v>16.666666666666668</v>
      </c>
      <c r="J57" s="201">
        <f t="shared" si="26"/>
        <v>20.833333333333336</v>
      </c>
      <c r="K57" s="201">
        <f t="shared" si="26"/>
        <v>25</v>
      </c>
      <c r="L57" s="201">
        <f t="shared" si="26"/>
        <v>29.166666666666668</v>
      </c>
      <c r="M57" s="201">
        <f t="shared" si="26"/>
        <v>33.333333333333336</v>
      </c>
      <c r="N57" s="201">
        <f t="shared" si="26"/>
        <v>37.5</v>
      </c>
      <c r="O57" s="201">
        <f t="shared" si="26"/>
        <v>41.666666666666671</v>
      </c>
      <c r="P57" s="201">
        <f t="shared" si="26"/>
        <v>45.833333333333336</v>
      </c>
      <c r="Q57" s="201">
        <f t="shared" si="26"/>
        <v>50</v>
      </c>
      <c r="R57" s="201">
        <f t="shared" si="26"/>
        <v>54.166666666666671</v>
      </c>
      <c r="S57" s="201">
        <f t="shared" si="26"/>
        <v>58.333333333333336</v>
      </c>
      <c r="T57" s="201">
        <f t="shared" si="26"/>
        <v>62.500000000000007</v>
      </c>
      <c r="U57" s="201">
        <f t="shared" si="26"/>
        <v>66.666666666666671</v>
      </c>
      <c r="V57" s="201">
        <f t="shared" si="26"/>
        <v>70.833333333333343</v>
      </c>
      <c r="W57" s="201">
        <f t="shared" si="26"/>
        <v>75</v>
      </c>
      <c r="X57" s="201">
        <f t="shared" si="26"/>
        <v>79.166666666666671</v>
      </c>
      <c r="Y57" s="201">
        <f t="shared" si="26"/>
        <v>83.333333333333343</v>
      </c>
      <c r="Z57" s="201">
        <f t="shared" si="26"/>
        <v>87.5</v>
      </c>
      <c r="AA57" s="201">
        <f t="shared" si="26"/>
        <v>91.666666666666671</v>
      </c>
      <c r="AB57" s="201">
        <f t="shared" si="26"/>
        <v>95.833333333333343</v>
      </c>
      <c r="AC57" s="201">
        <f t="shared" si="26"/>
        <v>100</v>
      </c>
    </row>
    <row r="58" spans="1:29">
      <c r="A58" s="177"/>
      <c r="B58" s="177"/>
      <c r="C58" s="177"/>
      <c r="D58" s="177"/>
      <c r="E58" s="177"/>
      <c r="F58" s="177"/>
      <c r="G58" s="177"/>
      <c r="H58" s="177"/>
      <c r="I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</row>
    <row r="59" spans="1:29">
      <c r="A59" s="177"/>
      <c r="B59" s="177"/>
      <c r="C59" s="177"/>
      <c r="D59" s="177">
        <f>D54</f>
        <v>18</v>
      </c>
      <c r="E59" s="200">
        <f>SUM(F59:W59)</f>
        <v>0.16330075139443434</v>
      </c>
      <c r="F59" s="199">
        <f t="shared" ref="F59:W59" si="27">_xlfn.NORM.DIST(F54,$E$53/2,$C$54,FALSE)</f>
        <v>4.376543495247443E-3</v>
      </c>
      <c r="G59" s="199">
        <f t="shared" si="27"/>
        <v>5.6940237006716339E-3</v>
      </c>
      <c r="H59" s="199">
        <f t="shared" si="27"/>
        <v>7.1526815380300729E-3</v>
      </c>
      <c r="I59" s="199">
        <f t="shared" si="27"/>
        <v>8.6752121669587973E-3</v>
      </c>
      <c r="J59" s="199">
        <f t="shared" si="27"/>
        <v>1.0159045792332736E-2</v>
      </c>
      <c r="K59" s="199">
        <f t="shared" si="27"/>
        <v>1.1486489713338925E-2</v>
      </c>
      <c r="L59" s="199">
        <f t="shared" si="27"/>
        <v>1.253958995180127E-2</v>
      </c>
      <c r="M59" s="199">
        <f t="shared" si="27"/>
        <v>1.3217244974388292E-2</v>
      </c>
      <c r="N59" s="199">
        <f t="shared" si="27"/>
        <v>1.3451172460704994E-2</v>
      </c>
      <c r="O59" s="199">
        <f t="shared" si="27"/>
        <v>1.3217244974388292E-2</v>
      </c>
      <c r="P59" s="199">
        <f t="shared" si="27"/>
        <v>1.2539589951801272E-2</v>
      </c>
      <c r="Q59" s="199">
        <f t="shared" si="27"/>
        <v>1.1486489713338929E-2</v>
      </c>
      <c r="R59" s="199">
        <f t="shared" si="27"/>
        <v>1.0159045792332738E-2</v>
      </c>
      <c r="S59" s="199">
        <f t="shared" si="27"/>
        <v>8.6752121669587991E-3</v>
      </c>
      <c r="T59" s="199">
        <f t="shared" si="27"/>
        <v>7.1526815380300746E-3</v>
      </c>
      <c r="U59" s="199">
        <f t="shared" si="27"/>
        <v>5.6940237006716339E-3</v>
      </c>
      <c r="V59" s="199">
        <f t="shared" si="27"/>
        <v>4.376543495247443E-3</v>
      </c>
      <c r="W59" s="199">
        <f t="shared" si="27"/>
        <v>3.2479162681909933E-3</v>
      </c>
      <c r="X59" s="177"/>
      <c r="Y59" s="177"/>
    </row>
    <row r="60" spans="1:29">
      <c r="A60" s="177"/>
      <c r="B60" s="177"/>
      <c r="C60" s="177"/>
      <c r="E60" s="200">
        <f>SUM(F60:W60)</f>
        <v>1</v>
      </c>
      <c r="F60" s="202">
        <f>F59/$E$59</f>
        <v>2.6800510456172988E-2</v>
      </c>
      <c r="G60" s="202">
        <f t="shared" ref="G60:W60" si="28">G59/$E$59</f>
        <v>3.4868325173338419E-2</v>
      </c>
      <c r="H60" s="202">
        <f t="shared" si="28"/>
        <v>4.3800665195676818E-2</v>
      </c>
      <c r="I60" s="202">
        <f t="shared" si="28"/>
        <v>5.3124141149876354E-2</v>
      </c>
      <c r="J60" s="202">
        <f t="shared" si="28"/>
        <v>6.2210649403533484E-2</v>
      </c>
      <c r="K60" s="202">
        <f t="shared" si="28"/>
        <v>7.0339478632248417E-2</v>
      </c>
      <c r="L60" s="202">
        <f t="shared" si="28"/>
        <v>7.6788317535130754E-2</v>
      </c>
      <c r="M60" s="202">
        <f t="shared" si="28"/>
        <v>8.0938053631263121E-2</v>
      </c>
      <c r="N60" s="202">
        <f t="shared" si="28"/>
        <v>8.2370548487038009E-2</v>
      </c>
      <c r="O60" s="202">
        <f t="shared" si="28"/>
        <v>8.0938053631263121E-2</v>
      </c>
      <c r="P60" s="202">
        <f t="shared" si="28"/>
        <v>7.6788317535130768E-2</v>
      </c>
      <c r="Q60" s="202">
        <f t="shared" si="28"/>
        <v>7.0339478632248445E-2</v>
      </c>
      <c r="R60" s="202">
        <f t="shared" si="28"/>
        <v>6.2210649403533491E-2</v>
      </c>
      <c r="S60" s="202">
        <f t="shared" si="28"/>
        <v>5.3124141149876361E-2</v>
      </c>
      <c r="T60" s="202">
        <f t="shared" si="28"/>
        <v>4.3800665195676831E-2</v>
      </c>
      <c r="U60" s="202">
        <f t="shared" si="28"/>
        <v>3.4868325173338419E-2</v>
      </c>
      <c r="V60" s="202">
        <f t="shared" si="28"/>
        <v>2.6800510456172988E-2</v>
      </c>
      <c r="W60" s="202">
        <f t="shared" si="28"/>
        <v>1.9889169158481223E-2</v>
      </c>
      <c r="X60" s="177"/>
      <c r="Y60" s="177"/>
    </row>
    <row r="61" spans="1:29">
      <c r="A61" s="177"/>
      <c r="B61" s="177"/>
      <c r="C61" s="177"/>
      <c r="D61" s="177">
        <f>D55</f>
        <v>20</v>
      </c>
      <c r="E61" s="200">
        <f>SUM(F61:Y61)</f>
        <v>0.18165229048334139</v>
      </c>
      <c r="F61" s="199">
        <f>_xlfn.NORM.DIST(F55,$E$53/2,$C$55,FALSE)</f>
        <v>4.2399943871423134E-3</v>
      </c>
      <c r="G61" s="199">
        <f t="shared" ref="G61:Y61" si="29">_xlfn.NORM.DIST(G55,$E$53/2,$C$55,FALSE)</f>
        <v>5.4055115383885776E-3</v>
      </c>
      <c r="H61" s="199">
        <f t="shared" si="29"/>
        <v>6.6973022938033406E-3</v>
      </c>
      <c r="I61" s="199">
        <f t="shared" si="29"/>
        <v>8.0640756163529378E-3</v>
      </c>
      <c r="J61" s="199">
        <f t="shared" si="29"/>
        <v>9.4362810451635564E-3</v>
      </c>
      <c r="K61" s="199">
        <f t="shared" si="29"/>
        <v>1.073096378381861E-2</v>
      </c>
      <c r="L61" s="199">
        <f t="shared" si="29"/>
        <v>1.185954909679934E-2</v>
      </c>
      <c r="M61" s="199">
        <f t="shared" si="29"/>
        <v>1.2737647079576517E-2</v>
      </c>
      <c r="N61" s="199">
        <f t="shared" si="29"/>
        <v>1.3295412997215336E-2</v>
      </c>
      <c r="O61" s="199">
        <f t="shared" si="29"/>
        <v>1.348671062689471E-2</v>
      </c>
      <c r="P61" s="199">
        <f t="shared" si="29"/>
        <v>1.3295412997215336E-2</v>
      </c>
      <c r="Q61" s="199">
        <f t="shared" si="29"/>
        <v>1.2737647079576517E-2</v>
      </c>
      <c r="R61" s="199">
        <f t="shared" si="29"/>
        <v>1.185954909679934E-2</v>
      </c>
      <c r="S61" s="199">
        <f t="shared" si="29"/>
        <v>1.073096378381861E-2</v>
      </c>
      <c r="T61" s="199">
        <f t="shared" si="29"/>
        <v>9.4362810451635564E-3</v>
      </c>
      <c r="U61" s="199">
        <f t="shared" si="29"/>
        <v>8.0640756163529378E-3</v>
      </c>
      <c r="V61" s="199">
        <f t="shared" si="29"/>
        <v>6.6973022938033406E-3</v>
      </c>
      <c r="W61" s="199">
        <f t="shared" si="29"/>
        <v>5.4055115383885776E-3</v>
      </c>
      <c r="X61" s="199">
        <f t="shared" si="29"/>
        <v>4.2399943871423134E-3</v>
      </c>
      <c r="Y61" s="199">
        <f t="shared" si="29"/>
        <v>3.232104179925629E-3</v>
      </c>
      <c r="Z61" s="199"/>
      <c r="AA61" s="199"/>
      <c r="AB61" s="199"/>
      <c r="AC61" s="199"/>
    </row>
    <row r="62" spans="1:29">
      <c r="A62" s="177"/>
      <c r="B62" s="177"/>
      <c r="C62" s="177"/>
      <c r="E62" s="200">
        <f>SUM(F62:Y62)</f>
        <v>1</v>
      </c>
      <c r="F62" s="202">
        <f>F61/$E$61</f>
        <v>2.3341265754813847E-2</v>
      </c>
      <c r="G62" s="202">
        <f t="shared" ref="G62:Y62" si="30">G61/$E$61</f>
        <v>2.9757464241191585E-2</v>
      </c>
      <c r="H62" s="202">
        <f t="shared" si="30"/>
        <v>3.6868801797010776E-2</v>
      </c>
      <c r="I62" s="202">
        <f t="shared" si="30"/>
        <v>4.439292009418655E-2</v>
      </c>
      <c r="J62" s="202">
        <f t="shared" si="30"/>
        <v>5.194694226015785E-2</v>
      </c>
      <c r="K62" s="202">
        <f t="shared" si="30"/>
        <v>5.9074200249639594E-2</v>
      </c>
      <c r="L62" s="202">
        <f t="shared" si="30"/>
        <v>6.5287088124478851E-2</v>
      </c>
      <c r="M62" s="202">
        <f t="shared" si="30"/>
        <v>7.0121037536516148E-2</v>
      </c>
      <c r="N62" s="202">
        <f t="shared" si="30"/>
        <v>7.3191551627776505E-2</v>
      </c>
      <c r="O62" s="202">
        <f t="shared" si="30"/>
        <v>7.424464943992283E-2</v>
      </c>
      <c r="P62" s="202">
        <f t="shared" si="30"/>
        <v>7.3191551627776505E-2</v>
      </c>
      <c r="Q62" s="202">
        <f t="shared" si="30"/>
        <v>7.0121037536516148E-2</v>
      </c>
      <c r="R62" s="202">
        <f t="shared" si="30"/>
        <v>6.5287088124478851E-2</v>
      </c>
      <c r="S62" s="202">
        <f t="shared" si="30"/>
        <v>5.9074200249639594E-2</v>
      </c>
      <c r="T62" s="202">
        <f t="shared" si="30"/>
        <v>5.194694226015785E-2</v>
      </c>
      <c r="U62" s="202">
        <f t="shared" si="30"/>
        <v>4.439292009418655E-2</v>
      </c>
      <c r="V62" s="202">
        <f t="shared" si="30"/>
        <v>3.6868801797010776E-2</v>
      </c>
      <c r="W62" s="202">
        <f t="shared" si="30"/>
        <v>2.9757464241191585E-2</v>
      </c>
      <c r="X62" s="202">
        <f t="shared" si="30"/>
        <v>2.3341265754813847E-2</v>
      </c>
      <c r="Y62" s="202">
        <f t="shared" si="30"/>
        <v>1.7792807188533814E-2</v>
      </c>
      <c r="Z62" s="177"/>
      <c r="AA62" s="177"/>
      <c r="AB62" s="177"/>
      <c r="AC62" s="177"/>
    </row>
    <row r="63" spans="1:29">
      <c r="A63" s="177"/>
      <c r="B63" s="177"/>
      <c r="C63" s="177"/>
      <c r="D63" s="177">
        <f>D56</f>
        <v>22</v>
      </c>
      <c r="E63" s="200">
        <f>SUM(F63:AA63)</f>
        <v>0.20000079785584782</v>
      </c>
      <c r="F63" s="199">
        <f>_xlfn.NORM.DIST(F56,$E$53/2,$C$56,FALSE)</f>
        <v>4.1292808042817123E-3</v>
      </c>
      <c r="G63" s="199">
        <f t="shared" ref="G63:AA63" si="31">_xlfn.NORM.DIST(G56,$E$53/2,$C$56,FALSE)</f>
        <v>5.1727253420777702E-3</v>
      </c>
      <c r="H63" s="199">
        <f t="shared" si="31"/>
        <v>6.3279778033145506E-3</v>
      </c>
      <c r="I63" s="199">
        <f t="shared" si="31"/>
        <v>7.5598121002158902E-3</v>
      </c>
      <c r="J63" s="199">
        <f t="shared" si="31"/>
        <v>8.8197765306985212E-3</v>
      </c>
      <c r="K63" s="199">
        <f t="shared" si="31"/>
        <v>1.0048579845865289E-2</v>
      </c>
      <c r="L63" s="199">
        <f t="shared" si="31"/>
        <v>1.1180270732712176E-2</v>
      </c>
      <c r="M63" s="199">
        <f t="shared" si="31"/>
        <v>1.2147879597219505E-2</v>
      </c>
      <c r="N63" s="199">
        <f t="shared" si="31"/>
        <v>1.2889888584572051E-2</v>
      </c>
      <c r="O63" s="199">
        <f t="shared" si="31"/>
        <v>1.335667548084251E-2</v>
      </c>
      <c r="P63" s="199">
        <f t="shared" si="31"/>
        <v>1.3515997763722734E-2</v>
      </c>
      <c r="Q63" s="199">
        <f t="shared" si="31"/>
        <v>1.3356675480842507E-2</v>
      </c>
      <c r="R63" s="199">
        <f t="shared" si="31"/>
        <v>1.2889888584572051E-2</v>
      </c>
      <c r="S63" s="199">
        <f t="shared" si="31"/>
        <v>1.2147879597219505E-2</v>
      </c>
      <c r="T63" s="199">
        <f t="shared" si="31"/>
        <v>1.1180270732712175E-2</v>
      </c>
      <c r="U63" s="199">
        <f t="shared" si="31"/>
        <v>1.0048579845865288E-2</v>
      </c>
      <c r="V63" s="199">
        <f t="shared" si="31"/>
        <v>8.8197765306985195E-3</v>
      </c>
      <c r="W63" s="199">
        <f t="shared" si="31"/>
        <v>7.5598121002158876E-3</v>
      </c>
      <c r="X63" s="199">
        <f t="shared" si="31"/>
        <v>6.3279778033145471E-3</v>
      </c>
      <c r="Y63" s="199">
        <f t="shared" si="31"/>
        <v>5.1727253420777667E-3</v>
      </c>
      <c r="Z63" s="199">
        <f t="shared" si="31"/>
        <v>4.1292808042817097E-3</v>
      </c>
      <c r="AA63" s="199">
        <f t="shared" si="31"/>
        <v>3.2190664485251784E-3</v>
      </c>
      <c r="AB63" s="199"/>
      <c r="AC63" s="199"/>
    </row>
    <row r="64" spans="1:29">
      <c r="A64" s="177"/>
      <c r="B64" s="177"/>
      <c r="C64" s="177"/>
      <c r="E64" s="200">
        <f>SUM(F64:AA64)</f>
        <v>1.0000000000000002</v>
      </c>
      <c r="F64" s="202">
        <f>F63/$E$63</f>
        <v>2.0646321657466209E-2</v>
      </c>
      <c r="G64" s="202">
        <f t="shared" ref="G64:AA64" si="32">G63/$E$63</f>
        <v>2.586352353357137E-2</v>
      </c>
      <c r="H64" s="202">
        <f t="shared" si="32"/>
        <v>3.1639762796723897E-2</v>
      </c>
      <c r="I64" s="202">
        <f t="shared" si="32"/>
        <v>3.7798909710673685E-2</v>
      </c>
      <c r="J64" s="202">
        <f t="shared" si="32"/>
        <v>4.409870673143737E-2</v>
      </c>
      <c r="K64" s="202">
        <f t="shared" si="32"/>
        <v>5.024269879717122E-2</v>
      </c>
      <c r="L64" s="202">
        <f t="shared" si="32"/>
        <v>5.5901130658340903E-2</v>
      </c>
      <c r="M64" s="202">
        <f t="shared" si="32"/>
        <v>6.0739155680644766E-2</v>
      </c>
      <c r="N64" s="202">
        <f t="shared" si="32"/>
        <v>6.44491858170613E-2</v>
      </c>
      <c r="O64" s="202">
        <f t="shared" si="32"/>
        <v>6.6783110987734359E-2</v>
      </c>
      <c r="P64" s="202">
        <f t="shared" si="32"/>
        <v>6.7579719224242787E-2</v>
      </c>
      <c r="Q64" s="202">
        <f t="shared" si="32"/>
        <v>6.6783110987734345E-2</v>
      </c>
      <c r="R64" s="202">
        <f t="shared" si="32"/>
        <v>6.44491858170613E-2</v>
      </c>
      <c r="S64" s="202">
        <f t="shared" si="32"/>
        <v>6.0739155680644766E-2</v>
      </c>
      <c r="T64" s="202">
        <f t="shared" si="32"/>
        <v>5.5901130658340896E-2</v>
      </c>
      <c r="U64" s="202">
        <f t="shared" si="32"/>
        <v>5.0242698797171213E-2</v>
      </c>
      <c r="V64" s="202">
        <f t="shared" si="32"/>
        <v>4.4098706731437363E-2</v>
      </c>
      <c r="W64" s="202">
        <f t="shared" si="32"/>
        <v>3.7798909710673671E-2</v>
      </c>
      <c r="X64" s="202">
        <f t="shared" si="32"/>
        <v>3.1639762796723883E-2</v>
      </c>
      <c r="Y64" s="202">
        <f t="shared" si="32"/>
        <v>2.5863523533571353E-2</v>
      </c>
      <c r="Z64" s="202">
        <f t="shared" si="32"/>
        <v>2.0646321657466198E-2</v>
      </c>
      <c r="AA64" s="202">
        <f t="shared" si="32"/>
        <v>1.6095268034107275E-2</v>
      </c>
      <c r="AB64" s="177"/>
      <c r="AC64" s="177"/>
    </row>
    <row r="65" spans="1:29">
      <c r="A65" s="177"/>
      <c r="B65" s="177"/>
      <c r="C65" s="177"/>
      <c r="D65" s="177">
        <f>D57</f>
        <v>24</v>
      </c>
      <c r="E65" s="200">
        <f>SUM(F65:AC65)</f>
        <v>0.2183470244681649</v>
      </c>
      <c r="F65" s="199">
        <f>_xlfn.NORM.DIST(F57,$E$53/2,$C$57,FALSE)</f>
        <v>4.0377551735189315E-3</v>
      </c>
      <c r="G65" s="199">
        <f t="shared" ref="G65:AB65" si="33">_xlfn.NORM.DIST(G57,$E$53/2,$C$57,FALSE)</f>
        <v>4.9812899690471393E-3</v>
      </c>
      <c r="H65" s="199">
        <f t="shared" si="33"/>
        <v>6.0236228908843543E-3</v>
      </c>
      <c r="I65" s="199">
        <f t="shared" si="33"/>
        <v>7.1398294350896296E-3</v>
      </c>
      <c r="J65" s="199">
        <f t="shared" si="33"/>
        <v>8.2952983249264638E-3</v>
      </c>
      <c r="K65" s="199">
        <f t="shared" si="33"/>
        <v>9.4469211805714472E-3</v>
      </c>
      <c r="L65" s="199">
        <f t="shared" si="33"/>
        <v>1.0545390947225336E-2</v>
      </c>
      <c r="M65" s="199">
        <f t="shared" si="33"/>
        <v>1.1538495586071692E-2</v>
      </c>
      <c r="N65" s="199">
        <f t="shared" si="33"/>
        <v>1.2375130915427553E-2</v>
      </c>
      <c r="O65" s="199">
        <f t="shared" si="33"/>
        <v>1.3009617445258356E-2</v>
      </c>
      <c r="P65" s="199">
        <f t="shared" si="33"/>
        <v>1.340581928146724E-2</v>
      </c>
      <c r="Q65" s="199">
        <f t="shared" si="33"/>
        <v>1.3540550005146148E-2</v>
      </c>
      <c r="R65" s="199">
        <f t="shared" si="33"/>
        <v>1.340581928146724E-2</v>
      </c>
      <c r="S65" s="199">
        <f t="shared" si="33"/>
        <v>1.3009617445258356E-2</v>
      </c>
      <c r="T65" s="199">
        <f t="shared" si="33"/>
        <v>1.2375130915427553E-2</v>
      </c>
      <c r="U65" s="199">
        <f t="shared" si="33"/>
        <v>1.153849558607169E-2</v>
      </c>
      <c r="V65" s="199">
        <f t="shared" si="33"/>
        <v>1.0545390947225335E-2</v>
      </c>
      <c r="W65" s="199">
        <f t="shared" si="33"/>
        <v>9.4469211805714472E-3</v>
      </c>
      <c r="X65" s="199">
        <f t="shared" si="33"/>
        <v>8.295298324926462E-3</v>
      </c>
      <c r="Y65" s="199">
        <f t="shared" si="33"/>
        <v>7.1398294350896261E-3</v>
      </c>
      <c r="Z65" s="199">
        <f t="shared" si="33"/>
        <v>6.0236228908843543E-3</v>
      </c>
      <c r="AA65" s="199">
        <f t="shared" si="33"/>
        <v>4.9812899690471358E-3</v>
      </c>
      <c r="AB65" s="199">
        <f t="shared" si="33"/>
        <v>4.0377551735189298E-3</v>
      </c>
      <c r="AC65" s="199">
        <f>_xlfn.NORM.DIST(AC57,$E$53/2,$C$57,FALSE)</f>
        <v>3.2081321640424717E-3</v>
      </c>
    </row>
    <row r="66" spans="1:29">
      <c r="A66" s="177"/>
      <c r="B66" s="177"/>
      <c r="C66" s="177"/>
      <c r="D66" s="177"/>
      <c r="E66" s="200">
        <f>SUM(F66:AC66)</f>
        <v>1</v>
      </c>
      <c r="F66" s="202">
        <f>F65/$E$65</f>
        <v>1.8492375535475357E-2</v>
      </c>
      <c r="G66" s="202">
        <f t="shared" ref="G66:AC66" si="34">G65/$E$65</f>
        <v>2.2813637974596783E-2</v>
      </c>
      <c r="H66" s="202">
        <f t="shared" si="34"/>
        <v>2.7587382541879344E-2</v>
      </c>
      <c r="I66" s="202">
        <f t="shared" si="34"/>
        <v>3.2699458362120341E-2</v>
      </c>
      <c r="J66" s="202">
        <f t="shared" si="34"/>
        <v>3.7991350443779104E-2</v>
      </c>
      <c r="K66" s="202">
        <f t="shared" si="34"/>
        <v>4.3265628206208107E-2</v>
      </c>
      <c r="L66" s="202">
        <f t="shared" si="34"/>
        <v>4.8296471971216899E-2</v>
      </c>
      <c r="M66" s="202">
        <f t="shared" si="34"/>
        <v>5.2844757624595021E-2</v>
      </c>
      <c r="N66" s="202">
        <f t="shared" si="34"/>
        <v>5.6676434888774281E-2</v>
      </c>
      <c r="O66" s="202">
        <f t="shared" si="34"/>
        <v>5.9582297844206086E-2</v>
      </c>
      <c r="P66" s="202">
        <f t="shared" si="34"/>
        <v>6.1396848956931011E-2</v>
      </c>
      <c r="Q66" s="202">
        <f t="shared" si="34"/>
        <v>6.2013897547389597E-2</v>
      </c>
      <c r="R66" s="202">
        <f t="shared" si="34"/>
        <v>6.1396848956931011E-2</v>
      </c>
      <c r="S66" s="202">
        <f t="shared" si="34"/>
        <v>5.9582297844206086E-2</v>
      </c>
      <c r="T66" s="202">
        <f t="shared" si="34"/>
        <v>5.6676434888774281E-2</v>
      </c>
      <c r="U66" s="202">
        <f t="shared" si="34"/>
        <v>5.2844757624595014E-2</v>
      </c>
      <c r="V66" s="202">
        <f t="shared" si="34"/>
        <v>4.8296471971216892E-2</v>
      </c>
      <c r="W66" s="202">
        <f t="shared" si="34"/>
        <v>4.3265628206208107E-2</v>
      </c>
      <c r="X66" s="202">
        <f t="shared" si="34"/>
        <v>3.7991350443779097E-2</v>
      </c>
      <c r="Y66" s="202">
        <f t="shared" si="34"/>
        <v>3.2699458362120327E-2</v>
      </c>
      <c r="Z66" s="202">
        <f t="shared" si="34"/>
        <v>2.7587382541879344E-2</v>
      </c>
      <c r="AA66" s="202">
        <f t="shared" si="34"/>
        <v>2.2813637974596766E-2</v>
      </c>
      <c r="AB66" s="202">
        <f t="shared" si="34"/>
        <v>1.8492375535475346E-2</v>
      </c>
      <c r="AC66" s="202">
        <f t="shared" si="34"/>
        <v>1.4692813753045757E-2</v>
      </c>
    </row>
    <row r="67" spans="1:29">
      <c r="A67" s="177"/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  <c r="R67" s="177"/>
      <c r="S67" s="177"/>
      <c r="T67" s="177"/>
      <c r="U67" s="177"/>
      <c r="V67" s="177"/>
      <c r="W67" s="177"/>
      <c r="X67" s="177"/>
      <c r="Y67" s="177"/>
    </row>
    <row r="68" spans="1:29">
      <c r="A68" s="177"/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  <c r="R68" s="177"/>
      <c r="S68" s="177"/>
      <c r="T68" s="177"/>
      <c r="U68" s="177"/>
      <c r="V68" s="177"/>
      <c r="W68" s="177"/>
      <c r="X68" s="177"/>
      <c r="Y68" s="177"/>
    </row>
    <row r="69" spans="1:29">
      <c r="A69" s="177"/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</row>
    <row r="70" spans="1:29">
      <c r="A70" s="177"/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  <c r="R70" s="177"/>
      <c r="S70" s="177"/>
      <c r="T70" s="177"/>
      <c r="U70" s="177"/>
      <c r="V70" s="177"/>
      <c r="W70" s="177"/>
      <c r="X70" s="177"/>
      <c r="Y70" s="177"/>
    </row>
    <row r="71" spans="1:29">
      <c r="A71" s="177"/>
      <c r="B71" s="177"/>
      <c r="C71" s="177"/>
      <c r="D71" s="177"/>
      <c r="E71" s="177" t="s">
        <v>132</v>
      </c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  <c r="R71" s="177"/>
      <c r="S71" s="177"/>
      <c r="T71" s="177"/>
      <c r="U71" s="177"/>
      <c r="V71" s="177"/>
      <c r="W71" s="177"/>
      <c r="X71" s="177"/>
      <c r="Y71" s="177"/>
    </row>
    <row r="72" spans="1:29">
      <c r="A72" s="177"/>
      <c r="B72" s="177"/>
      <c r="C72" s="203">
        <f>STDEV(E72:X72)</f>
        <v>35.372950039170959</v>
      </c>
      <c r="D72" s="177"/>
      <c r="E72" s="201">
        <v>1.24</v>
      </c>
      <c r="F72" s="201">
        <v>3.43</v>
      </c>
      <c r="G72" s="201">
        <v>7.05</v>
      </c>
      <c r="H72" s="201">
        <v>11.62</v>
      </c>
      <c r="I72" s="201">
        <v>16.68</v>
      </c>
      <c r="J72" s="201">
        <v>22.47</v>
      </c>
      <c r="K72" s="201">
        <v>28.48</v>
      </c>
      <c r="L72" s="201">
        <v>35.340000000000003</v>
      </c>
      <c r="M72" s="201">
        <v>42.33</v>
      </c>
      <c r="N72" s="201">
        <v>49.4</v>
      </c>
      <c r="O72" s="201">
        <v>56.54</v>
      </c>
      <c r="P72" s="201">
        <v>63.8</v>
      </c>
      <c r="Q72" s="201">
        <v>70.91</v>
      </c>
      <c r="R72" s="201">
        <v>77.760000000000005</v>
      </c>
      <c r="S72" s="201">
        <v>84.22</v>
      </c>
      <c r="T72" s="201">
        <v>89.98</v>
      </c>
      <c r="U72" s="201">
        <v>94.81</v>
      </c>
      <c r="V72" s="201">
        <v>97.89</v>
      </c>
      <c r="W72" s="201">
        <v>99.34</v>
      </c>
      <c r="X72" s="201">
        <v>100</v>
      </c>
      <c r="Y72" s="177"/>
    </row>
    <row r="73" spans="1:29">
      <c r="A73" s="177"/>
      <c r="B73" s="177"/>
      <c r="C73" s="177"/>
      <c r="D73" s="177"/>
      <c r="E73" s="201">
        <f>E72</f>
        <v>1.24</v>
      </c>
      <c r="F73" s="201">
        <f>F72-E72</f>
        <v>2.1900000000000004</v>
      </c>
      <c r="G73" s="201">
        <f t="shared" ref="G73:X73" si="35">G72-F72</f>
        <v>3.6199999999999997</v>
      </c>
      <c r="H73" s="201">
        <f t="shared" si="35"/>
        <v>4.5699999999999994</v>
      </c>
      <c r="I73" s="201">
        <f t="shared" si="35"/>
        <v>5.0600000000000005</v>
      </c>
      <c r="J73" s="201">
        <f t="shared" si="35"/>
        <v>5.7899999999999991</v>
      </c>
      <c r="K73" s="201">
        <f t="shared" si="35"/>
        <v>6.0100000000000016</v>
      </c>
      <c r="L73" s="201">
        <f t="shared" si="35"/>
        <v>6.860000000000003</v>
      </c>
      <c r="M73" s="201">
        <f t="shared" si="35"/>
        <v>6.9899999999999949</v>
      </c>
      <c r="N73" s="201">
        <f t="shared" si="35"/>
        <v>7.07</v>
      </c>
      <c r="O73" s="201">
        <f t="shared" si="35"/>
        <v>7.1400000000000006</v>
      </c>
      <c r="P73" s="201">
        <f t="shared" si="35"/>
        <v>7.259999999999998</v>
      </c>
      <c r="Q73" s="201">
        <f t="shared" si="35"/>
        <v>7.1099999999999994</v>
      </c>
      <c r="R73" s="201">
        <f t="shared" si="35"/>
        <v>6.8500000000000085</v>
      </c>
      <c r="S73" s="201">
        <f t="shared" si="35"/>
        <v>6.4599999999999937</v>
      </c>
      <c r="T73" s="201">
        <f t="shared" si="35"/>
        <v>5.7600000000000051</v>
      </c>
      <c r="U73" s="201">
        <f t="shared" si="35"/>
        <v>4.8299999999999983</v>
      </c>
      <c r="V73" s="201">
        <f t="shared" si="35"/>
        <v>3.0799999999999983</v>
      </c>
      <c r="W73" s="201">
        <f t="shared" si="35"/>
        <v>1.4500000000000028</v>
      </c>
      <c r="X73" s="201">
        <f t="shared" si="35"/>
        <v>0.65999999999999659</v>
      </c>
      <c r="Y73" s="177"/>
    </row>
    <row r="74" spans="1:29">
      <c r="A74" s="177"/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</row>
    <row r="75" spans="1:29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</row>
    <row r="76" spans="1:29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</row>
    <row r="77" spans="1:29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</row>
    <row r="78" spans="1:29">
      <c r="A78" s="177"/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</row>
    <row r="79" spans="1:29">
      <c r="A79" s="177"/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</row>
    <row r="80" spans="1:29">
      <c r="A80" s="177"/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</row>
    <row r="81" spans="1:25">
      <c r="A81" s="177"/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</row>
    <row r="82" spans="1:25">
      <c r="A82" s="177"/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</row>
    <row r="83" spans="1:25">
      <c r="A83" s="177"/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</row>
    <row r="84" spans="1:25">
      <c r="A84" s="177"/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</row>
    <row r="85" spans="1:25">
      <c r="A85" s="177"/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</row>
    <row r="86" spans="1:25">
      <c r="A86" s="177"/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</row>
    <row r="87" spans="1:25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</row>
    <row r="88" spans="1:25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</row>
    <row r="89" spans="1:25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</row>
    <row r="90" spans="1:25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</row>
    <row r="91" spans="1:25">
      <c r="A91" s="177"/>
      <c r="B91" s="177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</row>
    <row r="92" spans="1:25">
      <c r="A92" s="177"/>
      <c r="B92" s="177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</row>
    <row r="93" spans="1:25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</row>
    <row r="94" spans="1:25">
      <c r="A94" s="177"/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</row>
    <row r="95" spans="1:25">
      <c r="A95" s="177"/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</row>
    <row r="96" spans="1:25">
      <c r="A96" s="177"/>
      <c r="B96" s="177"/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</row>
    <row r="97" spans="1:25">
      <c r="A97" s="177"/>
      <c r="B97" s="177"/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</row>
    <row r="98" spans="1:25">
      <c r="A98" s="177"/>
      <c r="B98" s="177"/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</row>
    <row r="99" spans="1:25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</row>
    <row r="100" spans="1:25">
      <c r="A100" s="177"/>
      <c r="B100" s="177"/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</row>
    <row r="101" spans="1:25">
      <c r="A101" s="177"/>
      <c r="B101" s="177"/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</row>
    <row r="102" spans="1:25">
      <c r="A102" s="177"/>
      <c r="B102" s="177"/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</row>
    <row r="103" spans="1:25">
      <c r="A103" s="177"/>
      <c r="B103" s="177"/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</row>
    <row r="104" spans="1:25">
      <c r="A104" s="177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</row>
    <row r="105" spans="1:25">
      <c r="A105" s="177"/>
      <c r="B105" s="177"/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</row>
    <row r="106" spans="1:25">
      <c r="A106" s="177"/>
      <c r="B106" s="177"/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</row>
    <row r="107" spans="1:25">
      <c r="A107" s="177"/>
      <c r="B107" s="177"/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</row>
  </sheetData>
  <dataValidations disablePrompts="1" count="1">
    <dataValidation type="list" allowBlank="1" showInputMessage="1" showErrorMessage="1" promptTitle="Construction Duration" prompt="18, 20, 22, 24 months" sqref="D2" xr:uid="{AAC25F2F-89C2-BF47-8874-E2CE09A8468C}">
      <formula1>"18,20,22,24"</formula1>
    </dataValidation>
  </dataValidations>
  <pageMargins left="0.7" right="0.7" top="0.75" bottom="0.75" header="0.3" footer="0.3"/>
  <pageSetup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BB48-40FC-DA48-98BC-F1C22D447F45}">
  <sheetPr codeName="Sheet4">
    <tabColor indexed="29"/>
    <pageSetUpPr fitToPage="1"/>
  </sheetPr>
  <dimension ref="A1:AO282"/>
  <sheetViews>
    <sheetView zoomScale="106" workbookViewId="0">
      <selection activeCell="J24" sqref="J24"/>
    </sheetView>
  </sheetViews>
  <sheetFormatPr baseColWidth="10" defaultColWidth="10.1640625" defaultRowHeight="13"/>
  <cols>
    <col min="1" max="1" width="5" style="179" customWidth="1"/>
    <col min="2" max="2" width="38.6640625" style="179" customWidth="1"/>
    <col min="3" max="3" width="10.5" style="179" customWidth="1"/>
    <col min="4" max="4" width="14.1640625" style="179" customWidth="1"/>
    <col min="5" max="6" width="12.1640625" style="179" customWidth="1"/>
    <col min="7" max="7" width="10.1640625" style="179" customWidth="1"/>
    <col min="8" max="8" width="10.1640625" style="179" bestFit="1" customWidth="1"/>
    <col min="9" max="9" width="10" style="179" bestFit="1" customWidth="1"/>
    <col min="10" max="12" width="9.6640625" style="179" bestFit="1" customWidth="1"/>
    <col min="13" max="15" width="10.1640625" style="179" bestFit="1" customWidth="1"/>
    <col min="16" max="16" width="10.33203125" style="179" bestFit="1" customWidth="1"/>
    <col min="17" max="19" width="10.1640625" style="179" bestFit="1" customWidth="1"/>
    <col min="20" max="29" width="10.33203125" style="179" bestFit="1" customWidth="1"/>
    <col min="30" max="16384" width="10.1640625" style="179"/>
  </cols>
  <sheetData>
    <row r="1" spans="1:34">
      <c r="A1" s="177"/>
      <c r="B1" s="178" t="str">
        <f>'Grand Prairie- Exec Summary (1)'!B2</f>
        <v xml:space="preserve">Lofts at Grand prairie </v>
      </c>
      <c r="C1" s="177"/>
      <c r="D1" s="177"/>
      <c r="E1" s="204" t="s">
        <v>315</v>
      </c>
      <c r="F1" s="177"/>
      <c r="G1" s="204" t="s">
        <v>320</v>
      </c>
      <c r="H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</row>
    <row r="2" spans="1:34">
      <c r="A2" s="177"/>
      <c r="B2" s="178"/>
      <c r="C2" s="177"/>
      <c r="D2" s="204" t="s">
        <v>316</v>
      </c>
      <c r="E2" s="204" t="s">
        <v>311</v>
      </c>
      <c r="F2" s="204" t="s">
        <v>312</v>
      </c>
      <c r="G2" s="204" t="s">
        <v>133</v>
      </c>
      <c r="H2" s="205" t="s">
        <v>134</v>
      </c>
      <c r="I2" s="189">
        <v>0.05</v>
      </c>
      <c r="J2" s="205" t="s">
        <v>135</v>
      </c>
      <c r="K2" s="189">
        <f>'Grand Prairie- Exec Summary (1)'!C18</f>
        <v>0.03</v>
      </c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</row>
    <row r="3" spans="1:34">
      <c r="A3" s="177"/>
      <c r="B3" s="204" t="s">
        <v>136</v>
      </c>
      <c r="C3" s="177"/>
      <c r="D3" s="183">
        <v>1</v>
      </c>
      <c r="E3" s="195">
        <v>2</v>
      </c>
      <c r="F3" s="183">
        <v>3</v>
      </c>
      <c r="G3" s="183">
        <v>4</v>
      </c>
      <c r="H3" s="183">
        <v>5</v>
      </c>
      <c r="I3" s="183">
        <f t="shared" ref="I3:AF3" si="0">H3+1</f>
        <v>6</v>
      </c>
      <c r="J3" s="183">
        <f t="shared" si="0"/>
        <v>7</v>
      </c>
      <c r="K3" s="183">
        <f t="shared" si="0"/>
        <v>8</v>
      </c>
      <c r="L3" s="183">
        <f t="shared" si="0"/>
        <v>9</v>
      </c>
      <c r="M3" s="183">
        <f t="shared" si="0"/>
        <v>10</v>
      </c>
      <c r="N3" s="183">
        <f t="shared" si="0"/>
        <v>11</v>
      </c>
      <c r="O3" s="183">
        <f t="shared" si="0"/>
        <v>12</v>
      </c>
      <c r="P3" s="183">
        <f t="shared" si="0"/>
        <v>13</v>
      </c>
      <c r="Q3" s="183">
        <f t="shared" si="0"/>
        <v>14</v>
      </c>
      <c r="R3" s="183">
        <f t="shared" si="0"/>
        <v>15</v>
      </c>
      <c r="S3" s="183">
        <f t="shared" si="0"/>
        <v>16</v>
      </c>
      <c r="T3" s="183">
        <f t="shared" si="0"/>
        <v>17</v>
      </c>
      <c r="U3" s="183">
        <f t="shared" si="0"/>
        <v>18</v>
      </c>
      <c r="V3" s="183">
        <f t="shared" si="0"/>
        <v>19</v>
      </c>
      <c r="W3" s="183">
        <f t="shared" si="0"/>
        <v>20</v>
      </c>
      <c r="X3" s="183">
        <f t="shared" si="0"/>
        <v>21</v>
      </c>
      <c r="Y3" s="183">
        <f t="shared" si="0"/>
        <v>22</v>
      </c>
      <c r="Z3" s="183">
        <f t="shared" si="0"/>
        <v>23</v>
      </c>
      <c r="AA3" s="183">
        <f t="shared" si="0"/>
        <v>24</v>
      </c>
      <c r="AB3" s="183">
        <f t="shared" si="0"/>
        <v>25</v>
      </c>
      <c r="AC3" s="183">
        <f t="shared" si="0"/>
        <v>26</v>
      </c>
      <c r="AD3" s="183">
        <f t="shared" si="0"/>
        <v>27</v>
      </c>
      <c r="AE3" s="183">
        <f t="shared" si="0"/>
        <v>28</v>
      </c>
      <c r="AF3" s="183">
        <f t="shared" si="0"/>
        <v>29</v>
      </c>
      <c r="AG3" s="177"/>
    </row>
    <row r="4" spans="1:34">
      <c r="A4" s="177"/>
      <c r="B4" s="178" t="s">
        <v>137</v>
      </c>
      <c r="C4" s="573">
        <v>0.02</v>
      </c>
      <c r="D4" s="206"/>
      <c r="E4" s="206"/>
      <c r="F4" s="20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</row>
    <row r="5" spans="1:34">
      <c r="A5" s="177"/>
      <c r="B5" s="177" t="s">
        <v>138</v>
      </c>
      <c r="C5" s="177"/>
      <c r="D5" s="177"/>
      <c r="E5" s="177">
        <f>SUMIF($C$57:$X$57,"&lt;=10",C59:X59)</f>
        <v>1504272</v>
      </c>
      <c r="F5" s="177">
        <f>Y59</f>
        <v>6346660.3200000012</v>
      </c>
      <c r="G5" s="177">
        <f>'Grand Prairie- Exec Summary (1)'!G38*(1+C4)</f>
        <v>8369222.4000000004</v>
      </c>
      <c r="H5" s="177">
        <f>G5*(1+$I$2)</f>
        <v>8787683.5200000014</v>
      </c>
      <c r="I5" s="177">
        <f t="shared" ref="I5:AE5" si="1">H5*(1+$I$2)</f>
        <v>9227067.6960000023</v>
      </c>
      <c r="J5" s="177">
        <f t="shared" si="1"/>
        <v>9688421.0808000024</v>
      </c>
      <c r="K5" s="177">
        <f t="shared" si="1"/>
        <v>10172842.134840002</v>
      </c>
      <c r="L5" s="177">
        <f t="shared" si="1"/>
        <v>10681484.241582002</v>
      </c>
      <c r="M5" s="177">
        <f t="shared" si="1"/>
        <v>11215558.453661103</v>
      </c>
      <c r="N5" s="177">
        <f t="shared" si="1"/>
        <v>11776336.376344159</v>
      </c>
      <c r="O5" s="177">
        <f t="shared" si="1"/>
        <v>12365153.195161367</v>
      </c>
      <c r="P5" s="177">
        <f t="shared" si="1"/>
        <v>12983410.854919435</v>
      </c>
      <c r="Q5" s="177">
        <f t="shared" si="1"/>
        <v>13632581.397665408</v>
      </c>
      <c r="R5" s="177">
        <f t="shared" si="1"/>
        <v>14314210.467548678</v>
      </c>
      <c r="S5" s="177">
        <f t="shared" si="1"/>
        <v>15029920.990926113</v>
      </c>
      <c r="T5" s="177">
        <f t="shared" si="1"/>
        <v>15781417.04047242</v>
      </c>
      <c r="U5" s="177">
        <f t="shared" si="1"/>
        <v>16570487.892496042</v>
      </c>
      <c r="V5" s="177">
        <f t="shared" si="1"/>
        <v>17399012.287120845</v>
      </c>
      <c r="W5" s="177">
        <f t="shared" si="1"/>
        <v>18268962.90147689</v>
      </c>
      <c r="X5" s="177">
        <f t="shared" si="1"/>
        <v>19182411.046550736</v>
      </c>
      <c r="Y5" s="177">
        <f t="shared" si="1"/>
        <v>20141531.598878272</v>
      </c>
      <c r="Z5" s="177">
        <f t="shared" si="1"/>
        <v>21148608.178822186</v>
      </c>
      <c r="AA5" s="177">
        <f t="shared" si="1"/>
        <v>22206038.587763295</v>
      </c>
      <c r="AB5" s="177">
        <f t="shared" si="1"/>
        <v>23316340.51715146</v>
      </c>
      <c r="AC5" s="177">
        <f t="shared" si="1"/>
        <v>24482157.543009035</v>
      </c>
      <c r="AD5" s="177">
        <f t="shared" si="1"/>
        <v>25706265.420159489</v>
      </c>
      <c r="AE5" s="177">
        <f t="shared" si="1"/>
        <v>26991578.691167466</v>
      </c>
      <c r="AF5" s="177"/>
      <c r="AG5" s="177"/>
    </row>
    <row r="6" spans="1:34">
      <c r="A6" s="177"/>
      <c r="B6" s="186" t="s">
        <v>139</v>
      </c>
      <c r="C6" s="208">
        <v>0.05</v>
      </c>
      <c r="D6" s="208"/>
      <c r="E6" s="208"/>
      <c r="F6" s="190"/>
      <c r="G6" s="186">
        <f>-G5*$C$6</f>
        <v>-418461.12000000005</v>
      </c>
      <c r="H6" s="186">
        <f>-H5*$C$6</f>
        <v>-439384.17600000009</v>
      </c>
      <c r="I6" s="186">
        <f t="shared" ref="I6:AE6" si="2">-I5*$C$6</f>
        <v>-461353.38480000012</v>
      </c>
      <c r="J6" s="186">
        <f t="shared" si="2"/>
        <v>-484421.05404000013</v>
      </c>
      <c r="K6" s="186">
        <f t="shared" si="2"/>
        <v>-508642.10674200015</v>
      </c>
      <c r="L6" s="186">
        <f t="shared" si="2"/>
        <v>-534074.21207910019</v>
      </c>
      <c r="M6" s="186">
        <f t="shared" si="2"/>
        <v>-560777.92268305516</v>
      </c>
      <c r="N6" s="186">
        <f t="shared" si="2"/>
        <v>-588816.81881720794</v>
      </c>
      <c r="O6" s="186">
        <f t="shared" si="2"/>
        <v>-618257.65975806839</v>
      </c>
      <c r="P6" s="186">
        <f t="shared" si="2"/>
        <v>-649170.54274597182</v>
      </c>
      <c r="Q6" s="186">
        <f t="shared" si="2"/>
        <v>-681629.06988327042</v>
      </c>
      <c r="R6" s="186">
        <f t="shared" si="2"/>
        <v>-715710.52337743388</v>
      </c>
      <c r="S6" s="186">
        <f t="shared" si="2"/>
        <v>-751496.04954630567</v>
      </c>
      <c r="T6" s="186">
        <f t="shared" si="2"/>
        <v>-789070.85202362109</v>
      </c>
      <c r="U6" s="186">
        <f t="shared" si="2"/>
        <v>-828524.39462480217</v>
      </c>
      <c r="V6" s="186">
        <f t="shared" si="2"/>
        <v>-869950.61435604235</v>
      </c>
      <c r="W6" s="186">
        <f t="shared" si="2"/>
        <v>-913448.14507384459</v>
      </c>
      <c r="X6" s="186">
        <f t="shared" si="2"/>
        <v>-959120.55232753686</v>
      </c>
      <c r="Y6" s="186">
        <f t="shared" si="2"/>
        <v>-1007076.5799439136</v>
      </c>
      <c r="Z6" s="186">
        <f t="shared" si="2"/>
        <v>-1057430.4089411094</v>
      </c>
      <c r="AA6" s="186">
        <f t="shared" si="2"/>
        <v>-1110301.9293881648</v>
      </c>
      <c r="AB6" s="186">
        <f t="shared" si="2"/>
        <v>-1165817.0258575731</v>
      </c>
      <c r="AC6" s="186">
        <f t="shared" si="2"/>
        <v>-1224107.8771504518</v>
      </c>
      <c r="AD6" s="186">
        <f t="shared" si="2"/>
        <v>-1285313.2710079746</v>
      </c>
      <c r="AE6" s="186">
        <f t="shared" si="2"/>
        <v>-1349578.9345583734</v>
      </c>
      <c r="AF6" s="177"/>
      <c r="AG6" s="177"/>
    </row>
    <row r="7" spans="1:34">
      <c r="A7" s="177"/>
      <c r="B7" s="186" t="s">
        <v>86</v>
      </c>
      <c r="C7" s="186"/>
      <c r="D7" s="186"/>
      <c r="E7" s="576">
        <f>SUMIF($C$57:$X$57,"&lt;=10",C60:X60)</f>
        <v>168117.4</v>
      </c>
      <c r="F7" s="577">
        <f>Y60</f>
        <v>709302.59400000016</v>
      </c>
      <c r="G7" s="186">
        <f>'Grand Prairie- Exec Summary (1)'!F52*(1+C4)</f>
        <v>935344.08</v>
      </c>
      <c r="H7" s="186">
        <f>G7*(1+I2)</f>
        <v>982111.28399999999</v>
      </c>
      <c r="I7" s="186">
        <f>H7*(1+$I$2)</f>
        <v>1031216.8482</v>
      </c>
      <c r="J7" s="186">
        <f t="shared" ref="J7:AE7" si="3">I7*(1+$I$2)</f>
        <v>1082777.6906100002</v>
      </c>
      <c r="K7" s="186">
        <f t="shared" si="3"/>
        <v>1136916.5751405002</v>
      </c>
      <c r="L7" s="186">
        <f t="shared" si="3"/>
        <v>1193762.4038975253</v>
      </c>
      <c r="M7" s="186">
        <f t="shared" si="3"/>
        <v>1253450.5240924016</v>
      </c>
      <c r="N7" s="186">
        <f t="shared" si="3"/>
        <v>1316123.0502970216</v>
      </c>
      <c r="O7" s="186">
        <f t="shared" si="3"/>
        <v>1381929.2028118728</v>
      </c>
      <c r="P7" s="186">
        <f t="shared" si="3"/>
        <v>1451025.6629524666</v>
      </c>
      <c r="Q7" s="186">
        <f t="shared" si="3"/>
        <v>1523576.9461000899</v>
      </c>
      <c r="R7" s="186">
        <f t="shared" si="3"/>
        <v>1599755.7934050944</v>
      </c>
      <c r="S7" s="186">
        <f t="shared" si="3"/>
        <v>1679743.5830753492</v>
      </c>
      <c r="T7" s="186">
        <f t="shared" si="3"/>
        <v>1763730.7622291169</v>
      </c>
      <c r="U7" s="186">
        <f t="shared" si="3"/>
        <v>1851917.3003405728</v>
      </c>
      <c r="V7" s="186">
        <f t="shared" si="3"/>
        <v>1944513.1653576016</v>
      </c>
      <c r="W7" s="186">
        <f t="shared" si="3"/>
        <v>2041738.8236254817</v>
      </c>
      <c r="X7" s="186">
        <f t="shared" si="3"/>
        <v>2143825.7648067558</v>
      </c>
      <c r="Y7" s="186">
        <f t="shared" si="3"/>
        <v>2251017.0530470936</v>
      </c>
      <c r="Z7" s="186">
        <f t="shared" si="3"/>
        <v>2363567.9056994482</v>
      </c>
      <c r="AA7" s="186">
        <f t="shared" si="3"/>
        <v>2481746.3009844208</v>
      </c>
      <c r="AB7" s="186">
        <f t="shared" si="3"/>
        <v>2605833.6160336421</v>
      </c>
      <c r="AC7" s="186">
        <f t="shared" si="3"/>
        <v>2736125.2968353243</v>
      </c>
      <c r="AD7" s="186">
        <f t="shared" si="3"/>
        <v>2872931.5616770908</v>
      </c>
      <c r="AE7" s="186">
        <f t="shared" si="3"/>
        <v>3016578.1397609455</v>
      </c>
      <c r="AF7" s="177"/>
      <c r="AG7" s="177"/>
    </row>
    <row r="8" spans="1:34">
      <c r="A8" s="177"/>
      <c r="B8" s="186" t="s">
        <v>140</v>
      </c>
      <c r="C8" s="155">
        <f>C6</f>
        <v>0.05</v>
      </c>
      <c r="D8" s="155"/>
      <c r="E8" s="155"/>
      <c r="F8" s="155"/>
      <c r="G8" s="186">
        <f>-C8*G7</f>
        <v>-46767.203999999998</v>
      </c>
      <c r="H8" s="186">
        <f>-$C$8*H7</f>
        <v>-49105.564200000001</v>
      </c>
      <c r="I8" s="186">
        <f t="shared" ref="I8:AE8" si="4">-$C$8*I7</f>
        <v>-51560.842410000005</v>
      </c>
      <c r="J8" s="186">
        <f t="shared" si="4"/>
        <v>-54138.884530500014</v>
      </c>
      <c r="K8" s="186">
        <f t="shared" si="4"/>
        <v>-56845.82875702501</v>
      </c>
      <c r="L8" s="186">
        <f t="shared" si="4"/>
        <v>-59688.120194876268</v>
      </c>
      <c r="M8" s="186">
        <f t="shared" si="4"/>
        <v>-62672.526204620081</v>
      </c>
      <c r="N8" s="186">
        <f t="shared" si="4"/>
        <v>-65806.152514851085</v>
      </c>
      <c r="O8" s="186">
        <f t="shared" si="4"/>
        <v>-69096.460140593641</v>
      </c>
      <c r="P8" s="186">
        <f t="shared" si="4"/>
        <v>-72551.28314762334</v>
      </c>
      <c r="Q8" s="186">
        <f t="shared" si="4"/>
        <v>-76178.8473050045</v>
      </c>
      <c r="R8" s="186">
        <f t="shared" si="4"/>
        <v>-79987.78967025473</v>
      </c>
      <c r="S8" s="186">
        <f t="shared" si="4"/>
        <v>-83987.179153767473</v>
      </c>
      <c r="T8" s="186">
        <f t="shared" si="4"/>
        <v>-88186.538111455855</v>
      </c>
      <c r="U8" s="186">
        <f t="shared" si="4"/>
        <v>-92595.865017028642</v>
      </c>
      <c r="V8" s="186">
        <f t="shared" si="4"/>
        <v>-97225.658267880091</v>
      </c>
      <c r="W8" s="186">
        <f t="shared" si="4"/>
        <v>-102086.94118127409</v>
      </c>
      <c r="X8" s="186">
        <f t="shared" si="4"/>
        <v>-107191.2882403378</v>
      </c>
      <c r="Y8" s="186">
        <f t="shared" si="4"/>
        <v>-112550.85265235469</v>
      </c>
      <c r="Z8" s="186">
        <f t="shared" si="4"/>
        <v>-118178.39528497242</v>
      </c>
      <c r="AA8" s="186">
        <f t="shared" si="4"/>
        <v>-124087.31504922104</v>
      </c>
      <c r="AB8" s="186">
        <f t="shared" si="4"/>
        <v>-130291.68080168212</v>
      </c>
      <c r="AC8" s="186">
        <f t="shared" si="4"/>
        <v>-136806.26484176621</v>
      </c>
      <c r="AD8" s="186">
        <f t="shared" si="4"/>
        <v>-143646.57808385455</v>
      </c>
      <c r="AE8" s="186">
        <f t="shared" si="4"/>
        <v>-150828.90698804727</v>
      </c>
      <c r="AF8" s="177"/>
      <c r="AG8" s="177"/>
    </row>
    <row r="9" spans="1:34" hidden="1">
      <c r="A9" s="177"/>
      <c r="B9" s="186" t="s">
        <v>141</v>
      </c>
      <c r="C9" s="155"/>
      <c r="D9" s="155"/>
      <c r="E9" s="155"/>
      <c r="F9" s="155"/>
      <c r="G9" s="186">
        <f>'Grand Prairie- Exec Summary (1)'!D44</f>
        <v>0</v>
      </c>
      <c r="H9" s="186">
        <f>G9*(1+I2)</f>
        <v>0</v>
      </c>
      <c r="I9" s="186">
        <f t="shared" ref="I9:AE9" si="5">H9*(1+$I$2)</f>
        <v>0</v>
      </c>
      <c r="J9" s="186">
        <f t="shared" si="5"/>
        <v>0</v>
      </c>
      <c r="K9" s="186">
        <f t="shared" si="5"/>
        <v>0</v>
      </c>
      <c r="L9" s="186">
        <f t="shared" si="5"/>
        <v>0</v>
      </c>
      <c r="M9" s="186">
        <f t="shared" si="5"/>
        <v>0</v>
      </c>
      <c r="N9" s="186">
        <f t="shared" si="5"/>
        <v>0</v>
      </c>
      <c r="O9" s="186">
        <f t="shared" si="5"/>
        <v>0</v>
      </c>
      <c r="P9" s="186">
        <f t="shared" si="5"/>
        <v>0</v>
      </c>
      <c r="Q9" s="186">
        <f t="shared" si="5"/>
        <v>0</v>
      </c>
      <c r="R9" s="186">
        <f t="shared" si="5"/>
        <v>0</v>
      </c>
      <c r="S9" s="186">
        <f t="shared" si="5"/>
        <v>0</v>
      </c>
      <c r="T9" s="186">
        <f t="shared" si="5"/>
        <v>0</v>
      </c>
      <c r="U9" s="186">
        <f t="shared" si="5"/>
        <v>0</v>
      </c>
      <c r="V9" s="186">
        <f t="shared" si="5"/>
        <v>0</v>
      </c>
      <c r="W9" s="186">
        <f t="shared" si="5"/>
        <v>0</v>
      </c>
      <c r="X9" s="186">
        <f t="shared" si="5"/>
        <v>0</v>
      </c>
      <c r="Y9" s="186">
        <f t="shared" si="5"/>
        <v>0</v>
      </c>
      <c r="Z9" s="186">
        <f t="shared" si="5"/>
        <v>0</v>
      </c>
      <c r="AA9" s="186">
        <f t="shared" si="5"/>
        <v>0</v>
      </c>
      <c r="AB9" s="186">
        <f t="shared" si="5"/>
        <v>0</v>
      </c>
      <c r="AC9" s="186">
        <f t="shared" si="5"/>
        <v>0</v>
      </c>
      <c r="AD9" s="186">
        <f t="shared" si="5"/>
        <v>0</v>
      </c>
      <c r="AE9" s="186">
        <f t="shared" si="5"/>
        <v>0</v>
      </c>
      <c r="AF9" s="177"/>
      <c r="AG9" s="177"/>
    </row>
    <row r="10" spans="1:34" hidden="1">
      <c r="A10" s="177"/>
      <c r="B10" s="186" t="s">
        <v>142</v>
      </c>
      <c r="C10" s="209">
        <v>0.2</v>
      </c>
      <c r="D10" s="209"/>
      <c r="E10" s="209"/>
      <c r="F10" s="155"/>
      <c r="G10" s="186">
        <f>-C10*G9</f>
        <v>0</v>
      </c>
      <c r="H10" s="186">
        <f>-$C$10*H9</f>
        <v>0</v>
      </c>
      <c r="I10" s="186">
        <f t="shared" ref="I10:AE10" si="6">-$C$10*I9</f>
        <v>0</v>
      </c>
      <c r="J10" s="186">
        <f t="shared" si="6"/>
        <v>0</v>
      </c>
      <c r="K10" s="186">
        <f t="shared" si="6"/>
        <v>0</v>
      </c>
      <c r="L10" s="186">
        <f t="shared" si="6"/>
        <v>0</v>
      </c>
      <c r="M10" s="186">
        <f t="shared" si="6"/>
        <v>0</v>
      </c>
      <c r="N10" s="186">
        <f t="shared" si="6"/>
        <v>0</v>
      </c>
      <c r="O10" s="186">
        <f t="shared" si="6"/>
        <v>0</v>
      </c>
      <c r="P10" s="186">
        <f t="shared" si="6"/>
        <v>0</v>
      </c>
      <c r="Q10" s="186">
        <f t="shared" si="6"/>
        <v>0</v>
      </c>
      <c r="R10" s="186">
        <f t="shared" si="6"/>
        <v>0</v>
      </c>
      <c r="S10" s="186">
        <f t="shared" si="6"/>
        <v>0</v>
      </c>
      <c r="T10" s="186">
        <f t="shared" si="6"/>
        <v>0</v>
      </c>
      <c r="U10" s="186">
        <f t="shared" si="6"/>
        <v>0</v>
      </c>
      <c r="V10" s="186">
        <f t="shared" si="6"/>
        <v>0</v>
      </c>
      <c r="W10" s="186">
        <f t="shared" si="6"/>
        <v>0</v>
      </c>
      <c r="X10" s="186">
        <f t="shared" si="6"/>
        <v>0</v>
      </c>
      <c r="Y10" s="186">
        <f t="shared" si="6"/>
        <v>0</v>
      </c>
      <c r="Z10" s="186">
        <f t="shared" si="6"/>
        <v>0</v>
      </c>
      <c r="AA10" s="186">
        <f t="shared" si="6"/>
        <v>0</v>
      </c>
      <c r="AB10" s="186">
        <f t="shared" si="6"/>
        <v>0</v>
      </c>
      <c r="AC10" s="186">
        <f t="shared" si="6"/>
        <v>0</v>
      </c>
      <c r="AD10" s="186">
        <f t="shared" si="6"/>
        <v>0</v>
      </c>
      <c r="AE10" s="186">
        <f t="shared" si="6"/>
        <v>0</v>
      </c>
      <c r="AF10" s="177"/>
      <c r="AG10" s="177"/>
    </row>
    <row r="11" spans="1:34">
      <c r="A11" s="177"/>
      <c r="B11" s="186" t="s">
        <v>345</v>
      </c>
      <c r="C11" s="187"/>
      <c r="D11" s="187"/>
      <c r="E11" s="186">
        <f>SUM(E5:E10)</f>
        <v>1672389.4</v>
      </c>
      <c r="F11" s="186">
        <f>SUM(F5:F10)</f>
        <v>7055962.9140000017</v>
      </c>
      <c r="G11" s="186">
        <f>SUM(G5:G10)</f>
        <v>8839338.1559999995</v>
      </c>
      <c r="H11" s="186">
        <f t="shared" ref="H11:AE11" si="7">SUM(H5:H10)</f>
        <v>9281305.0638000015</v>
      </c>
      <c r="I11" s="186">
        <f t="shared" si="7"/>
        <v>9745370.316990003</v>
      </c>
      <c r="J11" s="186">
        <f t="shared" si="7"/>
        <v>10232638.832839504</v>
      </c>
      <c r="K11" s="186">
        <f t="shared" si="7"/>
        <v>10744270.774481477</v>
      </c>
      <c r="L11" s="186">
        <f t="shared" si="7"/>
        <v>11281484.313205551</v>
      </c>
      <c r="M11" s="186">
        <f t="shared" si="7"/>
        <v>11845558.528865831</v>
      </c>
      <c r="N11" s="186">
        <f t="shared" si="7"/>
        <v>12437836.455309123</v>
      </c>
      <c r="O11" s="186">
        <f t="shared" si="7"/>
        <v>13059728.278074577</v>
      </c>
      <c r="P11" s="186">
        <f t="shared" si="7"/>
        <v>13712714.691978306</v>
      </c>
      <c r="Q11" s="186">
        <f t="shared" si="7"/>
        <v>14398350.426577222</v>
      </c>
      <c r="R11" s="186">
        <f t="shared" si="7"/>
        <v>15118267.947906084</v>
      </c>
      <c r="S11" s="186">
        <f t="shared" si="7"/>
        <v>15874181.345301388</v>
      </c>
      <c r="T11" s="186">
        <f t="shared" si="7"/>
        <v>16667890.412566459</v>
      </c>
      <c r="U11" s="186">
        <f t="shared" si="7"/>
        <v>17501284.933194783</v>
      </c>
      <c r="V11" s="186">
        <f t="shared" si="7"/>
        <v>18376349.179854523</v>
      </c>
      <c r="W11" s="186">
        <f t="shared" si="7"/>
        <v>19295166.638847254</v>
      </c>
      <c r="X11" s="186">
        <f t="shared" si="7"/>
        <v>20259924.970789615</v>
      </c>
      <c r="Y11" s="186">
        <f t="shared" si="7"/>
        <v>21272921.219329096</v>
      </c>
      <c r="Z11" s="186">
        <f t="shared" si="7"/>
        <v>22336567.280295551</v>
      </c>
      <c r="AA11" s="186">
        <f t="shared" si="7"/>
        <v>23453395.644310329</v>
      </c>
      <c r="AB11" s="186">
        <f t="shared" si="7"/>
        <v>24626065.42652585</v>
      </c>
      <c r="AC11" s="186">
        <f t="shared" si="7"/>
        <v>25857368.697852142</v>
      </c>
      <c r="AD11" s="186">
        <f t="shared" si="7"/>
        <v>27150237.132744752</v>
      </c>
      <c r="AE11" s="186">
        <f t="shared" si="7"/>
        <v>28507748.989381991</v>
      </c>
      <c r="AF11" s="177"/>
      <c r="AG11" s="177"/>
    </row>
    <row r="12" spans="1:34" ht="14" thickBot="1">
      <c r="A12" s="177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177"/>
      <c r="AG12" s="177"/>
    </row>
    <row r="13" spans="1:34" ht="14" thickTop="1">
      <c r="A13" s="177"/>
      <c r="B13" s="177" t="s">
        <v>143</v>
      </c>
      <c r="C13" s="177"/>
      <c r="D13" s="177"/>
      <c r="E13" s="177">
        <f>E11</f>
        <v>1672389.4</v>
      </c>
      <c r="F13" s="177">
        <f>F11</f>
        <v>7055962.9140000017</v>
      </c>
      <c r="G13" s="177">
        <f>G11</f>
        <v>8839338.1559999995</v>
      </c>
      <c r="H13" s="177">
        <f t="shared" ref="H13:AE13" si="8">H11</f>
        <v>9281305.0638000015</v>
      </c>
      <c r="I13" s="177">
        <f t="shared" si="8"/>
        <v>9745370.316990003</v>
      </c>
      <c r="J13" s="177">
        <f t="shared" si="8"/>
        <v>10232638.832839504</v>
      </c>
      <c r="K13" s="177">
        <f t="shared" si="8"/>
        <v>10744270.774481477</v>
      </c>
      <c r="L13" s="177">
        <f t="shared" si="8"/>
        <v>11281484.313205551</v>
      </c>
      <c r="M13" s="177">
        <f t="shared" si="8"/>
        <v>11845558.528865831</v>
      </c>
      <c r="N13" s="177">
        <f t="shared" si="8"/>
        <v>12437836.455309123</v>
      </c>
      <c r="O13" s="177">
        <f t="shared" si="8"/>
        <v>13059728.278074577</v>
      </c>
      <c r="P13" s="177">
        <f t="shared" si="8"/>
        <v>13712714.691978306</v>
      </c>
      <c r="Q13" s="177">
        <f t="shared" si="8"/>
        <v>14398350.426577222</v>
      </c>
      <c r="R13" s="177">
        <f t="shared" si="8"/>
        <v>15118267.947906084</v>
      </c>
      <c r="S13" s="177">
        <f t="shared" si="8"/>
        <v>15874181.345301388</v>
      </c>
      <c r="T13" s="177">
        <f t="shared" si="8"/>
        <v>16667890.412566459</v>
      </c>
      <c r="U13" s="177">
        <f t="shared" si="8"/>
        <v>17501284.933194783</v>
      </c>
      <c r="V13" s="177">
        <f t="shared" si="8"/>
        <v>18376349.179854523</v>
      </c>
      <c r="W13" s="177">
        <f t="shared" si="8"/>
        <v>19295166.638847254</v>
      </c>
      <c r="X13" s="177">
        <f t="shared" si="8"/>
        <v>20259924.970789615</v>
      </c>
      <c r="Y13" s="177">
        <f t="shared" si="8"/>
        <v>21272921.219329096</v>
      </c>
      <c r="Z13" s="177">
        <f t="shared" si="8"/>
        <v>22336567.280295551</v>
      </c>
      <c r="AA13" s="177">
        <f t="shared" si="8"/>
        <v>23453395.644310329</v>
      </c>
      <c r="AB13" s="177">
        <f t="shared" si="8"/>
        <v>24626065.42652585</v>
      </c>
      <c r="AC13" s="177">
        <f t="shared" si="8"/>
        <v>25857368.697852142</v>
      </c>
      <c r="AD13" s="177">
        <f t="shared" si="8"/>
        <v>27150237.132744752</v>
      </c>
      <c r="AE13" s="177">
        <f t="shared" si="8"/>
        <v>28507748.989381991</v>
      </c>
      <c r="AF13" s="177"/>
      <c r="AG13" s="177"/>
    </row>
    <row r="14" spans="1:34">
      <c r="A14" s="177"/>
      <c r="B14" s="177"/>
      <c r="C14" s="177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</row>
    <row r="15" spans="1:34">
      <c r="A15" s="177"/>
      <c r="B15" s="194" t="s">
        <v>102</v>
      </c>
      <c r="C15" s="183">
        <f>'Grand Prairie- Exec Summary (1)'!C38</f>
        <v>348</v>
      </c>
      <c r="D15" s="183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77"/>
      <c r="AG15" s="177"/>
    </row>
    <row r="16" spans="1:34">
      <c r="A16" s="177"/>
      <c r="B16" s="186"/>
      <c r="C16" s="211">
        <v>0</v>
      </c>
      <c r="D16" s="211"/>
      <c r="E16" s="211"/>
      <c r="F16" s="480"/>
      <c r="G16" s="186">
        <v>0</v>
      </c>
      <c r="H16" s="186">
        <v>0</v>
      </c>
      <c r="I16" s="186">
        <v>0</v>
      </c>
      <c r="J16" s="186">
        <v>0</v>
      </c>
      <c r="K16" s="186">
        <v>0</v>
      </c>
      <c r="L16" s="186">
        <v>0</v>
      </c>
      <c r="M16" s="186">
        <v>0</v>
      </c>
      <c r="N16" s="186">
        <v>0</v>
      </c>
      <c r="O16" s="186">
        <v>0</v>
      </c>
      <c r="P16" s="186">
        <v>0</v>
      </c>
      <c r="Q16" s="186">
        <v>0</v>
      </c>
      <c r="R16" s="186">
        <v>0</v>
      </c>
      <c r="S16" s="186">
        <v>0</v>
      </c>
      <c r="T16" s="186">
        <v>0</v>
      </c>
      <c r="U16" s="186">
        <v>0</v>
      </c>
      <c r="V16" s="186">
        <v>0</v>
      </c>
      <c r="W16" s="186">
        <v>0</v>
      </c>
      <c r="X16" s="186">
        <v>0</v>
      </c>
      <c r="Y16" s="186">
        <v>0</v>
      </c>
      <c r="Z16" s="186">
        <v>0</v>
      </c>
      <c r="AA16" s="186">
        <v>0</v>
      </c>
      <c r="AB16" s="186">
        <v>0</v>
      </c>
      <c r="AC16" s="186">
        <v>0</v>
      </c>
      <c r="AD16" s="186">
        <v>0</v>
      </c>
      <c r="AE16" s="186">
        <v>0</v>
      </c>
      <c r="AF16" s="177"/>
      <c r="AG16" s="177"/>
    </row>
    <row r="17" spans="1:33">
      <c r="A17" s="177"/>
      <c r="B17" s="186" t="s">
        <v>144</v>
      </c>
      <c r="C17" s="190">
        <v>0.03</v>
      </c>
      <c r="D17" s="190"/>
      <c r="E17" s="186">
        <f>$C$17*E11</f>
        <v>50171.681999999993</v>
      </c>
      <c r="F17" s="186">
        <f>$C$17*F11</f>
        <v>211678.88742000004</v>
      </c>
      <c r="G17" s="186">
        <f>$C$17*G11</f>
        <v>265180.14467999997</v>
      </c>
      <c r="H17" s="186">
        <f t="shared" ref="H17:AE17" si="9">$C$17*H11</f>
        <v>278439.15191400005</v>
      </c>
      <c r="I17" s="186">
        <f t="shared" si="9"/>
        <v>292361.10950970009</v>
      </c>
      <c r="J17" s="186">
        <f t="shared" si="9"/>
        <v>306979.16498518508</v>
      </c>
      <c r="K17" s="186">
        <f t="shared" si="9"/>
        <v>322328.1232344443</v>
      </c>
      <c r="L17" s="186">
        <f t="shared" si="9"/>
        <v>338444.5293961665</v>
      </c>
      <c r="M17" s="186">
        <f t="shared" si="9"/>
        <v>355366.75586597493</v>
      </c>
      <c r="N17" s="186">
        <f t="shared" si="9"/>
        <v>373135.0936592737</v>
      </c>
      <c r="O17" s="186">
        <f t="shared" si="9"/>
        <v>391791.8483422373</v>
      </c>
      <c r="P17" s="186">
        <f t="shared" si="9"/>
        <v>411381.44075934915</v>
      </c>
      <c r="Q17" s="186">
        <f t="shared" si="9"/>
        <v>431950.51279731665</v>
      </c>
      <c r="R17" s="186">
        <f t="shared" si="9"/>
        <v>453548.03843718249</v>
      </c>
      <c r="S17" s="186">
        <f t="shared" si="9"/>
        <v>476225.44035904162</v>
      </c>
      <c r="T17" s="186">
        <f t="shared" si="9"/>
        <v>500036.71237699373</v>
      </c>
      <c r="U17" s="186">
        <f t="shared" si="9"/>
        <v>525038.54799584346</v>
      </c>
      <c r="V17" s="186">
        <f t="shared" si="9"/>
        <v>551290.4753956357</v>
      </c>
      <c r="W17" s="186">
        <f t="shared" si="9"/>
        <v>578854.99916541763</v>
      </c>
      <c r="X17" s="186">
        <f t="shared" si="9"/>
        <v>607797.74912368844</v>
      </c>
      <c r="Y17" s="186">
        <f t="shared" si="9"/>
        <v>638187.63657987292</v>
      </c>
      <c r="Z17" s="186">
        <f t="shared" si="9"/>
        <v>670097.01840886648</v>
      </c>
      <c r="AA17" s="186">
        <f t="shared" si="9"/>
        <v>703601.86932930979</v>
      </c>
      <c r="AB17" s="186">
        <f t="shared" si="9"/>
        <v>738781.9627957755</v>
      </c>
      <c r="AC17" s="186">
        <f t="shared" si="9"/>
        <v>775721.06093556422</v>
      </c>
      <c r="AD17" s="186">
        <f t="shared" si="9"/>
        <v>814507.11398234253</v>
      </c>
      <c r="AE17" s="186">
        <f t="shared" si="9"/>
        <v>855232.46968145971</v>
      </c>
      <c r="AF17" s="177"/>
      <c r="AG17" s="177"/>
    </row>
    <row r="18" spans="1:33" hidden="1">
      <c r="A18" s="177"/>
      <c r="B18" s="186" t="s">
        <v>145</v>
      </c>
      <c r="C18" s="212">
        <v>0</v>
      </c>
      <c r="D18" s="212"/>
      <c r="E18" s="212"/>
      <c r="F18" s="213">
        <f>0</f>
        <v>0</v>
      </c>
      <c r="G18" s="186">
        <f>C18*G5</f>
        <v>0</v>
      </c>
      <c r="H18" s="186">
        <f>G18*(1+K2)</f>
        <v>0</v>
      </c>
      <c r="I18" s="186">
        <f t="shared" ref="I18:AE18" si="10">H18*(1+$K$2)</f>
        <v>0</v>
      </c>
      <c r="J18" s="186">
        <f t="shared" si="10"/>
        <v>0</v>
      </c>
      <c r="K18" s="186">
        <f t="shared" si="10"/>
        <v>0</v>
      </c>
      <c r="L18" s="186">
        <f t="shared" si="10"/>
        <v>0</v>
      </c>
      <c r="M18" s="186">
        <f t="shared" si="10"/>
        <v>0</v>
      </c>
      <c r="N18" s="186">
        <f t="shared" si="10"/>
        <v>0</v>
      </c>
      <c r="O18" s="186">
        <f t="shared" si="10"/>
        <v>0</v>
      </c>
      <c r="P18" s="186">
        <f t="shared" si="10"/>
        <v>0</v>
      </c>
      <c r="Q18" s="186">
        <f t="shared" si="10"/>
        <v>0</v>
      </c>
      <c r="R18" s="186">
        <f t="shared" si="10"/>
        <v>0</v>
      </c>
      <c r="S18" s="186">
        <f t="shared" si="10"/>
        <v>0</v>
      </c>
      <c r="T18" s="186">
        <f t="shared" si="10"/>
        <v>0</v>
      </c>
      <c r="U18" s="186">
        <f t="shared" si="10"/>
        <v>0</v>
      </c>
      <c r="V18" s="186">
        <f t="shared" si="10"/>
        <v>0</v>
      </c>
      <c r="W18" s="186">
        <f t="shared" si="10"/>
        <v>0</v>
      </c>
      <c r="X18" s="186">
        <f t="shared" si="10"/>
        <v>0</v>
      </c>
      <c r="Y18" s="186">
        <f t="shared" si="10"/>
        <v>0</v>
      </c>
      <c r="Z18" s="186">
        <f t="shared" si="10"/>
        <v>0</v>
      </c>
      <c r="AA18" s="186">
        <f t="shared" si="10"/>
        <v>0</v>
      </c>
      <c r="AB18" s="186">
        <f t="shared" si="10"/>
        <v>0</v>
      </c>
      <c r="AC18" s="186">
        <f t="shared" si="10"/>
        <v>0</v>
      </c>
      <c r="AD18" s="186">
        <f t="shared" si="10"/>
        <v>0</v>
      </c>
      <c r="AE18" s="186">
        <f t="shared" si="10"/>
        <v>0</v>
      </c>
      <c r="AF18" s="177"/>
      <c r="AG18" s="177"/>
    </row>
    <row r="19" spans="1:33">
      <c r="A19" s="171"/>
      <c r="B19" s="186" t="s">
        <v>146</v>
      </c>
      <c r="C19" s="214">
        <v>225</v>
      </c>
      <c r="D19" s="214"/>
      <c r="E19" s="215">
        <f>F19*(1-$K$2)*1.2</f>
        <v>88406.963999999993</v>
      </c>
      <c r="F19" s="215">
        <f>G19*(1-$K$2)</f>
        <v>75951</v>
      </c>
      <c r="G19" s="186">
        <f>C19*C15</f>
        <v>78300</v>
      </c>
      <c r="H19" s="186">
        <f t="shared" ref="H19:H26" si="11">G19*(1+$K$2)</f>
        <v>80649</v>
      </c>
      <c r="I19" s="186">
        <f t="shared" ref="I19:AE19" si="12">H19*(1+$K$2)</f>
        <v>83068.47</v>
      </c>
      <c r="J19" s="186">
        <f t="shared" si="12"/>
        <v>85560.52410000001</v>
      </c>
      <c r="K19" s="186">
        <f t="shared" si="12"/>
        <v>88127.339823000017</v>
      </c>
      <c r="L19" s="186">
        <f t="shared" si="12"/>
        <v>90771.160017690025</v>
      </c>
      <c r="M19" s="186">
        <f t="shared" si="12"/>
        <v>93494.294818220733</v>
      </c>
      <c r="N19" s="186">
        <f t="shared" si="12"/>
        <v>96299.123662767364</v>
      </c>
      <c r="O19" s="186">
        <f t="shared" si="12"/>
        <v>99188.097372650387</v>
      </c>
      <c r="P19" s="186">
        <f t="shared" si="12"/>
        <v>102163.74029382991</v>
      </c>
      <c r="Q19" s="186">
        <f t="shared" si="12"/>
        <v>105228.65250264481</v>
      </c>
      <c r="R19" s="186">
        <f t="shared" si="12"/>
        <v>108385.51207772415</v>
      </c>
      <c r="S19" s="186">
        <f t="shared" si="12"/>
        <v>111637.07744005589</v>
      </c>
      <c r="T19" s="186">
        <f t="shared" si="12"/>
        <v>114986.18976325757</v>
      </c>
      <c r="U19" s="186">
        <f t="shared" si="12"/>
        <v>118435.7754561553</v>
      </c>
      <c r="V19" s="186">
        <f t="shared" si="12"/>
        <v>121988.84871983997</v>
      </c>
      <c r="W19" s="186">
        <f t="shared" si="12"/>
        <v>125648.51418143517</v>
      </c>
      <c r="X19" s="186">
        <f t="shared" si="12"/>
        <v>129417.96960687822</v>
      </c>
      <c r="Y19" s="186">
        <f t="shared" si="12"/>
        <v>133300.50869508457</v>
      </c>
      <c r="Z19" s="186">
        <f t="shared" si="12"/>
        <v>137299.52395593713</v>
      </c>
      <c r="AA19" s="186">
        <f t="shared" si="12"/>
        <v>141418.50967461526</v>
      </c>
      <c r="AB19" s="186">
        <f t="shared" si="12"/>
        <v>145661.06496485372</v>
      </c>
      <c r="AC19" s="186">
        <f t="shared" si="12"/>
        <v>150030.89691379934</v>
      </c>
      <c r="AD19" s="186">
        <f t="shared" si="12"/>
        <v>154531.82382121333</v>
      </c>
      <c r="AE19" s="186">
        <f t="shared" si="12"/>
        <v>159167.77853584973</v>
      </c>
      <c r="AF19" s="177"/>
      <c r="AG19" s="177"/>
    </row>
    <row r="20" spans="1:33">
      <c r="A20" s="171"/>
      <c r="B20" s="186" t="s">
        <v>328</v>
      </c>
      <c r="C20" s="214">
        <v>500</v>
      </c>
      <c r="D20" s="214"/>
      <c r="E20" s="378">
        <f>SUMIF($C$57:$X$57,"&lt;=10",C65:X65)</f>
        <v>71049.999999999985</v>
      </c>
      <c r="F20" s="215">
        <f>Y65</f>
        <v>85259.999999999985</v>
      </c>
      <c r="G20" s="186">
        <f>C20*$C$15</f>
        <v>174000</v>
      </c>
      <c r="H20" s="186">
        <f t="shared" si="11"/>
        <v>179220</v>
      </c>
      <c r="I20" s="186">
        <f t="shared" ref="I20:AE20" si="13">H20*(1+$K$2)</f>
        <v>184596.6</v>
      </c>
      <c r="J20" s="186">
        <f t="shared" si="13"/>
        <v>190134.49800000002</v>
      </c>
      <c r="K20" s="186">
        <f t="shared" si="13"/>
        <v>195838.53294000003</v>
      </c>
      <c r="L20" s="186">
        <f t="shared" si="13"/>
        <v>201713.68892820005</v>
      </c>
      <c r="M20" s="186">
        <f t="shared" si="13"/>
        <v>207765.09959604606</v>
      </c>
      <c r="N20" s="186">
        <f t="shared" si="13"/>
        <v>213998.05258392743</v>
      </c>
      <c r="O20" s="186">
        <f t="shared" si="13"/>
        <v>220417.99416144527</v>
      </c>
      <c r="P20" s="186">
        <f t="shared" si="13"/>
        <v>227030.53398628865</v>
      </c>
      <c r="Q20" s="186">
        <f t="shared" si="13"/>
        <v>233841.45000587733</v>
      </c>
      <c r="R20" s="186">
        <f t="shared" si="13"/>
        <v>240856.69350605365</v>
      </c>
      <c r="S20" s="186">
        <f t="shared" si="13"/>
        <v>248082.39431123526</v>
      </c>
      <c r="T20" s="186">
        <f t="shared" si="13"/>
        <v>255524.86614057233</v>
      </c>
      <c r="U20" s="186">
        <f t="shared" si="13"/>
        <v>263190.61212478951</v>
      </c>
      <c r="V20" s="186">
        <f t="shared" si="13"/>
        <v>271086.33048853319</v>
      </c>
      <c r="W20" s="186">
        <f t="shared" si="13"/>
        <v>279218.9204031892</v>
      </c>
      <c r="X20" s="186">
        <f t="shared" si="13"/>
        <v>287595.48801528488</v>
      </c>
      <c r="Y20" s="186">
        <f t="shared" si="13"/>
        <v>296223.35265574342</v>
      </c>
      <c r="Z20" s="186">
        <f t="shared" si="13"/>
        <v>305110.05323541572</v>
      </c>
      <c r="AA20" s="186">
        <f t="shared" si="13"/>
        <v>314263.35483247822</v>
      </c>
      <c r="AB20" s="186">
        <f t="shared" si="13"/>
        <v>323691.25547745259</v>
      </c>
      <c r="AC20" s="186">
        <f t="shared" si="13"/>
        <v>333401.99314177618</v>
      </c>
      <c r="AD20" s="186">
        <f t="shared" si="13"/>
        <v>343404.0529360295</v>
      </c>
      <c r="AE20" s="186">
        <f t="shared" si="13"/>
        <v>353706.17452411039</v>
      </c>
      <c r="AF20" s="177"/>
      <c r="AG20" s="177"/>
    </row>
    <row r="21" spans="1:33">
      <c r="A21" s="171"/>
      <c r="B21" s="177" t="s">
        <v>148</v>
      </c>
      <c r="C21" s="214">
        <v>900</v>
      </c>
      <c r="D21" s="214"/>
      <c r="E21" s="215">
        <f>F21*(1-$K$2)</f>
        <v>294689.88</v>
      </c>
      <c r="F21" s="215">
        <f>G21*(1-$K$2)</f>
        <v>303804</v>
      </c>
      <c r="G21" s="186">
        <f>C21*C15</f>
        <v>313200</v>
      </c>
      <c r="H21" s="186">
        <f t="shared" si="11"/>
        <v>322596</v>
      </c>
      <c r="I21" s="186">
        <f t="shared" ref="I21:AE21" si="14">H21*(1+$K$2)</f>
        <v>332273.88</v>
      </c>
      <c r="J21" s="186">
        <f t="shared" si="14"/>
        <v>342242.09640000004</v>
      </c>
      <c r="K21" s="186">
        <f t="shared" si="14"/>
        <v>352509.35929200007</v>
      </c>
      <c r="L21" s="186">
        <f t="shared" si="14"/>
        <v>363084.6400707601</v>
      </c>
      <c r="M21" s="186">
        <f t="shared" si="14"/>
        <v>373977.17927288293</v>
      </c>
      <c r="N21" s="186">
        <f t="shared" si="14"/>
        <v>385196.49465106946</v>
      </c>
      <c r="O21" s="186">
        <f t="shared" si="14"/>
        <v>396752.38949060155</v>
      </c>
      <c r="P21" s="186">
        <f t="shared" si="14"/>
        <v>408654.96117531962</v>
      </c>
      <c r="Q21" s="186">
        <f t="shared" si="14"/>
        <v>420914.61001057923</v>
      </c>
      <c r="R21" s="186">
        <f t="shared" si="14"/>
        <v>433542.04831089661</v>
      </c>
      <c r="S21" s="186">
        <f t="shared" si="14"/>
        <v>446548.30976022355</v>
      </c>
      <c r="T21" s="186">
        <f t="shared" si="14"/>
        <v>459944.75905303028</v>
      </c>
      <c r="U21" s="186">
        <f t="shared" si="14"/>
        <v>473743.1018246212</v>
      </c>
      <c r="V21" s="186">
        <f t="shared" si="14"/>
        <v>487955.39487935987</v>
      </c>
      <c r="W21" s="186">
        <f t="shared" si="14"/>
        <v>502594.05672574067</v>
      </c>
      <c r="X21" s="186">
        <f t="shared" si="14"/>
        <v>517671.87842751289</v>
      </c>
      <c r="Y21" s="186">
        <f t="shared" si="14"/>
        <v>533202.03478033829</v>
      </c>
      <c r="Z21" s="186">
        <f t="shared" si="14"/>
        <v>549198.0958237485</v>
      </c>
      <c r="AA21" s="186">
        <f t="shared" si="14"/>
        <v>565674.03869846102</v>
      </c>
      <c r="AB21" s="186">
        <f t="shared" si="14"/>
        <v>582644.25985941489</v>
      </c>
      <c r="AC21" s="186">
        <f t="shared" si="14"/>
        <v>600123.58765519736</v>
      </c>
      <c r="AD21" s="186">
        <f t="shared" si="14"/>
        <v>618127.29528485332</v>
      </c>
      <c r="AE21" s="186">
        <f t="shared" si="14"/>
        <v>636671.11414339894</v>
      </c>
      <c r="AF21" s="177"/>
      <c r="AG21" s="177"/>
    </row>
    <row r="22" spans="1:33">
      <c r="A22" s="171"/>
      <c r="B22" s="186" t="s">
        <v>149</v>
      </c>
      <c r="C22" s="214">
        <v>920</v>
      </c>
      <c r="D22" s="214"/>
      <c r="E22" s="378">
        <f>SUMIF($C$57:$X$57,"&lt;=10",C67:X67)</f>
        <v>251032.12</v>
      </c>
      <c r="F22" s="215">
        <f>Y67</f>
        <v>296268.06000000006</v>
      </c>
      <c r="G22" s="186">
        <f>C22*C15</f>
        <v>320160</v>
      </c>
      <c r="H22" s="186">
        <f t="shared" si="11"/>
        <v>329764.8</v>
      </c>
      <c r="I22" s="186">
        <f t="shared" ref="I22:AE22" si="15">H22*(1+$K$2)</f>
        <v>339657.74400000001</v>
      </c>
      <c r="J22" s="186">
        <f t="shared" si="15"/>
        <v>349847.47632000002</v>
      </c>
      <c r="K22" s="186">
        <f t="shared" si="15"/>
        <v>360342.90060960001</v>
      </c>
      <c r="L22" s="186">
        <f t="shared" si="15"/>
        <v>371153.18762788799</v>
      </c>
      <c r="M22" s="186">
        <f t="shared" si="15"/>
        <v>382287.78325672465</v>
      </c>
      <c r="N22" s="186">
        <f t="shared" si="15"/>
        <v>393756.41675442638</v>
      </c>
      <c r="O22" s="186">
        <f t="shared" si="15"/>
        <v>405569.10925705917</v>
      </c>
      <c r="P22" s="186">
        <f t="shared" si="15"/>
        <v>417736.18253477098</v>
      </c>
      <c r="Q22" s="186">
        <f t="shared" si="15"/>
        <v>430268.26801081415</v>
      </c>
      <c r="R22" s="186">
        <f t="shared" si="15"/>
        <v>443176.31605113856</v>
      </c>
      <c r="S22" s="186">
        <f t="shared" si="15"/>
        <v>456471.60553267272</v>
      </c>
      <c r="T22" s="186">
        <f t="shared" si="15"/>
        <v>470165.7536986529</v>
      </c>
      <c r="U22" s="186">
        <f t="shared" si="15"/>
        <v>484270.72630961251</v>
      </c>
      <c r="V22" s="186">
        <f t="shared" si="15"/>
        <v>498798.84809890093</v>
      </c>
      <c r="W22" s="186">
        <f t="shared" si="15"/>
        <v>513762.81354186794</v>
      </c>
      <c r="X22" s="186">
        <f t="shared" si="15"/>
        <v>529175.69794812403</v>
      </c>
      <c r="Y22" s="186">
        <f t="shared" si="15"/>
        <v>545050.96888656775</v>
      </c>
      <c r="Z22" s="186">
        <f t="shared" si="15"/>
        <v>561402.49795316474</v>
      </c>
      <c r="AA22" s="186">
        <f t="shared" si="15"/>
        <v>578244.57289175969</v>
      </c>
      <c r="AB22" s="186">
        <f t="shared" si="15"/>
        <v>595591.9100785125</v>
      </c>
      <c r="AC22" s="186">
        <f t="shared" si="15"/>
        <v>613459.66738086788</v>
      </c>
      <c r="AD22" s="186">
        <f t="shared" si="15"/>
        <v>631863.45740229392</v>
      </c>
      <c r="AE22" s="186">
        <f t="shared" si="15"/>
        <v>650819.3611243628</v>
      </c>
      <c r="AF22" s="177"/>
      <c r="AG22" s="177"/>
    </row>
    <row r="23" spans="1:33">
      <c r="A23" s="171"/>
      <c r="B23" s="186" t="s">
        <v>150</v>
      </c>
      <c r="C23" s="214">
        <v>200</v>
      </c>
      <c r="D23" s="214"/>
      <c r="E23" s="378">
        <f>SUMIF($C$57:$X$57,"&lt;=10",C68:X68)</f>
        <v>0</v>
      </c>
      <c r="F23" s="215">
        <f>Y68</f>
        <v>53940</v>
      </c>
      <c r="G23" s="186">
        <f>C23*C15</f>
        <v>69600</v>
      </c>
      <c r="H23" s="186">
        <f t="shared" si="11"/>
        <v>71688</v>
      </c>
      <c r="I23" s="186">
        <f t="shared" ref="I23:AE23" si="16">H23*(1+$K$2)</f>
        <v>73838.64</v>
      </c>
      <c r="J23" s="186">
        <f t="shared" si="16"/>
        <v>76053.799200000009</v>
      </c>
      <c r="K23" s="186">
        <f t="shared" si="16"/>
        <v>78335.413176000016</v>
      </c>
      <c r="L23" s="186">
        <f t="shared" si="16"/>
        <v>80685.475571280025</v>
      </c>
      <c r="M23" s="186">
        <f t="shared" si="16"/>
        <v>83106.039838418423</v>
      </c>
      <c r="N23" s="186">
        <f t="shared" si="16"/>
        <v>85599.221033570982</v>
      </c>
      <c r="O23" s="186">
        <f t="shared" si="16"/>
        <v>88167.197664578111</v>
      </c>
      <c r="P23" s="186">
        <f t="shared" si="16"/>
        <v>90812.213594515459</v>
      </c>
      <c r="Q23" s="186">
        <f t="shared" si="16"/>
        <v>93536.580002350922</v>
      </c>
      <c r="R23" s="186">
        <f t="shared" si="16"/>
        <v>96342.677402421454</v>
      </c>
      <c r="S23" s="186">
        <f t="shared" si="16"/>
        <v>99232.957724494103</v>
      </c>
      <c r="T23" s="186">
        <f t="shared" si="16"/>
        <v>102209.94645622894</v>
      </c>
      <c r="U23" s="186">
        <f t="shared" si="16"/>
        <v>105276.24484991581</v>
      </c>
      <c r="V23" s="186">
        <f t="shared" si="16"/>
        <v>108434.53219541328</v>
      </c>
      <c r="W23" s="186">
        <f t="shared" si="16"/>
        <v>111687.56816127569</v>
      </c>
      <c r="X23" s="186">
        <f t="shared" si="16"/>
        <v>115038.19520611396</v>
      </c>
      <c r="Y23" s="186">
        <f t="shared" si="16"/>
        <v>118489.34106229738</v>
      </c>
      <c r="Z23" s="186">
        <f t="shared" si="16"/>
        <v>122044.0212941663</v>
      </c>
      <c r="AA23" s="186">
        <f t="shared" si="16"/>
        <v>125705.3419329913</v>
      </c>
      <c r="AB23" s="186">
        <f t="shared" si="16"/>
        <v>129476.50219098105</v>
      </c>
      <c r="AC23" s="186">
        <f t="shared" si="16"/>
        <v>133360.79725671047</v>
      </c>
      <c r="AD23" s="186">
        <f t="shared" si="16"/>
        <v>137361.62117441179</v>
      </c>
      <c r="AE23" s="186">
        <f t="shared" si="16"/>
        <v>141482.46980964416</v>
      </c>
      <c r="AF23" s="177"/>
      <c r="AG23" s="177"/>
    </row>
    <row r="24" spans="1:33">
      <c r="A24" s="171"/>
      <c r="B24" s="186" t="s">
        <v>151</v>
      </c>
      <c r="C24" s="214">
        <v>300</v>
      </c>
      <c r="D24" s="214"/>
      <c r="E24" s="215">
        <f>F24*(1-$K$2)</f>
        <v>98229.959999999992</v>
      </c>
      <c r="F24" s="215">
        <f>G24*(1-$K$2)</f>
        <v>101268</v>
      </c>
      <c r="G24" s="186">
        <f>C24*C15</f>
        <v>104400</v>
      </c>
      <c r="H24" s="186">
        <f t="shared" si="11"/>
        <v>107532</v>
      </c>
      <c r="I24" s="186">
        <f t="shared" ref="I24:AE24" si="17">H24*(1+$K$2)</f>
        <v>110757.96</v>
      </c>
      <c r="J24" s="186">
        <f t="shared" si="17"/>
        <v>114080.69880000001</v>
      </c>
      <c r="K24" s="186">
        <f t="shared" si="17"/>
        <v>117503.11976400002</v>
      </c>
      <c r="L24" s="186">
        <f t="shared" si="17"/>
        <v>121028.21335692002</v>
      </c>
      <c r="M24" s="186">
        <f t="shared" si="17"/>
        <v>124659.05975762763</v>
      </c>
      <c r="N24" s="186">
        <f t="shared" si="17"/>
        <v>128398.83155035647</v>
      </c>
      <c r="O24" s="186">
        <f t="shared" si="17"/>
        <v>132250.79649686717</v>
      </c>
      <c r="P24" s="186">
        <f t="shared" si="17"/>
        <v>136218.32039177319</v>
      </c>
      <c r="Q24" s="186">
        <f t="shared" si="17"/>
        <v>140304.87000352639</v>
      </c>
      <c r="R24" s="186">
        <f t="shared" si="17"/>
        <v>144514.0161036322</v>
      </c>
      <c r="S24" s="186">
        <f t="shared" si="17"/>
        <v>148849.43658674115</v>
      </c>
      <c r="T24" s="186">
        <f t="shared" si="17"/>
        <v>153314.91968434339</v>
      </c>
      <c r="U24" s="186">
        <f t="shared" si="17"/>
        <v>157914.36727487369</v>
      </c>
      <c r="V24" s="186">
        <f t="shared" si="17"/>
        <v>162651.79829311991</v>
      </c>
      <c r="W24" s="186">
        <f t="shared" si="17"/>
        <v>167531.3522419135</v>
      </c>
      <c r="X24" s="186">
        <f t="shared" si="17"/>
        <v>172557.2928091709</v>
      </c>
      <c r="Y24" s="186">
        <f t="shared" si="17"/>
        <v>177734.01159344605</v>
      </c>
      <c r="Z24" s="186">
        <f t="shared" si="17"/>
        <v>183066.03194124944</v>
      </c>
      <c r="AA24" s="186">
        <f t="shared" si="17"/>
        <v>188558.01289948693</v>
      </c>
      <c r="AB24" s="186">
        <f t="shared" si="17"/>
        <v>194214.75328647153</v>
      </c>
      <c r="AC24" s="186">
        <f t="shared" si="17"/>
        <v>200041.19588506568</v>
      </c>
      <c r="AD24" s="186">
        <f t="shared" si="17"/>
        <v>206042.43176161766</v>
      </c>
      <c r="AE24" s="186">
        <f t="shared" si="17"/>
        <v>212223.70471446618</v>
      </c>
      <c r="AF24" s="177"/>
      <c r="AG24" s="177"/>
    </row>
    <row r="25" spans="1:33">
      <c r="A25" s="171"/>
      <c r="B25" s="186" t="s">
        <v>152</v>
      </c>
      <c r="C25" s="214">
        <v>4500</v>
      </c>
      <c r="D25" s="214"/>
      <c r="E25" s="378">
        <v>0</v>
      </c>
      <c r="F25" s="215">
        <f>G25/G5*F5</f>
        <v>1187550.0000000002</v>
      </c>
      <c r="G25" s="186">
        <f>C25*C15</f>
        <v>1566000</v>
      </c>
      <c r="H25" s="186">
        <f t="shared" si="11"/>
        <v>1612980</v>
      </c>
      <c r="I25" s="186">
        <f t="shared" ref="I25:AE25" si="18">H25*(1+$K$2)</f>
        <v>1661369.4000000001</v>
      </c>
      <c r="J25" s="186">
        <f t="shared" si="18"/>
        <v>1711210.4820000001</v>
      </c>
      <c r="K25" s="186">
        <f t="shared" si="18"/>
        <v>1762546.7964600001</v>
      </c>
      <c r="L25" s="186">
        <f t="shared" si="18"/>
        <v>1815423.2003538001</v>
      </c>
      <c r="M25" s="186">
        <f t="shared" si="18"/>
        <v>1869885.8963644141</v>
      </c>
      <c r="N25" s="186">
        <f t="shared" si="18"/>
        <v>1925982.4732553465</v>
      </c>
      <c r="O25" s="186">
        <f t="shared" si="18"/>
        <v>1983761.9474530069</v>
      </c>
      <c r="P25" s="186">
        <f t="shared" si="18"/>
        <v>2043274.8058765971</v>
      </c>
      <c r="Q25" s="186">
        <f t="shared" si="18"/>
        <v>2104573.0500528952</v>
      </c>
      <c r="R25" s="186">
        <f t="shared" si="18"/>
        <v>2167710.2415544819</v>
      </c>
      <c r="S25" s="186">
        <f t="shared" si="18"/>
        <v>2232741.5488011166</v>
      </c>
      <c r="T25" s="186">
        <f t="shared" si="18"/>
        <v>2299723.7952651503</v>
      </c>
      <c r="U25" s="186">
        <f t="shared" si="18"/>
        <v>2368715.5091231046</v>
      </c>
      <c r="V25" s="186">
        <f t="shared" si="18"/>
        <v>2439776.9743967978</v>
      </c>
      <c r="W25" s="186">
        <f t="shared" si="18"/>
        <v>2512970.2836287017</v>
      </c>
      <c r="X25" s="186">
        <f t="shared" si="18"/>
        <v>2588359.3921375629</v>
      </c>
      <c r="Y25" s="186">
        <f t="shared" si="18"/>
        <v>2666010.1739016897</v>
      </c>
      <c r="Z25" s="186">
        <f t="shared" si="18"/>
        <v>2745990.4791187407</v>
      </c>
      <c r="AA25" s="186">
        <f t="shared" si="18"/>
        <v>2828370.1934923031</v>
      </c>
      <c r="AB25" s="186">
        <f t="shared" si="18"/>
        <v>2913221.2992970725</v>
      </c>
      <c r="AC25" s="186">
        <f t="shared" si="18"/>
        <v>3000617.9382759845</v>
      </c>
      <c r="AD25" s="186">
        <f t="shared" si="18"/>
        <v>3090636.4764242643</v>
      </c>
      <c r="AE25" s="186">
        <f t="shared" si="18"/>
        <v>3183355.5707169925</v>
      </c>
      <c r="AF25" s="177"/>
      <c r="AG25" s="177"/>
    </row>
    <row r="26" spans="1:33">
      <c r="A26" s="171"/>
      <c r="B26" s="396" t="s">
        <v>384</v>
      </c>
      <c r="C26" s="214">
        <v>400</v>
      </c>
      <c r="D26" s="214"/>
      <c r="E26" s="215">
        <f>F26*(1-$K$2)</f>
        <v>130973.28</v>
      </c>
      <c r="F26" s="215">
        <f>G26*(1-$K$2)</f>
        <v>135024</v>
      </c>
      <c r="G26" s="186">
        <f>C26*C15</f>
        <v>139200</v>
      </c>
      <c r="H26" s="186">
        <f t="shared" si="11"/>
        <v>143376</v>
      </c>
      <c r="I26" s="186">
        <f t="shared" ref="I26:AE26" si="19">H26*(1+$K$2)</f>
        <v>147677.28</v>
      </c>
      <c r="J26" s="186">
        <f t="shared" si="19"/>
        <v>152107.59840000002</v>
      </c>
      <c r="K26" s="186">
        <f t="shared" si="19"/>
        <v>156670.82635200003</v>
      </c>
      <c r="L26" s="186">
        <f t="shared" si="19"/>
        <v>161370.95114256005</v>
      </c>
      <c r="M26" s="186">
        <f t="shared" si="19"/>
        <v>166212.07967683685</v>
      </c>
      <c r="N26" s="186">
        <f t="shared" si="19"/>
        <v>171198.44206714196</v>
      </c>
      <c r="O26" s="186">
        <f t="shared" si="19"/>
        <v>176334.39532915622</v>
      </c>
      <c r="P26" s="186">
        <f t="shared" si="19"/>
        <v>181624.42718903092</v>
      </c>
      <c r="Q26" s="186">
        <f t="shared" si="19"/>
        <v>187073.16000470184</v>
      </c>
      <c r="R26" s="186">
        <f t="shared" si="19"/>
        <v>192685.35480484291</v>
      </c>
      <c r="S26" s="186">
        <f t="shared" si="19"/>
        <v>198465.91544898821</v>
      </c>
      <c r="T26" s="186">
        <f t="shared" si="19"/>
        <v>204419.89291245787</v>
      </c>
      <c r="U26" s="186">
        <f t="shared" si="19"/>
        <v>210552.48969983161</v>
      </c>
      <c r="V26" s="186">
        <f t="shared" si="19"/>
        <v>216869.06439082656</v>
      </c>
      <c r="W26" s="186">
        <f t="shared" si="19"/>
        <v>223375.13632255138</v>
      </c>
      <c r="X26" s="186">
        <f t="shared" si="19"/>
        <v>230076.39041222792</v>
      </c>
      <c r="Y26" s="186">
        <f t="shared" si="19"/>
        <v>236978.68212459475</v>
      </c>
      <c r="Z26" s="186">
        <f t="shared" si="19"/>
        <v>244088.04258833261</v>
      </c>
      <c r="AA26" s="186">
        <f t="shared" si="19"/>
        <v>251410.6838659826</v>
      </c>
      <c r="AB26" s="186">
        <f t="shared" si="19"/>
        <v>258953.00438196209</v>
      </c>
      <c r="AC26" s="186">
        <f t="shared" si="19"/>
        <v>266721.59451342095</v>
      </c>
      <c r="AD26" s="186">
        <f t="shared" si="19"/>
        <v>274723.24234882358</v>
      </c>
      <c r="AE26" s="186">
        <f t="shared" si="19"/>
        <v>282964.93961928831</v>
      </c>
      <c r="AF26" s="177"/>
      <c r="AG26" s="177"/>
    </row>
    <row r="27" spans="1:33">
      <c r="A27" s="177"/>
      <c r="B27" s="186" t="s">
        <v>305</v>
      </c>
      <c r="C27" s="211"/>
      <c r="D27" s="211"/>
      <c r="E27" s="211"/>
      <c r="F27" s="378">
        <f>LOOKUP(F3,'Grand Prairie- Loan Amort (4)'!$U$18:$U$41,'Grand Prairie- Loan Amort (4)'!$AB$18:$AB$41)/2</f>
        <v>0</v>
      </c>
      <c r="G27" s="378">
        <f ca="1">LOOKUP(G3,'Grand Prairie- Loan Amort (4)'!$U$18:$U$41,'Grand Prairie- Loan Amort (4)'!$AB$18:$AB$41)</f>
        <v>1072112.765091327</v>
      </c>
      <c r="H27" s="378">
        <f ca="1">LOOKUP(H3,'Grand Prairie- Loan Amort (4)'!$U$18:$U$41,'Grand Prairie- Loan Amort (4)'!$AB$18:$AB$41)</f>
        <v>1072112.765091327</v>
      </c>
      <c r="I27" s="378">
        <f ca="1">LOOKUP(I3,'Grand Prairie- Loan Amort (4)'!$U$18:$U$41,'Grand Prairie- Loan Amort (4)'!$AB$18:$AB$41)</f>
        <v>1462038.6895426526</v>
      </c>
      <c r="J27" s="378">
        <f ca="1">LOOKUP(J3,'Grand Prairie- Loan Amort (4)'!$U$18:$U$41,'Grand Prairie- Loan Amort (4)'!$AB$18:$AB$41)</f>
        <v>1461701.6695833395</v>
      </c>
      <c r="K27" s="378">
        <f ca="1">LOOKUP(K3,'Grand Prairie- Loan Amort (4)'!$U$18:$U$41,'Grand Prairie- Loan Amort (4)'!$AB$18:$AB$41)</f>
        <v>1461346.5240547496</v>
      </c>
      <c r="L27" s="378">
        <f ca="1">LOOKUP(L3,'Grand Prairie- Loan Amort (4)'!$U$18:$U$41,'Grand Prairie- Loan Amort (4)'!$AB$18:$AB$41)</f>
        <v>1460972.2781295695</v>
      </c>
      <c r="M27" s="378">
        <f ca="1">LOOKUP(M3,'Grand Prairie- Loan Amort (4)'!$U$18:$U$41,'Grand Prairie- Loan Amort (4)'!$AB$18:$AB$41)</f>
        <v>1460577.9045524332</v>
      </c>
      <c r="N27" s="378">
        <f ca="1">LOOKUP(N3,'Grand Prairie- Loan Amort (4)'!$U$18:$U$41,'Grand Prairie- Loan Amort (4)'!$AB$18:$AB$41)</f>
        <v>1460162.3208202429</v>
      </c>
      <c r="O27" s="378">
        <f ca="1">LOOKUP(O3,'Grand Prairie- Loan Amort (4)'!$U$18:$U$41,'Grand Prairie- Loan Amort (4)'!$AB$18:$AB$41)</f>
        <v>1459724.3862108421</v>
      </c>
      <c r="P27" s="378">
        <f ca="1">LOOKUP(P3,'Grand Prairie- Loan Amort (4)'!$U$18:$U$41,'Grand Prairie- Loan Amort (4)'!$AB$18:$AB$41)</f>
        <v>1459262.8986518846</v>
      </c>
      <c r="Q27" s="378">
        <f ca="1">LOOKUP(Q3,'Grand Prairie- Loan Amort (4)'!$U$18:$U$41,'Grand Prairie- Loan Amort (4)'!$AB$18:$AB$41)</f>
        <v>1458776.5914213052</v>
      </c>
      <c r="R27" s="378">
        <f ca="1">LOOKUP(R3,'Grand Prairie- Loan Amort (4)'!$U$18:$U$41,'Grand Prairie- Loan Amort (4)'!$AB$18:$AB$41)</f>
        <v>1458264.1296703359</v>
      </c>
      <c r="S27" s="378">
        <f ca="1">LOOKUP(S3,'Grand Prairie- Loan Amort (4)'!$U$18:$U$41,'Grand Prairie- Loan Amort (4)'!$AB$18:$AB$41)</f>
        <v>1457724.1067595237</v>
      </c>
      <c r="T27" s="378">
        <f ca="1">LOOKUP(T3,'Grand Prairie- Loan Amort (4)'!$U$18:$U$41,'Grand Prairie- Loan Amort (4)'!$AB$18:$AB$41)</f>
        <v>1457155.0403976922</v>
      </c>
      <c r="U27" s="378">
        <f ca="1">LOOKUP(U3,'Grand Prairie- Loan Amort (4)'!$U$18:$U$41,'Grand Prairie- Loan Amort (4)'!$AB$18:$AB$41)</f>
        <v>1456555.3685732482</v>
      </c>
      <c r="V27" s="378">
        <f ca="1">LOOKUP(V3,'Grand Prairie- Loan Amort (4)'!$U$18:$U$41,'Grand Prairie- Loan Amort (4)'!$AB$18:$AB$41)</f>
        <v>1455923.4452666685</v>
      </c>
      <c r="W27" s="378">
        <f ca="1">LOOKUP(W3,'Grand Prairie- Loan Amort (4)'!$U$18:$U$41,'Grand Prairie- Loan Amort (4)'!$AB$18:$AB$41)</f>
        <v>1455257.5359323935</v>
      </c>
      <c r="X27" s="378">
        <f ca="1">LOOKUP(X3,'Grand Prairie- Loan Amort (4)'!$U$18:$U$41,'Grand Prairie- Loan Amort (4)'!$AB$18:$AB$41)</f>
        <v>1454555.812737732</v>
      </c>
      <c r="Y27" s="378">
        <f ca="1">LOOKUP(Y3,'Grand Prairie- Loan Amort (4)'!$U$18:$U$41,'Grand Prairie- Loan Amort (4)'!$AB$18:$AB$41)</f>
        <v>1453816.3495457012</v>
      </c>
      <c r="Z27" s="378">
        <f ca="1">LOOKUP(Z3,'Grand Prairie- Loan Amort (4)'!$U$18:$U$41,'Grand Prairie- Loan Amort (4)'!$AB$18:$AB$41)</f>
        <v>1453037.1166280373</v>
      </c>
      <c r="AA27" s="378">
        <f ca="1">LOOKUP(AA3,'Grand Prairie- Loan Amort (4)'!$U$18:$U$41,'Grand Prairie- Loan Amort (4)'!$AB$18:$AB$41)</f>
        <v>1452215.9750938613</v>
      </c>
      <c r="AB27" s="378">
        <f ca="1">LOOKUP(AB3,'Grand Prairie- Loan Amort (4)'!$U$18:$U$41,'Grand Prairie- Loan Amort (4)'!$AB$18:$AB$41)</f>
        <v>1452215.9750938613</v>
      </c>
      <c r="AC27" s="378">
        <f ca="1">LOOKUP(AC3,'Grand Prairie- Loan Amort (4)'!$U$18:$U$41,'Grand Prairie- Loan Amort (4)'!$AB$18:$AB$41)</f>
        <v>1452215.9750938613</v>
      </c>
      <c r="AD27" s="378">
        <f ca="1">LOOKUP(AD3,'Grand Prairie- Loan Amort (4)'!$U$18:$U$41,'Grand Prairie- Loan Amort (4)'!$AB$18:$AB$41)</f>
        <v>1452215.9750938613</v>
      </c>
      <c r="AE27" s="378">
        <f ca="1">LOOKUP(AE3,'Grand Prairie- Loan Amort (4)'!$U$18:$U$41,'Grand Prairie- Loan Amort (4)'!$AB$18:$AB$41)</f>
        <v>1452215.9750938613</v>
      </c>
      <c r="AF27" s="177"/>
      <c r="AG27" s="177"/>
    </row>
    <row r="28" spans="1:33">
      <c r="A28" s="216"/>
      <c r="B28" s="177" t="s">
        <v>153</v>
      </c>
      <c r="C28" s="177">
        <f ca="1">G28/C15</f>
        <v>11787.795717733698</v>
      </c>
      <c r="D28" s="177"/>
      <c r="E28" s="177">
        <f>SUM(E16:E27)</f>
        <v>984553.88599999994</v>
      </c>
      <c r="F28" s="177">
        <f>SUM(F16:F27)</f>
        <v>2450743.9474200001</v>
      </c>
      <c r="G28" s="177">
        <f ca="1">SUM(G16:G27)</f>
        <v>4102152.9097713269</v>
      </c>
      <c r="H28" s="177">
        <f t="shared" ref="H28:AE28" ca="1" si="20">SUM(H16:H27)</f>
        <v>4198357.7170053273</v>
      </c>
      <c r="I28" s="177">
        <f t="shared" ca="1" si="20"/>
        <v>4687639.7730523525</v>
      </c>
      <c r="J28" s="177">
        <f t="shared" ca="1" si="20"/>
        <v>4789918.007788525</v>
      </c>
      <c r="K28" s="177">
        <f t="shared" ca="1" si="20"/>
        <v>4895548.935705795</v>
      </c>
      <c r="L28" s="177">
        <f t="shared" ca="1" si="20"/>
        <v>5004647.3245948348</v>
      </c>
      <c r="M28" s="177">
        <f t="shared" ca="1" si="20"/>
        <v>5117332.0929995794</v>
      </c>
      <c r="N28" s="177">
        <f t="shared" ca="1" si="20"/>
        <v>5233726.4700381234</v>
      </c>
      <c r="O28" s="177">
        <f t="shared" ca="1" si="20"/>
        <v>5353958.1617784444</v>
      </c>
      <c r="P28" s="177">
        <f t="shared" ca="1" si="20"/>
        <v>5478159.5244533597</v>
      </c>
      <c r="Q28" s="177">
        <f t="shared" ca="1" si="20"/>
        <v>5606467.7448120117</v>
      </c>
      <c r="R28" s="177">
        <f t="shared" ca="1" si="20"/>
        <v>5739025.0279187094</v>
      </c>
      <c r="S28" s="177">
        <f t="shared" ca="1" si="20"/>
        <v>5875978.7927240925</v>
      </c>
      <c r="T28" s="177">
        <f t="shared" ca="1" si="20"/>
        <v>6017481.8757483801</v>
      </c>
      <c r="U28" s="177">
        <f t="shared" ca="1" si="20"/>
        <v>6163692.743231995</v>
      </c>
      <c r="V28" s="177">
        <f t="shared" ca="1" si="20"/>
        <v>6314775.7121250955</v>
      </c>
      <c r="W28" s="177">
        <f t="shared" ca="1" si="20"/>
        <v>6470901.1803044863</v>
      </c>
      <c r="X28" s="177">
        <f t="shared" ca="1" si="20"/>
        <v>6632245.866424297</v>
      </c>
      <c r="Y28" s="177">
        <f t="shared" ca="1" si="20"/>
        <v>6798993.0598253366</v>
      </c>
      <c r="Z28" s="177">
        <f t="shared" ca="1" si="20"/>
        <v>6971332.8809476588</v>
      </c>
      <c r="AA28" s="177">
        <f t="shared" ca="1" si="20"/>
        <v>7149462.5527112493</v>
      </c>
      <c r="AB28" s="177">
        <f t="shared" ca="1" si="20"/>
        <v>7334451.9874263573</v>
      </c>
      <c r="AC28" s="177">
        <f t="shared" ca="1" si="20"/>
        <v>7525694.7070522476</v>
      </c>
      <c r="AD28" s="177">
        <f t="shared" ca="1" si="20"/>
        <v>7723413.4902297119</v>
      </c>
      <c r="AE28" s="177">
        <f t="shared" ca="1" si="20"/>
        <v>7927839.5579634337</v>
      </c>
      <c r="AF28" s="177"/>
      <c r="AG28" s="177"/>
    </row>
    <row r="29" spans="1:33">
      <c r="A29" s="177"/>
      <c r="B29" s="177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</row>
    <row r="30" spans="1:33">
      <c r="A30" s="171"/>
      <c r="B30" s="177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</row>
    <row r="31" spans="1:33" ht="14" thickBot="1">
      <c r="A31" s="171"/>
      <c r="B31" s="217" t="s">
        <v>154</v>
      </c>
      <c r="C31" s="217"/>
      <c r="D31" s="217"/>
      <c r="E31" s="217">
        <f>E28</f>
        <v>984553.88599999994</v>
      </c>
      <c r="F31" s="217">
        <f>F28</f>
        <v>2450743.9474200001</v>
      </c>
      <c r="G31" s="217">
        <f ca="1">G28</f>
        <v>4102152.9097713269</v>
      </c>
      <c r="H31" s="217">
        <f t="shared" ref="H31:AE31" ca="1" si="21">H28</f>
        <v>4198357.7170053273</v>
      </c>
      <c r="I31" s="217">
        <f t="shared" ca="1" si="21"/>
        <v>4687639.7730523525</v>
      </c>
      <c r="J31" s="217">
        <f t="shared" ca="1" si="21"/>
        <v>4789918.007788525</v>
      </c>
      <c r="K31" s="217">
        <f t="shared" ca="1" si="21"/>
        <v>4895548.935705795</v>
      </c>
      <c r="L31" s="217">
        <f t="shared" ca="1" si="21"/>
        <v>5004647.3245948348</v>
      </c>
      <c r="M31" s="217">
        <f t="shared" ca="1" si="21"/>
        <v>5117332.0929995794</v>
      </c>
      <c r="N31" s="217">
        <f t="shared" ca="1" si="21"/>
        <v>5233726.4700381234</v>
      </c>
      <c r="O31" s="217">
        <f t="shared" ca="1" si="21"/>
        <v>5353958.1617784444</v>
      </c>
      <c r="P31" s="217">
        <f t="shared" ca="1" si="21"/>
        <v>5478159.5244533597</v>
      </c>
      <c r="Q31" s="217">
        <f t="shared" ca="1" si="21"/>
        <v>5606467.7448120117</v>
      </c>
      <c r="R31" s="217">
        <f t="shared" ca="1" si="21"/>
        <v>5739025.0279187094</v>
      </c>
      <c r="S31" s="217">
        <f t="shared" ca="1" si="21"/>
        <v>5875978.7927240925</v>
      </c>
      <c r="T31" s="217">
        <f t="shared" ca="1" si="21"/>
        <v>6017481.8757483801</v>
      </c>
      <c r="U31" s="217">
        <f t="shared" ca="1" si="21"/>
        <v>6163692.743231995</v>
      </c>
      <c r="V31" s="217">
        <f t="shared" ca="1" si="21"/>
        <v>6314775.7121250955</v>
      </c>
      <c r="W31" s="217">
        <f t="shared" ca="1" si="21"/>
        <v>6470901.1803044863</v>
      </c>
      <c r="X31" s="217">
        <f t="shared" ca="1" si="21"/>
        <v>6632245.866424297</v>
      </c>
      <c r="Y31" s="217">
        <f t="shared" ca="1" si="21"/>
        <v>6798993.0598253366</v>
      </c>
      <c r="Z31" s="217">
        <f t="shared" ca="1" si="21"/>
        <v>6971332.8809476588</v>
      </c>
      <c r="AA31" s="217">
        <f t="shared" ca="1" si="21"/>
        <v>7149462.5527112493</v>
      </c>
      <c r="AB31" s="217">
        <f t="shared" ca="1" si="21"/>
        <v>7334451.9874263573</v>
      </c>
      <c r="AC31" s="217">
        <f t="shared" ca="1" si="21"/>
        <v>7525694.7070522476</v>
      </c>
      <c r="AD31" s="217">
        <f t="shared" ca="1" si="21"/>
        <v>7723413.4902297119</v>
      </c>
      <c r="AE31" s="217">
        <f t="shared" ca="1" si="21"/>
        <v>7927839.5579634337</v>
      </c>
      <c r="AF31" s="177"/>
      <c r="AG31" s="177"/>
    </row>
    <row r="32" spans="1:33" ht="14" thickTop="1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</row>
    <row r="33" spans="1:33" ht="14" thickBot="1">
      <c r="A33" s="177"/>
      <c r="B33" s="217" t="s">
        <v>155</v>
      </c>
      <c r="C33" s="217"/>
      <c r="D33" s="217"/>
      <c r="E33" s="218">
        <f>E13-E31</f>
        <v>687835.51399999997</v>
      </c>
      <c r="F33" s="218">
        <f>F13-F31</f>
        <v>4605218.9665800016</v>
      </c>
      <c r="G33" s="218">
        <f t="shared" ref="G33:AE33" ca="1" si="22">G13-G31</f>
        <v>4737185.2462286726</v>
      </c>
      <c r="H33" s="217">
        <f t="shared" ca="1" si="22"/>
        <v>5082947.3467946742</v>
      </c>
      <c r="I33" s="217">
        <f t="shared" ca="1" si="22"/>
        <v>5057730.5439376505</v>
      </c>
      <c r="J33" s="217">
        <f t="shared" ca="1" si="22"/>
        <v>5442720.8250509789</v>
      </c>
      <c r="K33" s="217">
        <f t="shared" ca="1" si="22"/>
        <v>5848721.8387756823</v>
      </c>
      <c r="L33" s="217">
        <f t="shared" ca="1" si="22"/>
        <v>6276836.9886107165</v>
      </c>
      <c r="M33" s="217">
        <f t="shared" ca="1" si="22"/>
        <v>6728226.4358662516</v>
      </c>
      <c r="N33" s="217">
        <f t="shared" ca="1" si="22"/>
        <v>7204109.9852709994</v>
      </c>
      <c r="O33" s="217">
        <f t="shared" ca="1" si="22"/>
        <v>7705770.116296133</v>
      </c>
      <c r="P33" s="217">
        <f t="shared" ca="1" si="22"/>
        <v>8234555.1675249459</v>
      </c>
      <c r="Q33" s="217">
        <f t="shared" ca="1" si="22"/>
        <v>8791882.6817652099</v>
      </c>
      <c r="R33" s="217">
        <f t="shared" ca="1" si="22"/>
        <v>9379242.9199873749</v>
      </c>
      <c r="S33" s="217">
        <f t="shared" ca="1" si="22"/>
        <v>9998202.5525772944</v>
      </c>
      <c r="T33" s="217">
        <f t="shared" ca="1" si="22"/>
        <v>10650408.53681808</v>
      </c>
      <c r="U33" s="217">
        <f t="shared" ca="1" si="22"/>
        <v>11337592.189962788</v>
      </c>
      <c r="V33" s="217">
        <f t="shared" ca="1" si="22"/>
        <v>12061573.467729427</v>
      </c>
      <c r="W33" s="217">
        <f t="shared" ca="1" si="22"/>
        <v>12824265.458542768</v>
      </c>
      <c r="X33" s="217">
        <f t="shared" ca="1" si="22"/>
        <v>13627679.104365319</v>
      </c>
      <c r="Y33" s="217">
        <f t="shared" ca="1" si="22"/>
        <v>14473928.15950376</v>
      </c>
      <c r="Z33" s="217">
        <f t="shared" ca="1" si="22"/>
        <v>15365234.399347892</v>
      </c>
      <c r="AA33" s="217">
        <f t="shared" ca="1" si="22"/>
        <v>16303933.091599081</v>
      </c>
      <c r="AB33" s="217">
        <f t="shared" ca="1" si="22"/>
        <v>17291613.439099491</v>
      </c>
      <c r="AC33" s="217">
        <f t="shared" ca="1" si="22"/>
        <v>18331673.990799896</v>
      </c>
      <c r="AD33" s="217">
        <f t="shared" ca="1" si="22"/>
        <v>19426823.642515041</v>
      </c>
      <c r="AE33" s="217">
        <f t="shared" ca="1" si="22"/>
        <v>20579909.431418557</v>
      </c>
      <c r="AF33" s="177"/>
      <c r="AG33" s="177"/>
    </row>
    <row r="34" spans="1:33" ht="14" thickTop="1">
      <c r="A34" s="177"/>
      <c r="B34" s="177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</row>
    <row r="35" spans="1:33">
      <c r="A35" s="177"/>
      <c r="B35" s="178" t="s">
        <v>156</v>
      </c>
      <c r="C35" s="177"/>
      <c r="D35" s="177"/>
      <c r="E35" s="177"/>
      <c r="F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</row>
    <row r="36" spans="1:33">
      <c r="A36" s="177"/>
      <c r="B36" s="183" t="s">
        <v>157</v>
      </c>
      <c r="C36" s="183"/>
      <c r="D36" s="183"/>
      <c r="E36" s="183"/>
      <c r="F36" s="183">
        <f ca="1">LOOKUP(F3,'Grand Prairie- Loan Amort (4)'!$B$18:$B$57,'Grand Prairie- Loan Amort (4)'!$D$18:$D$57)</f>
        <v>3146957.0720014987</v>
      </c>
      <c r="G36" s="183">
        <f ca="1">LOOKUP(G3,'Grand Prairie- Loan Amort (4)'!$B$18:$B$57,'Grand Prairie- Loan Amort (4)'!$D$18:$D$57)</f>
        <v>3146957.0720014987</v>
      </c>
      <c r="H36" s="183">
        <f ca="1">LOOKUP(H3,'Grand Prairie- Loan Amort (4)'!$B$18:$B$57,'Grand Prairie- Loan Amort (4)'!$D$18:$D$57)</f>
        <v>3146957.0720014987</v>
      </c>
      <c r="I36" s="183">
        <f ca="1">LOOKUP(I3,'Grand Prairie- Loan Amort (4)'!$B$18:$B$57,'Grand Prairie- Loan Amort (4)'!$D$18:$D$57)</f>
        <v>3119582.5889436812</v>
      </c>
      <c r="J36" s="183">
        <f ca="1">LOOKUP(J3,'Grand Prairie- Loan Amort (4)'!$B$18:$B$57,'Grand Prairie- Loan Amort (4)'!$D$18:$D$57)</f>
        <v>3057714.6581175914</v>
      </c>
      <c r="K36" s="183">
        <f ca="1">LOOKUP(K3,'Grand Prairie- Loan Amort (4)'!$B$18:$B$57,'Grand Prairie- Loan Amort (4)'!$D$18:$D$57)</f>
        <v>2992356.8896871218</v>
      </c>
      <c r="L36" s="183">
        <f ca="1">LOOKUP(L3,'Grand Prairie- Loan Amort (4)'!$B$18:$B$57,'Grand Prairie- Loan Amort (4)'!$D$18:$D$57)</f>
        <v>2923312.4293799158</v>
      </c>
      <c r="M36" s="183">
        <f ca="1">LOOKUP(M3,'Grand Prairie- Loan Amort (4)'!$B$18:$B$57,'Grand Prairie- Loan Amort (4)'!$D$18:$D$57)</f>
        <v>2850373.3187953066</v>
      </c>
      <c r="N36" s="183">
        <f ca="1">LOOKUP(N3,'Grand Prairie- Loan Amort (4)'!$B$18:$B$57,'Grand Prairie- Loan Amort (4)'!$D$18:$D$57)</f>
        <v>2773319.8690441954</v>
      </c>
      <c r="O36" s="183">
        <f ca="1">LOOKUP(O3,'Grand Prairie- Loan Amort (4)'!$B$18:$B$57,'Grand Prairie- Loan Amort (4)'!$D$18:$D$57)</f>
        <v>2691919.9990572995</v>
      </c>
      <c r="P36" s="183">
        <f ca="1">LOOKUP(P3,'Grand Prairie- Loan Amort (4)'!$B$18:$B$57,'Grand Prairie- Loan Amort (4)'!$D$18:$D$57)</f>
        <v>2605928.5365687828</v>
      </c>
      <c r="Q36" s="183">
        <f ca="1">LOOKUP(Q3,'Grand Prairie- Loan Amort (4)'!$B$18:$B$57,'Grand Prairie- Loan Amort (4)'!$D$18:$D$57)</f>
        <v>2515086.4796698652</v>
      </c>
      <c r="R36" s="183">
        <f ca="1">LOOKUP(R3,'Grand Prairie- Loan Amort (4)'!$B$18:$B$57,'Grand Prairie- Loan Amort (4)'!$D$18:$D$57)</f>
        <v>2419120.2167082587</v>
      </c>
      <c r="S36" s="183">
        <f ca="1">LOOKUP(S3,'Grand Prairie- Loan Amort (4)'!$B$18:$B$57,'Grand Prairie- Loan Amort (4)'!$D$18:$D$57)</f>
        <v>2317740.7021837924</v>
      </c>
      <c r="T36" s="183">
        <f ca="1">LOOKUP(T3,'Grand Prairie- Loan Amort (4)'!$B$18:$B$57,'Grand Prairie- Loan Amort (4)'!$D$18:$D$57)</f>
        <v>2210642.5861580763</v>
      </c>
      <c r="U36" s="183">
        <f ca="1">LOOKUP(U3,'Grand Prairie- Loan Amort (4)'!$B$18:$B$57,'Grand Prairie- Loan Amort (4)'!$D$18:$D$57)</f>
        <v>2097503.2945560277</v>
      </c>
      <c r="V36" s="183">
        <f ca="1">LOOKUP(V3,'Grand Prairie- Loan Amort (4)'!$B$18:$B$57,'Grand Prairie- Loan Amort (4)'!$D$18:$D$57)</f>
        <v>1977982.0575891729</v>
      </c>
      <c r="W36" s="183">
        <f ca="1">LOOKUP(W3,'Grand Prairie- Loan Amort (4)'!$B$18:$B$57,'Grand Prairie- Loan Amort (4)'!$D$18:$D$57)</f>
        <v>1851718.8833743851</v>
      </c>
      <c r="X36" s="183">
        <f ca="1">LOOKUP(X3,'Grand Prairie- Loan Amort (4)'!$B$18:$B$57,'Grand Prairie- Loan Amort (4)'!$D$18:$D$57)</f>
        <v>1718333.4736566548</v>
      </c>
      <c r="Y36" s="183">
        <f ca="1">LOOKUP(Y3,'Grand Prairie- Loan Amort (4)'!$B$18:$B$57,'Grand Prairie- Loan Amort (4)'!$D$18:$D$57)</f>
        <v>1577424.0783700994</v>
      </c>
      <c r="Z36" s="183">
        <f ca="1">LOOKUP(Z3,'Grand Prairie- Loan Amort (4)'!$B$18:$B$57,'Grand Prairie- Loan Amort (4)'!$D$18:$D$57)</f>
        <v>1428566.2855872102</v>
      </c>
      <c r="AA36" s="183">
        <f ca="1">LOOKUP(AA3,'Grand Prairie- Loan Amort (4)'!$B$18:$B$57,'Grand Prairie- Loan Amort (4)'!$D$18:$D$57)</f>
        <v>1271311.7432117243</v>
      </c>
      <c r="AB36" s="183">
        <f ca="1">LOOKUP(AB3,'Grand Prairie- Loan Amort (4)'!$B$18:$B$57,'Grand Prairie- Loan Amort (4)'!$D$18:$D$57)</f>
        <v>1105186.8085649312</v>
      </c>
      <c r="AC36" s="183">
        <f ca="1">LOOKUP(AC3,'Grand Prairie- Loan Amort (4)'!$B$18:$B$57,'Grand Prairie- Loan Amort (4)'!$D$18:$D$57)</f>
        <v>929691.12179802544</v>
      </c>
      <c r="AD36" s="183">
        <f ca="1">LOOKUP(AD3,'Grand Prairie- Loan Amort (4)'!$B$18:$B$57,'Grand Prairie- Loan Amort (4)'!$D$18:$D$57)</f>
        <v>744296.09883370856</v>
      </c>
      <c r="AE36" s="183">
        <f ca="1">LOOKUP(AE3,'Grand Prairie- Loan Amort (4)'!$B$18:$B$57,'Grand Prairie- Loan Amort (4)'!$D$18:$D$57)</f>
        <v>548443.33929784643</v>
      </c>
      <c r="AF36" s="177"/>
      <c r="AG36" s="177"/>
    </row>
    <row r="37" spans="1:33">
      <c r="A37" s="177"/>
      <c r="B37" s="186" t="s">
        <v>158</v>
      </c>
      <c r="C37" s="186"/>
      <c r="D37" s="186"/>
      <c r="E37" s="186"/>
      <c r="F37" s="183">
        <f>LOOKUP(F3,'Grand Prairie- Loan Amort (4)'!$B$18:$B$57,'Grand Prairie- Loan Amort (4)'!$E$18:$E$57)</f>
        <v>0</v>
      </c>
      <c r="G37" s="183">
        <f>LOOKUP(G3,'Grand Prairie- Loan Amort (4)'!$B$18:$B$57,'Grand Prairie- Loan Amort (4)'!$E$18:$E$57)</f>
        <v>0</v>
      </c>
      <c r="H37" s="183">
        <f>LOOKUP(H3,'Grand Prairie- Loan Amort (4)'!$B$18:$B$57,'Grand Prairie- Loan Amort (4)'!$E$18:$E$57)</f>
        <v>0</v>
      </c>
      <c r="I37" s="183">
        <f ca="1">LOOKUP(I3,'Grand Prairie- Loan Amort (4)'!$B$18:$B$57,'Grand Prairie- Loan Amort (4)'!$E$18:$E$57)</f>
        <v>1096796.2692297851</v>
      </c>
      <c r="J37" s="183">
        <f ca="1">LOOKUP(J3,'Grand Prairie- Loan Amort (4)'!$B$18:$B$57,'Grand Prairie- Loan Amort (4)'!$E$18:$E$57)</f>
        <v>1158664.2000558749</v>
      </c>
      <c r="K37" s="183">
        <f ca="1">LOOKUP(K3,'Grand Prairie- Loan Amort (4)'!$B$18:$B$57,'Grand Prairie- Loan Amort (4)'!$E$18:$E$57)</f>
        <v>1224021.9684863444</v>
      </c>
      <c r="L37" s="183">
        <f ca="1">LOOKUP(L3,'Grand Prairie- Loan Amort (4)'!$B$18:$B$57,'Grand Prairie- Loan Amort (4)'!$E$18:$E$57)</f>
        <v>1293066.4287935505</v>
      </c>
      <c r="M37" s="183">
        <f ca="1">LOOKUP(M3,'Grand Prairie- Loan Amort (4)'!$B$18:$B$57,'Grand Prairie- Loan Amort (4)'!$E$18:$E$57)</f>
        <v>1366005.5393781597</v>
      </c>
      <c r="N37" s="183">
        <f ca="1">LOOKUP(N3,'Grand Prairie- Loan Amort (4)'!$B$18:$B$57,'Grand Prairie- Loan Amort (4)'!$E$18:$E$57)</f>
        <v>1443058.9891292709</v>
      </c>
      <c r="O37" s="183">
        <f ca="1">LOOKUP(O3,'Grand Prairie- Loan Amort (4)'!$B$18:$B$57,'Grand Prairie- Loan Amort (4)'!$E$18:$E$57)</f>
        <v>1524458.8591161668</v>
      </c>
      <c r="P37" s="183">
        <f ca="1">LOOKUP(P3,'Grand Prairie- Loan Amort (4)'!$B$18:$B$57,'Grand Prairie- Loan Amort (4)'!$E$18:$E$57)</f>
        <v>1610450.3216046835</v>
      </c>
      <c r="Q37" s="183">
        <f ca="1">LOOKUP(Q3,'Grand Prairie- Loan Amort (4)'!$B$18:$B$57,'Grand Prairie- Loan Amort (4)'!$E$18:$E$57)</f>
        <v>1701292.3785036011</v>
      </c>
      <c r="R37" s="183">
        <f ca="1">LOOKUP(R3,'Grand Prairie- Loan Amort (4)'!$B$18:$B$57,'Grand Prairie- Loan Amort (4)'!$E$18:$E$57)</f>
        <v>1797258.6414652076</v>
      </c>
      <c r="S37" s="183">
        <f ca="1">LOOKUP(S3,'Grand Prairie- Loan Amort (4)'!$B$18:$B$57,'Grand Prairie- Loan Amort (4)'!$E$18:$E$57)</f>
        <v>1898638.1559896739</v>
      </c>
      <c r="T37" s="183">
        <f ca="1">LOOKUP(T3,'Grand Prairie- Loan Amort (4)'!$B$18:$B$57,'Grand Prairie- Loan Amort (4)'!$E$18:$E$57)</f>
        <v>2005736.27201539</v>
      </c>
      <c r="U37" s="183">
        <f ca="1">LOOKUP(U3,'Grand Prairie- Loan Amort (4)'!$B$18:$B$57,'Grand Prairie- Loan Amort (4)'!$E$18:$E$57)</f>
        <v>2118875.5636174385</v>
      </c>
      <c r="V37" s="183">
        <f ca="1">LOOKUP(V3,'Grand Prairie- Loan Amort (4)'!$B$18:$B$57,'Grand Prairie- Loan Amort (4)'!$E$18:$E$57)</f>
        <v>2238396.8005842934</v>
      </c>
      <c r="W37" s="183">
        <f ca="1">LOOKUP(W3,'Grand Prairie- Loan Amort (4)'!$B$18:$B$57,'Grand Prairie- Loan Amort (4)'!$E$18:$E$57)</f>
        <v>2364659.9747990812</v>
      </c>
      <c r="X37" s="183">
        <f ca="1">LOOKUP(X3,'Grand Prairie- Loan Amort (4)'!$B$18:$B$57,'Grand Prairie- Loan Amort (4)'!$E$18:$E$57)</f>
        <v>2498045.3845168115</v>
      </c>
      <c r="Y37" s="183">
        <f ca="1">LOOKUP(Y3,'Grand Prairie- Loan Amort (4)'!$B$18:$B$57,'Grand Prairie- Loan Amort (4)'!$E$18:$E$57)</f>
        <v>2638954.7798033669</v>
      </c>
      <c r="Z37" s="183">
        <f ca="1">LOOKUP(Z3,'Grand Prairie- Loan Amort (4)'!$B$18:$B$57,'Grand Prairie- Loan Amort (4)'!$E$18:$E$57)</f>
        <v>2787812.5725862561</v>
      </c>
      <c r="AA37" s="183">
        <f ca="1">LOOKUP(AA3,'Grand Prairie- Loan Amort (4)'!$B$18:$B$57,'Grand Prairie- Loan Amort (4)'!$E$18:$E$57)</f>
        <v>2945067.114961742</v>
      </c>
      <c r="AB37" s="183">
        <f ca="1">LOOKUP(AB3,'Grand Prairie- Loan Amort (4)'!$B$18:$B$57,'Grand Prairie- Loan Amort (4)'!$E$18:$E$57)</f>
        <v>3111192.0496085351</v>
      </c>
      <c r="AC37" s="183">
        <f ca="1">LOOKUP(AC3,'Grand Prairie- Loan Amort (4)'!$B$18:$B$57,'Grand Prairie- Loan Amort (4)'!$E$18:$E$57)</f>
        <v>3286687.7363754408</v>
      </c>
      <c r="AD37" s="183">
        <f ca="1">LOOKUP(AD3,'Grand Prairie- Loan Amort (4)'!$B$18:$B$57,'Grand Prairie- Loan Amort (4)'!$E$18:$E$57)</f>
        <v>3472082.7593397577</v>
      </c>
      <c r="AE37" s="183">
        <f ca="1">LOOKUP(AE3,'Grand Prairie- Loan Amort (4)'!$B$18:$B$57,'Grand Prairie- Loan Amort (4)'!$E$18:$E$57)</f>
        <v>3667935.5188756199</v>
      </c>
      <c r="AF37" s="177"/>
      <c r="AG37" s="177"/>
    </row>
    <row r="38" spans="1:33">
      <c r="A38" s="177"/>
      <c r="B38" s="186" t="s">
        <v>151</v>
      </c>
      <c r="C38" s="186"/>
      <c r="D38" s="186"/>
      <c r="E38" s="186"/>
      <c r="F38" s="183">
        <f>LOOKUP(F3,'Grand Prairie- Loan Amort (4)'!$B$18:$B$57,'Grand Prairie- Loan Amort (4)'!$G$18:$G$57)</f>
        <v>0</v>
      </c>
      <c r="G38" s="183">
        <f>LOOKUP(G3,'Grand Prairie- Loan Amort (4)'!$B$18:$B$57,'Grand Prairie- Loan Amort (4)'!$G$18:$G$57)</f>
        <v>0</v>
      </c>
      <c r="H38" s="183">
        <f>LOOKUP(H3,'Grand Prairie- Loan Amort (4)'!$B$18:$B$57,'Grand Prairie- Loan Amort (4)'!$G$18:$G$57)</f>
        <v>0</v>
      </c>
      <c r="I38" s="183">
        <f>LOOKUP(I3,'Grand Prairie- Loan Amort (4)'!$B$18:$B$57,'Grand Prairie- Loan Amort (4)'!$G$18:$G$57)</f>
        <v>0</v>
      </c>
      <c r="J38" s="183">
        <f>LOOKUP(J3,'Grand Prairie- Loan Amort (4)'!$B$18:$B$57,'Grand Prairie- Loan Amort (4)'!$G$18:$G$57)</f>
        <v>0</v>
      </c>
      <c r="K38" s="183">
        <f>LOOKUP(K3,'Grand Prairie- Loan Amort (4)'!$B$18:$B$57,'Grand Prairie- Loan Amort (4)'!$G$18:$G$57)</f>
        <v>0</v>
      </c>
      <c r="L38" s="183">
        <f>LOOKUP(L3,'Grand Prairie- Loan Amort (4)'!$B$18:$B$57,'Grand Prairie- Loan Amort (4)'!$G$18:$G$57)</f>
        <v>0</v>
      </c>
      <c r="M38" s="183">
        <f>LOOKUP(M3,'Grand Prairie- Loan Amort (4)'!$B$18:$B$57,'Grand Prairie- Loan Amort (4)'!$G$18:$G$57)</f>
        <v>0</v>
      </c>
      <c r="N38" s="183">
        <f>LOOKUP(N3,'Grand Prairie- Loan Amort (4)'!$B$18:$B$57,'Grand Prairie- Loan Amort (4)'!$G$18:$G$57)</f>
        <v>0</v>
      </c>
      <c r="O38" s="183">
        <f>LOOKUP(O3,'Grand Prairie- Loan Amort (4)'!$B$18:$B$57,'Grand Prairie- Loan Amort (4)'!$G$18:$G$57)</f>
        <v>0</v>
      </c>
      <c r="P38" s="183">
        <f>LOOKUP(P3,'Grand Prairie- Loan Amort (4)'!$B$18:$B$57,'Grand Prairie- Loan Amort (4)'!$G$18:$G$57)</f>
        <v>0</v>
      </c>
      <c r="Q38" s="183">
        <f>LOOKUP(Q3,'Grand Prairie- Loan Amort (4)'!$B$18:$B$57,'Grand Prairie- Loan Amort (4)'!$G$18:$G$57)</f>
        <v>0</v>
      </c>
      <c r="R38" s="183">
        <f>LOOKUP(R3,'Grand Prairie- Loan Amort (4)'!$B$18:$B$57,'Grand Prairie- Loan Amort (4)'!$G$18:$G$57)</f>
        <v>0</v>
      </c>
      <c r="S38" s="183">
        <f>LOOKUP(S3,'Grand Prairie- Loan Amort (4)'!$B$18:$B$57,'Grand Prairie- Loan Amort (4)'!$G$18:$G$57)</f>
        <v>0</v>
      </c>
      <c r="T38" s="183">
        <f>LOOKUP(T3,'Grand Prairie- Loan Amort (4)'!$B$18:$B$57,'Grand Prairie- Loan Amort (4)'!$G$18:$G$57)</f>
        <v>0</v>
      </c>
      <c r="U38" s="183">
        <f>LOOKUP(U3,'Grand Prairie- Loan Amort (4)'!$B$18:$B$57,'Grand Prairie- Loan Amort (4)'!$G$18:$G$57)</f>
        <v>0</v>
      </c>
      <c r="V38" s="183">
        <f>LOOKUP(V3,'Grand Prairie- Loan Amort (4)'!$B$18:$B$57,'Grand Prairie- Loan Amort (4)'!$G$18:$G$57)</f>
        <v>0</v>
      </c>
      <c r="W38" s="183">
        <f>LOOKUP(W3,'Grand Prairie- Loan Amort (4)'!$B$18:$B$57,'Grand Prairie- Loan Amort (4)'!$G$18:$G$57)</f>
        <v>0</v>
      </c>
      <c r="X38" s="183">
        <f>LOOKUP(X3,'Grand Prairie- Loan Amort (4)'!$B$18:$B$57,'Grand Prairie- Loan Amort (4)'!$G$18:$G$57)</f>
        <v>0</v>
      </c>
      <c r="Y38" s="183">
        <f>LOOKUP(Y3,'Grand Prairie- Loan Amort (4)'!$B$18:$B$57,'Grand Prairie- Loan Amort (4)'!$G$18:$G$57)</f>
        <v>0</v>
      </c>
      <c r="Z38" s="183">
        <f>LOOKUP(Z3,'Grand Prairie- Loan Amort (4)'!$B$18:$B$57,'Grand Prairie- Loan Amort (4)'!$G$18:$G$57)</f>
        <v>0</v>
      </c>
      <c r="AA38" s="183">
        <f>LOOKUP(AA3,'Grand Prairie- Loan Amort (4)'!$B$18:$B$57,'Grand Prairie- Loan Amort (4)'!$G$18:$G$57)</f>
        <v>0</v>
      </c>
      <c r="AB38" s="183">
        <f>LOOKUP(AB3,'Grand Prairie- Loan Amort (4)'!$B$18:$B$57,'Grand Prairie- Loan Amort (4)'!$G$18:$G$57)</f>
        <v>0</v>
      </c>
      <c r="AC38" s="183">
        <f>LOOKUP(AC3,'Grand Prairie- Loan Amort (4)'!$B$18:$B$57,'Grand Prairie- Loan Amort (4)'!$G$18:$G$57)</f>
        <v>0</v>
      </c>
      <c r="AD38" s="183">
        <f>LOOKUP(AD3,'Grand Prairie- Loan Amort (4)'!$B$18:$B$57,'Grand Prairie- Loan Amort (4)'!$G$18:$G$57)</f>
        <v>0</v>
      </c>
      <c r="AE38" s="183">
        <f>LOOKUP(AE3,'Grand Prairie- Loan Amort (4)'!$B$18:$B$57,'Grand Prairie- Loan Amort (4)'!$G$18:$G$57)</f>
        <v>0</v>
      </c>
      <c r="AF38" s="177"/>
      <c r="AG38" s="177"/>
    </row>
    <row r="39" spans="1:33">
      <c r="A39" s="177"/>
      <c r="B39" s="186" t="s">
        <v>159</v>
      </c>
      <c r="C39" s="186"/>
      <c r="D39" s="186"/>
      <c r="E39" s="186"/>
      <c r="F39" s="186">
        <f t="shared" ref="F39:AB39" ca="1" si="23">SUM(F36:F38)</f>
        <v>3146957.0720014987</v>
      </c>
      <c r="G39" s="186">
        <f t="shared" ca="1" si="23"/>
        <v>3146957.0720014987</v>
      </c>
      <c r="H39" s="186">
        <f t="shared" ca="1" si="23"/>
        <v>3146957.0720014987</v>
      </c>
      <c r="I39" s="186">
        <f t="shared" ca="1" si="23"/>
        <v>4216378.8581734663</v>
      </c>
      <c r="J39" s="186">
        <f t="shared" ca="1" si="23"/>
        <v>4216378.8581734663</v>
      </c>
      <c r="K39" s="186">
        <f t="shared" ca="1" si="23"/>
        <v>4216378.8581734663</v>
      </c>
      <c r="L39" s="186">
        <f t="shared" ca="1" si="23"/>
        <v>4216378.8581734663</v>
      </c>
      <c r="M39" s="186">
        <f t="shared" ca="1" si="23"/>
        <v>4216378.8581734663</v>
      </c>
      <c r="N39" s="186">
        <f t="shared" ca="1" si="23"/>
        <v>4216378.8581734663</v>
      </c>
      <c r="O39" s="186">
        <f t="shared" ca="1" si="23"/>
        <v>4216378.8581734663</v>
      </c>
      <c r="P39" s="186">
        <f t="shared" ca="1" si="23"/>
        <v>4216378.8581734663</v>
      </c>
      <c r="Q39" s="186">
        <f t="shared" ca="1" si="23"/>
        <v>4216378.8581734663</v>
      </c>
      <c r="R39" s="186">
        <f t="shared" ca="1" si="23"/>
        <v>4216378.8581734663</v>
      </c>
      <c r="S39" s="186">
        <f t="shared" ca="1" si="23"/>
        <v>4216378.8581734663</v>
      </c>
      <c r="T39" s="186">
        <f t="shared" ca="1" si="23"/>
        <v>4216378.8581734663</v>
      </c>
      <c r="U39" s="186">
        <f t="shared" ca="1" si="23"/>
        <v>4216378.8581734663</v>
      </c>
      <c r="V39" s="186">
        <f t="shared" ca="1" si="23"/>
        <v>4216378.8581734663</v>
      </c>
      <c r="W39" s="186">
        <f t="shared" ca="1" si="23"/>
        <v>4216378.8581734663</v>
      </c>
      <c r="X39" s="186">
        <f t="shared" ca="1" si="23"/>
        <v>4216378.8581734663</v>
      </c>
      <c r="Y39" s="186">
        <f t="shared" ca="1" si="23"/>
        <v>4216378.8581734663</v>
      </c>
      <c r="Z39" s="186">
        <f t="shared" ca="1" si="23"/>
        <v>4216378.8581734663</v>
      </c>
      <c r="AA39" s="186">
        <f t="shared" ca="1" si="23"/>
        <v>4216378.8581734663</v>
      </c>
      <c r="AB39" s="186">
        <f t="shared" ca="1" si="23"/>
        <v>4216378.8581734663</v>
      </c>
      <c r="AC39" s="186">
        <f ca="1">SUM(AC36:AC38)</f>
        <v>4216378.8581734663</v>
      </c>
      <c r="AD39" s="186">
        <f ca="1">SUM(AD36:AD38)</f>
        <v>4216378.8581734663</v>
      </c>
      <c r="AE39" s="186">
        <f ca="1">SUM(AE36:AE38)</f>
        <v>4216378.8581734663</v>
      </c>
      <c r="AF39" s="177"/>
      <c r="AG39" s="177"/>
    </row>
    <row r="40" spans="1:33">
      <c r="A40" s="177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77"/>
      <c r="AG40" s="177"/>
    </row>
    <row r="41" spans="1:33">
      <c r="A41" s="177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77"/>
      <c r="AG41" s="177"/>
    </row>
    <row r="42" spans="1:33">
      <c r="A42" s="177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77"/>
      <c r="AG42" s="177"/>
    </row>
    <row r="43" spans="1:33" ht="14" thickBot="1">
      <c r="A43" s="177"/>
      <c r="B43" s="217" t="s">
        <v>160</v>
      </c>
      <c r="C43" s="217"/>
      <c r="D43" s="217">
        <f>D33-D39-D41</f>
        <v>0</v>
      </c>
      <c r="E43" s="217">
        <f>E33-E39-E41</f>
        <v>687835.51399999997</v>
      </c>
      <c r="F43" s="217">
        <f ca="1">F33-F39-F41</f>
        <v>1458261.894578503</v>
      </c>
      <c r="G43" s="217">
        <f ca="1">G33-G39-G41</f>
        <v>1590228.1742271739</v>
      </c>
      <c r="H43" s="217">
        <f t="shared" ref="H43:AE43" ca="1" si="24">H33-H39-H41</f>
        <v>1935990.2747931755</v>
      </c>
      <c r="I43" s="217">
        <f t="shared" ca="1" si="24"/>
        <v>841351.68576418422</v>
      </c>
      <c r="J43" s="217">
        <f t="shared" ca="1" si="24"/>
        <v>1226341.9668775126</v>
      </c>
      <c r="K43" s="217">
        <f t="shared" ca="1" si="24"/>
        <v>1632342.980602216</v>
      </c>
      <c r="L43" s="217">
        <f t="shared" ca="1" si="24"/>
        <v>2060458.1304372502</v>
      </c>
      <c r="M43" s="217">
        <f t="shared" ca="1" si="24"/>
        <v>2511847.5776927853</v>
      </c>
      <c r="N43" s="217">
        <f t="shared" ca="1" si="24"/>
        <v>2987731.1270975331</v>
      </c>
      <c r="O43" s="217">
        <f t="shared" ca="1" si="24"/>
        <v>3489391.2581226667</v>
      </c>
      <c r="P43" s="217">
        <f t="shared" ca="1" si="24"/>
        <v>4018176.3093514796</v>
      </c>
      <c r="Q43" s="217">
        <f t="shared" ca="1" si="24"/>
        <v>4575503.8235917436</v>
      </c>
      <c r="R43" s="217">
        <f t="shared" ca="1" si="24"/>
        <v>5162864.0618139086</v>
      </c>
      <c r="S43" s="217">
        <f t="shared" ca="1" si="24"/>
        <v>5781823.6944038281</v>
      </c>
      <c r="T43" s="217">
        <f t="shared" ca="1" si="24"/>
        <v>6434029.6786446134</v>
      </c>
      <c r="U43" s="217">
        <f t="shared" ca="1" si="24"/>
        <v>7121213.3317893213</v>
      </c>
      <c r="V43" s="217">
        <f t="shared" ca="1" si="24"/>
        <v>7845194.6095559606</v>
      </c>
      <c r="W43" s="217">
        <f t="shared" ca="1" si="24"/>
        <v>8607886.6003693007</v>
      </c>
      <c r="X43" s="217">
        <f t="shared" ca="1" si="24"/>
        <v>9411300.2461918518</v>
      </c>
      <c r="Y43" s="217">
        <f t="shared" ca="1" si="24"/>
        <v>10257549.301330294</v>
      </c>
      <c r="Z43" s="217">
        <f t="shared" ca="1" si="24"/>
        <v>11148855.541174427</v>
      </c>
      <c r="AA43" s="217">
        <f t="shared" ca="1" si="24"/>
        <v>12087554.233425613</v>
      </c>
      <c r="AB43" s="217">
        <f t="shared" ca="1" si="24"/>
        <v>13075234.580926023</v>
      </c>
      <c r="AC43" s="217">
        <f t="shared" ca="1" si="24"/>
        <v>14115295.132626429</v>
      </c>
      <c r="AD43" s="217">
        <f t="shared" ca="1" si="24"/>
        <v>15210444.784341574</v>
      </c>
      <c r="AE43" s="217">
        <f t="shared" ca="1" si="24"/>
        <v>16363530.57324509</v>
      </c>
      <c r="AF43" s="177"/>
      <c r="AG43" s="177"/>
    </row>
    <row r="44" spans="1:33" ht="14" thickTop="1">
      <c r="A44" s="177"/>
      <c r="B44" s="219" t="s">
        <v>161</v>
      </c>
      <c r="C44" s="220"/>
      <c r="D44" s="220"/>
      <c r="E44" s="220"/>
      <c r="F44" s="221">
        <f ca="1">F33/F39</f>
        <v>1.4633879208434937</v>
      </c>
      <c r="G44" s="221">
        <f ca="1">G33/G39</f>
        <v>1.5053224870384938</v>
      </c>
      <c r="H44" s="222">
        <f ca="1">H33/H39</f>
        <v>1.6151943704659004</v>
      </c>
      <c r="I44" s="222">
        <f t="shared" ref="I44:AE44" ca="1" si="25">I33/I39</f>
        <v>1.1995436639032617</v>
      </c>
      <c r="J44" s="222">
        <f t="shared" ca="1" si="25"/>
        <v>1.2908519390994109</v>
      </c>
      <c r="K44" s="222">
        <f t="shared" ca="1" si="25"/>
        <v>1.3871433368559642</v>
      </c>
      <c r="L44" s="222">
        <f t="shared" ca="1" si="25"/>
        <v>1.4886795517539997</v>
      </c>
      <c r="M44" s="222">
        <f t="shared" ca="1" si="25"/>
        <v>1.5957357396438794</v>
      </c>
      <c r="N44" s="222">
        <f t="shared" ca="1" si="25"/>
        <v>1.7086012020257157</v>
      </c>
      <c r="O44" s="222">
        <f t="shared" ca="1" si="25"/>
        <v>1.8275801049894909</v>
      </c>
      <c r="P44" s="222">
        <f t="shared" ca="1" si="25"/>
        <v>1.9529922344530852</v>
      </c>
      <c r="Q44" s="222">
        <f t="shared" ca="1" si="25"/>
        <v>2.0851737895237075</v>
      </c>
      <c r="R44" s="222">
        <f t="shared" ca="1" si="25"/>
        <v>2.2244782158998064</v>
      </c>
      <c r="S44" s="222">
        <f t="shared" ca="1" si="25"/>
        <v>2.3712770813267268</v>
      </c>
      <c r="T44" s="222">
        <f t="shared" ca="1" si="25"/>
        <v>2.5259609952203945</v>
      </c>
      <c r="U44" s="222">
        <f t="shared" ca="1" si="25"/>
        <v>2.688940574679342</v>
      </c>
      <c r="V44" s="222">
        <f t="shared" ca="1" si="25"/>
        <v>2.8606474592168163</v>
      </c>
      <c r="W44" s="222">
        <f t="shared" ca="1" si="25"/>
        <v>3.04153537666163</v>
      </c>
      <c r="X44" s="222">
        <f t="shared" ca="1" si="25"/>
        <v>3.232081262799241</v>
      </c>
      <c r="Y44" s="222">
        <f t="shared" ca="1" si="25"/>
        <v>3.4327864374535499</v>
      </c>
      <c r="Z44" s="222">
        <f t="shared" ca="1" si="25"/>
        <v>3.6441778398452804</v>
      </c>
      <c r="AA44" s="222">
        <f t="shared" ca="1" si="25"/>
        <v>3.8668093262050789</v>
      </c>
      <c r="AB44" s="222">
        <f t="shared" ca="1" si="25"/>
        <v>4.1010578083085756</v>
      </c>
      <c r="AC44" s="222">
        <f t="shared" ca="1" si="25"/>
        <v>4.3477293211599992</v>
      </c>
      <c r="AD44" s="222">
        <f t="shared" ca="1" si="25"/>
        <v>4.6074663344960261</v>
      </c>
      <c r="AE44" s="222">
        <f t="shared" ca="1" si="25"/>
        <v>4.8809440810861489</v>
      </c>
      <c r="AF44" s="177"/>
      <c r="AG44" s="177"/>
    </row>
    <row r="45" spans="1:33">
      <c r="A45" s="177"/>
      <c r="B45" s="223" t="s">
        <v>162</v>
      </c>
      <c r="C45" s="177"/>
      <c r="D45" s="177"/>
      <c r="E45" s="177"/>
      <c r="F45" s="224">
        <f ca="1">F33/(F39+F41)</f>
        <v>1.4633879208434937</v>
      </c>
      <c r="G45" s="224">
        <f ca="1">G33/(G39+G41)</f>
        <v>1.5053224870384938</v>
      </c>
      <c r="H45" s="224">
        <f t="shared" ref="H45:AE45" ca="1" si="26">H33/(H39+H41)</f>
        <v>1.6151943704659004</v>
      </c>
      <c r="I45" s="224">
        <f t="shared" ca="1" si="26"/>
        <v>1.1995436639032617</v>
      </c>
      <c r="J45" s="224">
        <f t="shared" ca="1" si="26"/>
        <v>1.2908519390994109</v>
      </c>
      <c r="K45" s="224">
        <f t="shared" ca="1" si="26"/>
        <v>1.3871433368559642</v>
      </c>
      <c r="L45" s="224">
        <f t="shared" ca="1" si="26"/>
        <v>1.4886795517539997</v>
      </c>
      <c r="M45" s="224">
        <f t="shared" ca="1" si="26"/>
        <v>1.5957357396438794</v>
      </c>
      <c r="N45" s="224">
        <f t="shared" ca="1" si="26"/>
        <v>1.7086012020257157</v>
      </c>
      <c r="O45" s="224">
        <f t="shared" ca="1" si="26"/>
        <v>1.8275801049894909</v>
      </c>
      <c r="P45" s="224">
        <f t="shared" ca="1" si="26"/>
        <v>1.9529922344530852</v>
      </c>
      <c r="Q45" s="224">
        <f t="shared" ca="1" si="26"/>
        <v>2.0851737895237075</v>
      </c>
      <c r="R45" s="224">
        <f t="shared" ca="1" si="26"/>
        <v>2.2244782158998064</v>
      </c>
      <c r="S45" s="224">
        <f t="shared" ca="1" si="26"/>
        <v>2.3712770813267268</v>
      </c>
      <c r="T45" s="224">
        <f t="shared" ca="1" si="26"/>
        <v>2.5259609952203945</v>
      </c>
      <c r="U45" s="224">
        <f t="shared" ca="1" si="26"/>
        <v>2.688940574679342</v>
      </c>
      <c r="V45" s="224">
        <f t="shared" ca="1" si="26"/>
        <v>2.8606474592168163</v>
      </c>
      <c r="W45" s="224">
        <f t="shared" ca="1" si="26"/>
        <v>3.04153537666163</v>
      </c>
      <c r="X45" s="224">
        <f t="shared" ca="1" si="26"/>
        <v>3.232081262799241</v>
      </c>
      <c r="Y45" s="224">
        <f t="shared" ca="1" si="26"/>
        <v>3.4327864374535499</v>
      </c>
      <c r="Z45" s="224">
        <f t="shared" ca="1" si="26"/>
        <v>3.6441778398452804</v>
      </c>
      <c r="AA45" s="224">
        <f t="shared" ca="1" si="26"/>
        <v>3.8668093262050789</v>
      </c>
      <c r="AB45" s="224">
        <f t="shared" ca="1" si="26"/>
        <v>4.1010578083085756</v>
      </c>
      <c r="AC45" s="224">
        <f t="shared" ca="1" si="26"/>
        <v>4.3477293211599992</v>
      </c>
      <c r="AD45" s="224">
        <f t="shared" ca="1" si="26"/>
        <v>4.6074663344960261</v>
      </c>
      <c r="AE45" s="224">
        <f t="shared" ca="1" si="26"/>
        <v>4.8809440810861489</v>
      </c>
      <c r="AF45" s="177"/>
      <c r="AG45" s="177"/>
    </row>
    <row r="46" spans="1:33">
      <c r="A46" s="177"/>
      <c r="Q46" s="177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</row>
    <row r="47" spans="1:33">
      <c r="A47" s="177"/>
      <c r="B47" s="225" t="s">
        <v>163</v>
      </c>
      <c r="C47" s="225"/>
      <c r="D47" s="225"/>
      <c r="E47" s="225"/>
      <c r="F47" s="225">
        <f ca="1">F43</f>
        <v>1458261.894578503</v>
      </c>
      <c r="G47" s="225">
        <f ca="1">G43</f>
        <v>1590228.1742271739</v>
      </c>
      <c r="H47" s="225">
        <f t="shared" ref="H47:S47" ca="1" si="27">H43</f>
        <v>1935990.2747931755</v>
      </c>
      <c r="I47" s="225">
        <f t="shared" ca="1" si="27"/>
        <v>841351.68576418422</v>
      </c>
      <c r="J47" s="225">
        <f t="shared" ca="1" si="27"/>
        <v>1226341.9668775126</v>
      </c>
      <c r="K47" s="225">
        <f t="shared" ca="1" si="27"/>
        <v>1632342.980602216</v>
      </c>
      <c r="L47" s="225">
        <f t="shared" ca="1" si="27"/>
        <v>2060458.1304372502</v>
      </c>
      <c r="M47" s="225">
        <f t="shared" ca="1" si="27"/>
        <v>2511847.5776927853</v>
      </c>
      <c r="N47" s="225">
        <f t="shared" ca="1" si="27"/>
        <v>2987731.1270975331</v>
      </c>
      <c r="O47" s="225">
        <f t="shared" ca="1" si="27"/>
        <v>3489391.2581226667</v>
      </c>
      <c r="P47" s="225">
        <f t="shared" ca="1" si="27"/>
        <v>4018176.3093514796</v>
      </c>
      <c r="Q47" s="225">
        <f t="shared" ca="1" si="27"/>
        <v>4575503.8235917436</v>
      </c>
      <c r="R47" s="225">
        <f t="shared" ca="1" si="27"/>
        <v>5162864.0618139086</v>
      </c>
      <c r="S47" s="225">
        <f t="shared" ca="1" si="27"/>
        <v>5781823.6944038281</v>
      </c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</row>
    <row r="48" spans="1:33">
      <c r="A48" s="177"/>
      <c r="B48" s="225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225"/>
      <c r="N48" s="225"/>
      <c r="O48" s="225"/>
      <c r="Q48" s="177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</row>
    <row r="49" spans="1:41">
      <c r="A49" s="177"/>
      <c r="B49" s="225"/>
      <c r="C49" s="225"/>
      <c r="D49" s="225"/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Q49" s="177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</row>
    <row r="50" spans="1:41">
      <c r="A50" s="177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</row>
    <row r="51" spans="1:41" ht="16">
      <c r="A51" s="177"/>
      <c r="B51" s="226" t="s">
        <v>165</v>
      </c>
      <c r="C51"/>
      <c r="D51"/>
      <c r="E51"/>
      <c r="F51"/>
      <c r="G51"/>
      <c r="H51"/>
      <c r="I51"/>
      <c r="J51"/>
      <c r="K51"/>
      <c r="L51"/>
      <c r="M51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</row>
    <row r="52" spans="1:41" ht="16">
      <c r="A52" s="177"/>
      <c r="B52"/>
      <c r="C52" t="s">
        <v>313</v>
      </c>
      <c r="D52" t="s">
        <v>314</v>
      </c>
      <c r="E52"/>
      <c r="F52"/>
      <c r="G52"/>
      <c r="H52"/>
      <c r="I52"/>
      <c r="J52"/>
      <c r="K52"/>
      <c r="L52"/>
      <c r="M52"/>
      <c r="N52" s="177"/>
      <c r="O52" s="177"/>
      <c r="P52" s="177"/>
      <c r="Q52" s="177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</row>
    <row r="53" spans="1:41" ht="16">
      <c r="A53" s="177"/>
      <c r="B53" t="s">
        <v>166</v>
      </c>
      <c r="C53" s="227">
        <v>0.04</v>
      </c>
      <c r="D53" s="227">
        <v>0.06</v>
      </c>
      <c r="E53"/>
      <c r="F53"/>
      <c r="G53"/>
      <c r="H53"/>
      <c r="I53"/>
      <c r="J53"/>
      <c r="K53"/>
      <c r="L53"/>
      <c r="M53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</row>
    <row r="54" spans="1:41" ht="16">
      <c r="A54" s="177"/>
      <c r="B54" t="s">
        <v>167</v>
      </c>
      <c r="C54" s="376">
        <f>MIN(IF(C57&lt;=10,$C$53,$D$53),100%)</f>
        <v>0.04</v>
      </c>
      <c r="D54" s="376">
        <f t="shared" ref="D54:X54" si="28">MIN(IF(D57&lt;=10,C54+$C$53,C54+$D$53),100%)</f>
        <v>0.08</v>
      </c>
      <c r="E54" s="376">
        <f t="shared" si="28"/>
        <v>0.12</v>
      </c>
      <c r="F54" s="376">
        <f t="shared" si="28"/>
        <v>0.16</v>
      </c>
      <c r="G54" s="376">
        <f t="shared" si="28"/>
        <v>0.2</v>
      </c>
      <c r="H54" s="376">
        <f t="shared" si="28"/>
        <v>0.24000000000000002</v>
      </c>
      <c r="I54" s="376">
        <f t="shared" si="28"/>
        <v>0.28000000000000003</v>
      </c>
      <c r="J54" s="376">
        <f t="shared" si="28"/>
        <v>0.32</v>
      </c>
      <c r="K54" s="376">
        <f t="shared" si="28"/>
        <v>0.36</v>
      </c>
      <c r="L54" s="376">
        <f t="shared" si="28"/>
        <v>0.39999999999999997</v>
      </c>
      <c r="M54" s="376">
        <f t="shared" si="28"/>
        <v>0.45999999999999996</v>
      </c>
      <c r="N54" s="376">
        <f t="shared" si="28"/>
        <v>0.52</v>
      </c>
      <c r="O54" s="376">
        <f t="shared" si="28"/>
        <v>0.58000000000000007</v>
      </c>
      <c r="P54" s="376">
        <f t="shared" si="28"/>
        <v>0.64000000000000012</v>
      </c>
      <c r="Q54" s="376">
        <f t="shared" si="28"/>
        <v>0.70000000000000018</v>
      </c>
      <c r="R54" s="376">
        <f t="shared" si="28"/>
        <v>0.76000000000000023</v>
      </c>
      <c r="S54" s="376">
        <f t="shared" si="28"/>
        <v>0.82000000000000028</v>
      </c>
      <c r="T54" s="376">
        <f t="shared" si="28"/>
        <v>0.88000000000000034</v>
      </c>
      <c r="U54" s="376">
        <f t="shared" si="28"/>
        <v>0.94000000000000039</v>
      </c>
      <c r="V54" s="376">
        <f t="shared" si="28"/>
        <v>1</v>
      </c>
      <c r="W54" s="376">
        <f t="shared" si="28"/>
        <v>1</v>
      </c>
      <c r="X54" s="376">
        <f t="shared" si="28"/>
        <v>1</v>
      </c>
      <c r="Y54" s="376"/>
      <c r="Z54" s="376"/>
      <c r="AA54" s="177"/>
      <c r="AB54" s="177"/>
      <c r="AC54" s="177"/>
      <c r="AD54" s="177"/>
      <c r="AE54" s="177"/>
      <c r="AF54" s="177"/>
    </row>
    <row r="55" spans="1:41" ht="16">
      <c r="A55" s="177"/>
      <c r="B55" t="s">
        <v>168</v>
      </c>
      <c r="C55" s="377">
        <f>C54*$C$15</f>
        <v>13.92</v>
      </c>
      <c r="D55" s="377">
        <f t="shared" ref="D55:X55" si="29">D54*$C$15</f>
        <v>27.84</v>
      </c>
      <c r="E55" s="377">
        <f t="shared" si="29"/>
        <v>41.76</v>
      </c>
      <c r="F55" s="377">
        <f t="shared" si="29"/>
        <v>55.68</v>
      </c>
      <c r="G55" s="377">
        <f t="shared" si="29"/>
        <v>69.600000000000009</v>
      </c>
      <c r="H55" s="377">
        <f t="shared" si="29"/>
        <v>83.52000000000001</v>
      </c>
      <c r="I55" s="377">
        <f t="shared" si="29"/>
        <v>97.440000000000012</v>
      </c>
      <c r="J55" s="377">
        <f t="shared" si="29"/>
        <v>111.36</v>
      </c>
      <c r="K55" s="377">
        <f t="shared" si="29"/>
        <v>125.28</v>
      </c>
      <c r="L55" s="377">
        <f t="shared" si="29"/>
        <v>139.19999999999999</v>
      </c>
      <c r="M55" s="377">
        <f t="shared" si="29"/>
        <v>160.07999999999998</v>
      </c>
      <c r="N55" s="377">
        <f t="shared" si="29"/>
        <v>180.96</v>
      </c>
      <c r="O55" s="377">
        <f t="shared" si="29"/>
        <v>201.84000000000003</v>
      </c>
      <c r="P55" s="377">
        <f t="shared" si="29"/>
        <v>222.72000000000006</v>
      </c>
      <c r="Q55" s="377">
        <f t="shared" si="29"/>
        <v>243.60000000000005</v>
      </c>
      <c r="R55" s="377">
        <f t="shared" si="29"/>
        <v>264.48000000000008</v>
      </c>
      <c r="S55" s="377">
        <f t="shared" si="29"/>
        <v>285.36000000000013</v>
      </c>
      <c r="T55" s="377">
        <f t="shared" si="29"/>
        <v>306.24000000000012</v>
      </c>
      <c r="U55" s="377">
        <f t="shared" si="29"/>
        <v>327.12000000000012</v>
      </c>
      <c r="V55" s="377">
        <f t="shared" si="29"/>
        <v>348</v>
      </c>
      <c r="W55" s="377">
        <f t="shared" si="29"/>
        <v>348</v>
      </c>
      <c r="X55" s="377">
        <f t="shared" si="29"/>
        <v>348</v>
      </c>
      <c r="Y55" s="377"/>
      <c r="Z55" s="377"/>
      <c r="AA55" s="177"/>
      <c r="AB55" s="177"/>
      <c r="AC55" s="177"/>
      <c r="AD55" s="177"/>
      <c r="AE55" s="177"/>
      <c r="AF55" s="177"/>
    </row>
    <row r="56" spans="1:41">
      <c r="A56" s="177"/>
      <c r="B56" s="177" t="s">
        <v>366</v>
      </c>
      <c r="C56" s="177">
        <f>C55</f>
        <v>13.92</v>
      </c>
      <c r="D56" s="177">
        <f>D55-C55</f>
        <v>13.92</v>
      </c>
      <c r="E56" s="177">
        <f t="shared" ref="E56:X56" si="30">E55-D55</f>
        <v>13.919999999999998</v>
      </c>
      <c r="F56" s="177">
        <f t="shared" si="30"/>
        <v>13.920000000000002</v>
      </c>
      <c r="G56" s="177">
        <f t="shared" si="30"/>
        <v>13.920000000000009</v>
      </c>
      <c r="H56" s="177">
        <f t="shared" si="30"/>
        <v>13.920000000000002</v>
      </c>
      <c r="I56" s="177">
        <f t="shared" si="30"/>
        <v>13.920000000000002</v>
      </c>
      <c r="J56" s="177">
        <f t="shared" si="30"/>
        <v>13.919999999999987</v>
      </c>
      <c r="K56" s="177">
        <f t="shared" si="30"/>
        <v>13.920000000000002</v>
      </c>
      <c r="L56" s="177">
        <f t="shared" si="30"/>
        <v>13.919999999999987</v>
      </c>
      <c r="M56" s="177">
        <f t="shared" si="30"/>
        <v>20.879999999999995</v>
      </c>
      <c r="N56" s="177">
        <f t="shared" si="30"/>
        <v>20.880000000000024</v>
      </c>
      <c r="O56" s="177">
        <f t="shared" si="30"/>
        <v>20.880000000000024</v>
      </c>
      <c r="P56" s="177">
        <f t="shared" si="30"/>
        <v>20.880000000000024</v>
      </c>
      <c r="Q56" s="177">
        <f t="shared" si="30"/>
        <v>20.879999999999995</v>
      </c>
      <c r="R56" s="177">
        <f t="shared" si="30"/>
        <v>20.880000000000024</v>
      </c>
      <c r="S56" s="177">
        <f t="shared" si="30"/>
        <v>20.880000000000052</v>
      </c>
      <c r="T56" s="177">
        <f t="shared" si="30"/>
        <v>20.879999999999995</v>
      </c>
      <c r="U56" s="177">
        <f t="shared" si="30"/>
        <v>20.879999999999995</v>
      </c>
      <c r="V56" s="177">
        <f t="shared" si="30"/>
        <v>20.879999999999882</v>
      </c>
      <c r="W56" s="177">
        <f t="shared" si="30"/>
        <v>0</v>
      </c>
      <c r="X56" s="177">
        <f t="shared" si="30"/>
        <v>0</v>
      </c>
      <c r="Y56" s="177"/>
      <c r="Z56" s="177"/>
      <c r="AA56" s="177"/>
      <c r="AB56" s="177"/>
      <c r="AC56" s="177"/>
      <c r="AD56" s="177"/>
      <c r="AE56" s="177"/>
      <c r="AF56" s="177"/>
    </row>
    <row r="57" spans="1:41">
      <c r="A57" s="177"/>
      <c r="B57" s="177" t="s">
        <v>169</v>
      </c>
      <c r="C57" s="177">
        <v>1</v>
      </c>
      <c r="D57" s="177">
        <f t="shared" ref="D57:X57" si="31">C57+1</f>
        <v>2</v>
      </c>
      <c r="E57" s="177">
        <f t="shared" si="31"/>
        <v>3</v>
      </c>
      <c r="F57" s="177">
        <f t="shared" si="31"/>
        <v>4</v>
      </c>
      <c r="G57" s="177">
        <f t="shared" si="31"/>
        <v>5</v>
      </c>
      <c r="H57" s="177">
        <f t="shared" si="31"/>
        <v>6</v>
      </c>
      <c r="I57" s="177">
        <f t="shared" si="31"/>
        <v>7</v>
      </c>
      <c r="J57" s="177">
        <f t="shared" si="31"/>
        <v>8</v>
      </c>
      <c r="K57" s="177">
        <f t="shared" si="31"/>
        <v>9</v>
      </c>
      <c r="L57" s="177">
        <f t="shared" si="31"/>
        <v>10</v>
      </c>
      <c r="M57" s="177">
        <f t="shared" si="31"/>
        <v>11</v>
      </c>
      <c r="N57" s="177">
        <f t="shared" si="31"/>
        <v>12</v>
      </c>
      <c r="O57" s="177">
        <f t="shared" si="31"/>
        <v>13</v>
      </c>
      <c r="P57" s="177">
        <f t="shared" si="31"/>
        <v>14</v>
      </c>
      <c r="Q57" s="177">
        <f t="shared" si="31"/>
        <v>15</v>
      </c>
      <c r="R57" s="177">
        <f t="shared" si="31"/>
        <v>16</v>
      </c>
      <c r="S57" s="177">
        <f t="shared" si="31"/>
        <v>17</v>
      </c>
      <c r="T57" s="177">
        <f t="shared" si="31"/>
        <v>18</v>
      </c>
      <c r="U57" s="177">
        <f t="shared" si="31"/>
        <v>19</v>
      </c>
      <c r="V57" s="177">
        <f t="shared" si="31"/>
        <v>20</v>
      </c>
      <c r="W57" s="177">
        <f t="shared" si="31"/>
        <v>21</v>
      </c>
      <c r="X57" s="177">
        <f t="shared" si="31"/>
        <v>22</v>
      </c>
      <c r="Y57" s="230" t="s">
        <v>170</v>
      </c>
      <c r="Z57" s="177"/>
      <c r="AA57" s="177"/>
      <c r="AB57" s="177"/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/>
      <c r="AO57" s="177"/>
    </row>
    <row r="58" spans="1:41">
      <c r="A58" s="177"/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231"/>
      <c r="Z58" s="177"/>
      <c r="AA58" s="177"/>
      <c r="AB58" s="177"/>
      <c r="AC58" s="177"/>
      <c r="AD58" s="177"/>
      <c r="AE58" s="177"/>
      <c r="AF58" s="177"/>
      <c r="AG58" s="177"/>
      <c r="AH58" s="177"/>
      <c r="AI58" s="177"/>
      <c r="AJ58" s="177"/>
      <c r="AK58" s="177"/>
      <c r="AL58" s="177"/>
      <c r="AM58" s="177"/>
      <c r="AN58" s="177"/>
      <c r="AO58" s="177"/>
    </row>
    <row r="59" spans="1:41">
      <c r="A59" s="177"/>
      <c r="B59" s="177" t="s">
        <v>101</v>
      </c>
      <c r="C59" s="177">
        <f>'Grand Prairie- Exec Summary (1)'!$G$38/12*C54</f>
        <v>27350.400000000001</v>
      </c>
      <c r="D59" s="177">
        <f>'Grand Prairie- Exec Summary (1)'!$G$38/12*D54</f>
        <v>54700.800000000003</v>
      </c>
      <c r="E59" s="177">
        <f>'Grand Prairie- Exec Summary (1)'!$G$38/12*E54</f>
        <v>82051.199999999997</v>
      </c>
      <c r="F59" s="177">
        <f>'Grand Prairie- Exec Summary (1)'!$G$38/12*F54</f>
        <v>109401.60000000001</v>
      </c>
      <c r="G59" s="177">
        <f>'Grand Prairie- Exec Summary (1)'!$G$38/12*G54</f>
        <v>136752</v>
      </c>
      <c r="H59" s="177">
        <f>'Grand Prairie- Exec Summary (1)'!$G$38/12*H54</f>
        <v>164102.40000000002</v>
      </c>
      <c r="I59" s="177">
        <f>'Grand Prairie- Exec Summary (1)'!$G$38/12*I54</f>
        <v>191452.80000000002</v>
      </c>
      <c r="J59" s="177">
        <f>'Grand Prairie- Exec Summary (1)'!$G$38/12*J54</f>
        <v>218803.20000000001</v>
      </c>
      <c r="K59" s="177">
        <f>'Grand Prairie- Exec Summary (1)'!$G$38/12*K54</f>
        <v>246153.59999999998</v>
      </c>
      <c r="L59" s="177">
        <f>'Grand Prairie- Exec Summary (1)'!$G$38/12*L54</f>
        <v>273504</v>
      </c>
      <c r="M59" s="177">
        <f>'Grand Prairie- Exec Summary (1)'!$G$38/12*M54*(1+$I$2)</f>
        <v>330256.08</v>
      </c>
      <c r="N59" s="177">
        <f>'Grand Prairie- Exec Summary (1)'!$G$38/12*N54*(1+$I$2)</f>
        <v>373332.96</v>
      </c>
      <c r="O59" s="177">
        <f>'Grand Prairie- Exec Summary (1)'!$G$38/12*O54*(1+$I$2)</f>
        <v>416409.84000000008</v>
      </c>
      <c r="P59" s="177">
        <f>'Grand Prairie- Exec Summary (1)'!$G$38/12*P54*(1+$I$2)</f>
        <v>459486.72000000009</v>
      </c>
      <c r="Q59" s="177">
        <f>'Grand Prairie- Exec Summary (1)'!$G$38/12*Q54*(1+$I$2)</f>
        <v>502563.60000000015</v>
      </c>
      <c r="R59" s="177">
        <f>'Grand Prairie- Exec Summary (1)'!$G$38/12*R54*(1+$I$2)</f>
        <v>545640.48000000021</v>
      </c>
      <c r="S59" s="177">
        <f>'Grand Prairie- Exec Summary (1)'!$G$38/12*S54*(1+$I$2)</f>
        <v>588717.36000000022</v>
      </c>
      <c r="T59" s="177">
        <f>'Grand Prairie- Exec Summary (1)'!$G$38/12*T54*(1+$I$2)</f>
        <v>631794.24000000034</v>
      </c>
      <c r="U59" s="177">
        <f>'Grand Prairie- Exec Summary (1)'!$G$38/12*U54*(1+$I$2)</f>
        <v>674871.12000000034</v>
      </c>
      <c r="V59" s="177">
        <f>'Grand Prairie- Exec Summary (1)'!$G$38/12*V54*(1+$I$2)</f>
        <v>717948</v>
      </c>
      <c r="W59" s="177">
        <f>'Grand Prairie- Exec Summary (1)'!$G$38/12*W54*(1+$I$2)</f>
        <v>717948</v>
      </c>
      <c r="X59" s="177">
        <f>'Grand Prairie- Exec Summary (1)'!$G$38/12*X54*(1+$I$2)</f>
        <v>717948</v>
      </c>
      <c r="Y59" s="231">
        <f>SUM(N59:X59)</f>
        <v>6346660.3200000012</v>
      </c>
      <c r="Z59" s="177"/>
      <c r="AA59" s="177"/>
      <c r="AB59" s="177"/>
      <c r="AC59" s="177"/>
      <c r="AD59" s="177"/>
      <c r="AE59" s="177"/>
      <c r="AF59" s="177"/>
      <c r="AG59" s="177"/>
      <c r="AH59" s="177"/>
      <c r="AI59" s="177"/>
      <c r="AJ59" s="177"/>
      <c r="AK59" s="177"/>
      <c r="AL59" s="177"/>
      <c r="AM59" s="177"/>
      <c r="AN59" s="177"/>
      <c r="AO59" s="177"/>
    </row>
    <row r="60" spans="1:41">
      <c r="A60" s="177"/>
      <c r="B60" s="177" t="s">
        <v>74</v>
      </c>
      <c r="C60" s="177">
        <f>'Grand Prairie- Exec Summary (1)'!$F$52/12*C54</f>
        <v>3056.68</v>
      </c>
      <c r="D60" s="177">
        <f>'Grand Prairie- Exec Summary (1)'!$F$52/12*D54</f>
        <v>6113.36</v>
      </c>
      <c r="E60" s="177">
        <f>'Grand Prairie- Exec Summary (1)'!$F$52/12*E54</f>
        <v>9170.0399999999991</v>
      </c>
      <c r="F60" s="177">
        <f>'Grand Prairie- Exec Summary (1)'!$F$52/12*F54</f>
        <v>12226.72</v>
      </c>
      <c r="G60" s="177">
        <f>'Grand Prairie- Exec Summary (1)'!$F$52/12*G54</f>
        <v>15283.400000000001</v>
      </c>
      <c r="H60" s="177">
        <f>'Grand Prairie- Exec Summary (1)'!$F$52/12*H54</f>
        <v>18340.080000000002</v>
      </c>
      <c r="I60" s="177">
        <f>'Grand Prairie- Exec Summary (1)'!$F$52/12*I54</f>
        <v>21396.760000000002</v>
      </c>
      <c r="J60" s="177">
        <f>'Grand Prairie- Exec Summary (1)'!$F$52/12*J54</f>
        <v>24453.439999999999</v>
      </c>
      <c r="K60" s="177">
        <f>'Grand Prairie- Exec Summary (1)'!$F$52/12*K54</f>
        <v>27510.12</v>
      </c>
      <c r="L60" s="177">
        <f>'Grand Prairie- Exec Summary (1)'!$F$52/12*L54</f>
        <v>30566.799999999999</v>
      </c>
      <c r="M60" s="177">
        <f>'Grand Prairie- Exec Summary (1)'!$F$52*(1+$I$2)/12*M54</f>
        <v>36909.411</v>
      </c>
      <c r="N60" s="177">
        <f>'Grand Prairie- Exec Summary (1)'!$F$52*(1+$I$2)/12*N54</f>
        <v>41723.682000000008</v>
      </c>
      <c r="O60" s="177">
        <f>'Grand Prairie- Exec Summary (1)'!$F$52*(1+$I$2)/12*O54</f>
        <v>46537.953000000009</v>
      </c>
      <c r="P60" s="177">
        <f>'Grand Prairie- Exec Summary (1)'!$F$52*(1+$I$2)/12*P54</f>
        <v>51352.224000000017</v>
      </c>
      <c r="Q60" s="177">
        <f>'Grand Prairie- Exec Summary (1)'!$F$52*(1+$I$2)/12*Q54</f>
        <v>56166.495000000017</v>
      </c>
      <c r="R60" s="177">
        <f>'Grand Prairie- Exec Summary (1)'!$F$52*(1+$I$2)/12*R54</f>
        <v>60980.766000000025</v>
      </c>
      <c r="S60" s="177">
        <f>'Grand Prairie- Exec Summary (1)'!$F$52*(1+$I$2)/12*S54</f>
        <v>65795.037000000026</v>
      </c>
      <c r="T60" s="177">
        <f>'Grand Prairie- Exec Summary (1)'!$F$52*(1+$I$2)/12*T54</f>
        <v>70609.308000000034</v>
      </c>
      <c r="U60" s="177">
        <f>'Grand Prairie- Exec Summary (1)'!$F$52*(1+$I$2)/12*U54</f>
        <v>75423.579000000042</v>
      </c>
      <c r="V60" s="177">
        <f>'Grand Prairie- Exec Summary (1)'!$F$52*(1+$I$2)/12*V54</f>
        <v>80237.850000000006</v>
      </c>
      <c r="W60" s="177">
        <f>'Grand Prairie- Exec Summary (1)'!$F$52*(1+$I$2)/12*W54</f>
        <v>80237.850000000006</v>
      </c>
      <c r="X60" s="177">
        <f>'Grand Prairie- Exec Summary (1)'!$F$52*(1+$I$2)/12*X54</f>
        <v>80237.850000000006</v>
      </c>
      <c r="Y60" s="231">
        <f>SUM(N60:X60)</f>
        <v>709302.59400000016</v>
      </c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  <c r="AO60" s="177"/>
    </row>
    <row r="61" spans="1:41" ht="14" thickBot="1">
      <c r="A61" s="177"/>
      <c r="B61" s="177" t="s">
        <v>143</v>
      </c>
      <c r="C61" s="210">
        <f t="shared" ref="C61:K61" si="32">SUM(C59:C60)</f>
        <v>30407.08</v>
      </c>
      <c r="D61" s="210">
        <f t="shared" si="32"/>
        <v>60814.16</v>
      </c>
      <c r="E61" s="210">
        <f t="shared" si="32"/>
        <v>91221.239999999991</v>
      </c>
      <c r="F61" s="210">
        <f t="shared" si="32"/>
        <v>121628.32</v>
      </c>
      <c r="G61" s="210">
        <f t="shared" si="32"/>
        <v>152035.4</v>
      </c>
      <c r="H61" s="210">
        <f t="shared" si="32"/>
        <v>182442.48000000004</v>
      </c>
      <c r="I61" s="210">
        <f t="shared" si="32"/>
        <v>212849.56000000003</v>
      </c>
      <c r="J61" s="210">
        <f t="shared" si="32"/>
        <v>243256.64</v>
      </c>
      <c r="K61" s="210">
        <f t="shared" si="32"/>
        <v>273663.71999999997</v>
      </c>
      <c r="L61" s="210">
        <f>SUM(L59:L60)</f>
        <v>304070.8</v>
      </c>
      <c r="M61" s="210">
        <f t="shared" ref="M61:X61" si="33">SUM(M59:M60)</f>
        <v>367165.49100000004</v>
      </c>
      <c r="N61" s="210">
        <f t="shared" si="33"/>
        <v>415056.64200000005</v>
      </c>
      <c r="O61" s="210">
        <f t="shared" si="33"/>
        <v>462947.79300000006</v>
      </c>
      <c r="P61" s="210">
        <f t="shared" si="33"/>
        <v>510838.94400000013</v>
      </c>
      <c r="Q61" s="210">
        <f t="shared" si="33"/>
        <v>558730.0950000002</v>
      </c>
      <c r="R61" s="210">
        <f t="shared" si="33"/>
        <v>606621.24600000028</v>
      </c>
      <c r="S61" s="210">
        <f t="shared" si="33"/>
        <v>654512.39700000023</v>
      </c>
      <c r="T61" s="210">
        <f t="shared" si="33"/>
        <v>702403.54800000042</v>
      </c>
      <c r="U61" s="210">
        <f t="shared" si="33"/>
        <v>750294.69900000037</v>
      </c>
      <c r="V61" s="210">
        <f t="shared" si="33"/>
        <v>798185.85</v>
      </c>
      <c r="W61" s="210">
        <f t="shared" si="33"/>
        <v>798185.85</v>
      </c>
      <c r="X61" s="210">
        <f t="shared" si="33"/>
        <v>798185.85</v>
      </c>
      <c r="Y61" s="231">
        <f>SUM(N61:X61)</f>
        <v>7055962.9140000008</v>
      </c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  <c r="AO61" s="177"/>
    </row>
    <row r="62" spans="1:41" ht="14" thickTop="1">
      <c r="A62" s="177"/>
      <c r="B62" s="177"/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231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</row>
    <row r="63" spans="1:41">
      <c r="A63" s="177"/>
      <c r="L63" s="177"/>
      <c r="M63" s="177"/>
      <c r="N63" s="177"/>
      <c r="O63" s="177"/>
      <c r="P63" s="177"/>
      <c r="Q63" s="177"/>
      <c r="R63" s="177"/>
      <c r="S63" s="177"/>
      <c r="T63" s="177"/>
      <c r="U63" s="177"/>
      <c r="V63" s="177"/>
      <c r="W63" s="177"/>
      <c r="X63" s="177"/>
      <c r="Y63" s="231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</row>
    <row r="64" spans="1:41">
      <c r="A64" s="177"/>
      <c r="B64" s="186" t="s">
        <v>146</v>
      </c>
      <c r="C64" s="177">
        <f>$G$19*((1-$K$2)^2)/12</f>
        <v>6139.3725000000004</v>
      </c>
      <c r="D64" s="177">
        <f t="shared" ref="D64:L64" si="34">$G$19*((1-$K$2)^2)/12</f>
        <v>6139.3725000000004</v>
      </c>
      <c r="E64" s="177">
        <f t="shared" si="34"/>
        <v>6139.3725000000004</v>
      </c>
      <c r="F64" s="177">
        <f t="shared" si="34"/>
        <v>6139.3725000000004</v>
      </c>
      <c r="G64" s="177">
        <f t="shared" si="34"/>
        <v>6139.3725000000004</v>
      </c>
      <c r="H64" s="177">
        <f t="shared" si="34"/>
        <v>6139.3725000000004</v>
      </c>
      <c r="I64" s="177">
        <f t="shared" si="34"/>
        <v>6139.3725000000004</v>
      </c>
      <c r="J64" s="177">
        <f t="shared" si="34"/>
        <v>6139.3725000000004</v>
      </c>
      <c r="K64" s="177">
        <f t="shared" si="34"/>
        <v>6139.3725000000004</v>
      </c>
      <c r="L64" s="177">
        <f t="shared" si="34"/>
        <v>6139.3725000000004</v>
      </c>
      <c r="M64" s="177">
        <f>$G$19*((1-$K$2))/12</f>
        <v>6329.25</v>
      </c>
      <c r="N64" s="177">
        <f t="shared" ref="N64:X64" si="35">$G$19*((1-$K$2))/12</f>
        <v>6329.25</v>
      </c>
      <c r="O64" s="177">
        <f t="shared" si="35"/>
        <v>6329.25</v>
      </c>
      <c r="P64" s="177">
        <f t="shared" si="35"/>
        <v>6329.25</v>
      </c>
      <c r="Q64" s="177">
        <f t="shared" si="35"/>
        <v>6329.25</v>
      </c>
      <c r="R64" s="177">
        <f t="shared" si="35"/>
        <v>6329.25</v>
      </c>
      <c r="S64" s="177">
        <f t="shared" si="35"/>
        <v>6329.25</v>
      </c>
      <c r="T64" s="177">
        <f t="shared" si="35"/>
        <v>6329.25</v>
      </c>
      <c r="U64" s="177">
        <f t="shared" si="35"/>
        <v>6329.25</v>
      </c>
      <c r="V64" s="177">
        <f t="shared" si="35"/>
        <v>6329.25</v>
      </c>
      <c r="W64" s="177">
        <f t="shared" si="35"/>
        <v>6329.25</v>
      </c>
      <c r="X64" s="177">
        <f t="shared" si="35"/>
        <v>6329.25</v>
      </c>
      <c r="Y64" s="231">
        <f>SUM(M64:X64)</f>
        <v>75951</v>
      </c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  <c r="AO64" s="177"/>
    </row>
    <row r="65" spans="1:41">
      <c r="A65" s="177"/>
      <c r="B65" s="186" t="s">
        <v>147</v>
      </c>
      <c r="C65" s="177">
        <f>$G$20*((1-30%)^2)/12</f>
        <v>7104.9999999999991</v>
      </c>
      <c r="D65" s="177">
        <f t="shared" ref="D65:X65" si="36">$G$20*((1-30%)^2)/12</f>
        <v>7104.9999999999991</v>
      </c>
      <c r="E65" s="177">
        <f t="shared" si="36"/>
        <v>7104.9999999999991</v>
      </c>
      <c r="F65" s="177">
        <f t="shared" si="36"/>
        <v>7104.9999999999991</v>
      </c>
      <c r="G65" s="177">
        <f t="shared" si="36"/>
        <v>7104.9999999999991</v>
      </c>
      <c r="H65" s="177">
        <f t="shared" si="36"/>
        <v>7104.9999999999991</v>
      </c>
      <c r="I65" s="177">
        <f t="shared" si="36"/>
        <v>7104.9999999999991</v>
      </c>
      <c r="J65" s="177">
        <f t="shared" si="36"/>
        <v>7104.9999999999991</v>
      </c>
      <c r="K65" s="177">
        <f t="shared" si="36"/>
        <v>7104.9999999999991</v>
      </c>
      <c r="L65" s="177">
        <f t="shared" si="36"/>
        <v>7104.9999999999991</v>
      </c>
      <c r="M65" s="177">
        <f t="shared" si="36"/>
        <v>7104.9999999999991</v>
      </c>
      <c r="N65" s="177">
        <f t="shared" si="36"/>
        <v>7104.9999999999991</v>
      </c>
      <c r="O65" s="177">
        <f t="shared" si="36"/>
        <v>7104.9999999999991</v>
      </c>
      <c r="P65" s="177">
        <f t="shared" si="36"/>
        <v>7104.9999999999991</v>
      </c>
      <c r="Q65" s="177">
        <f t="shared" si="36"/>
        <v>7104.9999999999991</v>
      </c>
      <c r="R65" s="177">
        <f t="shared" si="36"/>
        <v>7104.9999999999991</v>
      </c>
      <c r="S65" s="177">
        <f t="shared" si="36"/>
        <v>7104.9999999999991</v>
      </c>
      <c r="T65" s="177">
        <f t="shared" si="36"/>
        <v>7104.9999999999991</v>
      </c>
      <c r="U65" s="177">
        <f t="shared" si="36"/>
        <v>7104.9999999999991</v>
      </c>
      <c r="V65" s="177">
        <f t="shared" si="36"/>
        <v>7104.9999999999991</v>
      </c>
      <c r="W65" s="177">
        <f t="shared" si="36"/>
        <v>7104.9999999999991</v>
      </c>
      <c r="X65" s="177">
        <f t="shared" si="36"/>
        <v>7104.9999999999991</v>
      </c>
      <c r="Y65" s="231">
        <f t="shared" ref="Y65:Y72" si="37">SUM(M65:X65)</f>
        <v>85259.999999999985</v>
      </c>
      <c r="Z65" s="177"/>
      <c r="AA65" s="177"/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77"/>
      <c r="AM65" s="177"/>
      <c r="AN65" s="177"/>
      <c r="AO65" s="177"/>
    </row>
    <row r="66" spans="1:41">
      <c r="A66" s="177"/>
      <c r="B66" s="177" t="s">
        <v>148</v>
      </c>
      <c r="C66" s="177">
        <f>$G$21*((1-$K$2)^2)/12</f>
        <v>24557.49</v>
      </c>
      <c r="D66" s="177">
        <f t="shared" ref="D66:L66" si="38">$G$21*((1-$K$2)^2)/12</f>
        <v>24557.49</v>
      </c>
      <c r="E66" s="177">
        <f t="shared" si="38"/>
        <v>24557.49</v>
      </c>
      <c r="F66" s="177">
        <f t="shared" si="38"/>
        <v>24557.49</v>
      </c>
      <c r="G66" s="177">
        <f t="shared" si="38"/>
        <v>24557.49</v>
      </c>
      <c r="H66" s="177">
        <f t="shared" si="38"/>
        <v>24557.49</v>
      </c>
      <c r="I66" s="177">
        <f t="shared" si="38"/>
        <v>24557.49</v>
      </c>
      <c r="J66" s="177">
        <f t="shared" si="38"/>
        <v>24557.49</v>
      </c>
      <c r="K66" s="177">
        <f t="shared" si="38"/>
        <v>24557.49</v>
      </c>
      <c r="L66" s="177">
        <f t="shared" si="38"/>
        <v>24557.49</v>
      </c>
      <c r="M66" s="177">
        <f>$G$21*((1-$K$2))/12</f>
        <v>25317</v>
      </c>
      <c r="N66" s="177">
        <f t="shared" ref="N66:X66" si="39">$G$21*((1-$K$2))/12</f>
        <v>25317</v>
      </c>
      <c r="O66" s="177">
        <f t="shared" si="39"/>
        <v>25317</v>
      </c>
      <c r="P66" s="177">
        <f t="shared" si="39"/>
        <v>25317</v>
      </c>
      <c r="Q66" s="177">
        <f t="shared" si="39"/>
        <v>25317</v>
      </c>
      <c r="R66" s="177">
        <f t="shared" si="39"/>
        <v>25317</v>
      </c>
      <c r="S66" s="177">
        <f t="shared" si="39"/>
        <v>25317</v>
      </c>
      <c r="T66" s="177">
        <f t="shared" si="39"/>
        <v>25317</v>
      </c>
      <c r="U66" s="177">
        <f t="shared" si="39"/>
        <v>25317</v>
      </c>
      <c r="V66" s="177">
        <f t="shared" si="39"/>
        <v>25317</v>
      </c>
      <c r="W66" s="177">
        <f t="shared" si="39"/>
        <v>25317</v>
      </c>
      <c r="X66" s="177">
        <f t="shared" si="39"/>
        <v>25317</v>
      </c>
      <c r="Y66" s="231">
        <f t="shared" si="37"/>
        <v>303804</v>
      </c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77"/>
      <c r="AM66" s="177"/>
      <c r="AN66" s="177"/>
      <c r="AO66" s="177"/>
    </row>
    <row r="67" spans="1:41">
      <c r="A67" s="177"/>
      <c r="B67" s="186" t="s">
        <v>149</v>
      </c>
      <c r="C67" s="177">
        <f>$G$22*((1-$K$2)^2)/12</f>
        <v>25103.212</v>
      </c>
      <c r="D67" s="177">
        <f t="shared" ref="D67:Q67" si="40">$G$22*((1-$K$2)^2)/12</f>
        <v>25103.212</v>
      </c>
      <c r="E67" s="177">
        <f t="shared" si="40"/>
        <v>25103.212</v>
      </c>
      <c r="F67" s="177">
        <f t="shared" si="40"/>
        <v>25103.212</v>
      </c>
      <c r="G67" s="177">
        <f t="shared" si="40"/>
        <v>25103.212</v>
      </c>
      <c r="H67" s="177">
        <f t="shared" si="40"/>
        <v>25103.212</v>
      </c>
      <c r="I67" s="177">
        <f t="shared" si="40"/>
        <v>25103.212</v>
      </c>
      <c r="J67" s="177">
        <f t="shared" si="40"/>
        <v>25103.212</v>
      </c>
      <c r="K67" s="177">
        <f t="shared" si="40"/>
        <v>25103.212</v>
      </c>
      <c r="L67" s="177">
        <f t="shared" si="40"/>
        <v>25103.212</v>
      </c>
      <c r="M67" s="177">
        <f t="shared" si="40"/>
        <v>25103.212</v>
      </c>
      <c r="N67" s="177">
        <f t="shared" si="40"/>
        <v>25103.212</v>
      </c>
      <c r="O67" s="177">
        <f t="shared" si="40"/>
        <v>25103.212</v>
      </c>
      <c r="P67" s="177">
        <f t="shared" si="40"/>
        <v>25103.212</v>
      </c>
      <c r="Q67" s="177">
        <f t="shared" si="40"/>
        <v>25103.212</v>
      </c>
      <c r="R67" s="177">
        <f t="shared" ref="R67:X67" si="41">$G$22/12*R54</f>
        <v>20276.800000000007</v>
      </c>
      <c r="S67" s="177">
        <f t="shared" si="41"/>
        <v>21877.600000000006</v>
      </c>
      <c r="T67" s="177">
        <f t="shared" si="41"/>
        <v>23478.400000000009</v>
      </c>
      <c r="U67" s="177">
        <f t="shared" si="41"/>
        <v>25079.200000000012</v>
      </c>
      <c r="V67" s="177">
        <f t="shared" si="41"/>
        <v>26680</v>
      </c>
      <c r="W67" s="177">
        <f t="shared" si="41"/>
        <v>26680</v>
      </c>
      <c r="X67" s="177">
        <f t="shared" si="41"/>
        <v>26680</v>
      </c>
      <c r="Y67" s="231">
        <f t="shared" si="37"/>
        <v>296268.06000000006</v>
      </c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77"/>
      <c r="AM67" s="177"/>
      <c r="AN67" s="177"/>
      <c r="AO67" s="177"/>
    </row>
    <row r="68" spans="1:41">
      <c r="A68" s="177"/>
      <c r="B68" s="186" t="s">
        <v>150</v>
      </c>
      <c r="C68" s="177">
        <v>0</v>
      </c>
      <c r="D68" s="177">
        <v>0</v>
      </c>
      <c r="E68" s="177">
        <v>0</v>
      </c>
      <c r="F68" s="177">
        <v>0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f t="shared" ref="M68:X68" si="42">$G$23/12*M54</f>
        <v>2668</v>
      </c>
      <c r="N68" s="177">
        <f t="shared" si="42"/>
        <v>3016</v>
      </c>
      <c r="O68" s="177">
        <f t="shared" si="42"/>
        <v>3364.0000000000005</v>
      </c>
      <c r="P68" s="177">
        <f t="shared" si="42"/>
        <v>3712.0000000000009</v>
      </c>
      <c r="Q68" s="177">
        <f t="shared" si="42"/>
        <v>4060.0000000000009</v>
      </c>
      <c r="R68" s="177">
        <f t="shared" si="42"/>
        <v>4408.0000000000009</v>
      </c>
      <c r="S68" s="177">
        <f t="shared" si="42"/>
        <v>4756.0000000000018</v>
      </c>
      <c r="T68" s="177">
        <f t="shared" si="42"/>
        <v>5104.0000000000018</v>
      </c>
      <c r="U68" s="177">
        <f t="shared" si="42"/>
        <v>5452.0000000000018</v>
      </c>
      <c r="V68" s="177">
        <f t="shared" si="42"/>
        <v>5800</v>
      </c>
      <c r="W68" s="177">
        <f t="shared" si="42"/>
        <v>5800</v>
      </c>
      <c r="X68" s="177">
        <f t="shared" si="42"/>
        <v>5800</v>
      </c>
      <c r="Y68" s="231">
        <f t="shared" si="37"/>
        <v>53940</v>
      </c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  <c r="AO68" s="177"/>
    </row>
    <row r="69" spans="1:41">
      <c r="A69" s="177"/>
      <c r="B69" s="186" t="s">
        <v>151</v>
      </c>
      <c r="C69" s="177">
        <f>$E$24/10</f>
        <v>9822.9959999999992</v>
      </c>
      <c r="D69" s="177">
        <f t="shared" ref="D69:L69" si="43">$E$24/10</f>
        <v>9822.9959999999992</v>
      </c>
      <c r="E69" s="177">
        <f t="shared" si="43"/>
        <v>9822.9959999999992</v>
      </c>
      <c r="F69" s="177">
        <f t="shared" si="43"/>
        <v>9822.9959999999992</v>
      </c>
      <c r="G69" s="177">
        <f t="shared" si="43"/>
        <v>9822.9959999999992</v>
      </c>
      <c r="H69" s="177">
        <f t="shared" si="43"/>
        <v>9822.9959999999992</v>
      </c>
      <c r="I69" s="177">
        <f t="shared" si="43"/>
        <v>9822.9959999999992</v>
      </c>
      <c r="J69" s="177">
        <f t="shared" si="43"/>
        <v>9822.9959999999992</v>
      </c>
      <c r="K69" s="177">
        <f t="shared" si="43"/>
        <v>9822.9959999999992</v>
      </c>
      <c r="L69" s="177">
        <f t="shared" si="43"/>
        <v>9822.9959999999992</v>
      </c>
      <c r="M69" s="177">
        <f t="shared" ref="M69:X69" si="44">$F$24/12</f>
        <v>8439</v>
      </c>
      <c r="N69" s="177">
        <f t="shared" si="44"/>
        <v>8439</v>
      </c>
      <c r="O69" s="177">
        <f t="shared" si="44"/>
        <v>8439</v>
      </c>
      <c r="P69" s="177">
        <f t="shared" si="44"/>
        <v>8439</v>
      </c>
      <c r="Q69" s="177">
        <f t="shared" si="44"/>
        <v>8439</v>
      </c>
      <c r="R69" s="177">
        <f t="shared" si="44"/>
        <v>8439</v>
      </c>
      <c r="S69" s="177">
        <f t="shared" si="44"/>
        <v>8439</v>
      </c>
      <c r="T69" s="177">
        <f t="shared" si="44"/>
        <v>8439</v>
      </c>
      <c r="U69" s="177">
        <f t="shared" si="44"/>
        <v>8439</v>
      </c>
      <c r="V69" s="177">
        <f t="shared" si="44"/>
        <v>8439</v>
      </c>
      <c r="W69" s="177">
        <f t="shared" si="44"/>
        <v>8439</v>
      </c>
      <c r="X69" s="177">
        <f t="shared" si="44"/>
        <v>8439</v>
      </c>
      <c r="Y69" s="231">
        <f t="shared" si="37"/>
        <v>101268</v>
      </c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  <c r="AO69" s="177"/>
    </row>
    <row r="70" spans="1:41">
      <c r="A70" s="177"/>
      <c r="B70" s="396" t="s">
        <v>385</v>
      </c>
      <c r="C70" s="177">
        <f>$G$26*((1-$K$2)^2)/12</f>
        <v>10914.44</v>
      </c>
      <c r="D70" s="177">
        <f t="shared" ref="D70:Q70" si="45">$G$26*((1-$K$2)^2)/12</f>
        <v>10914.44</v>
      </c>
      <c r="E70" s="177">
        <f t="shared" si="45"/>
        <v>10914.44</v>
      </c>
      <c r="F70" s="177">
        <f t="shared" si="45"/>
        <v>10914.44</v>
      </c>
      <c r="G70" s="177">
        <f t="shared" si="45"/>
        <v>10914.44</v>
      </c>
      <c r="H70" s="177">
        <f t="shared" si="45"/>
        <v>10914.44</v>
      </c>
      <c r="I70" s="177">
        <f t="shared" si="45"/>
        <v>10914.44</v>
      </c>
      <c r="J70" s="177">
        <f t="shared" si="45"/>
        <v>10914.44</v>
      </c>
      <c r="K70" s="177">
        <f t="shared" si="45"/>
        <v>10914.44</v>
      </c>
      <c r="L70" s="177">
        <f t="shared" si="45"/>
        <v>10914.44</v>
      </c>
      <c r="M70" s="177">
        <f t="shared" si="45"/>
        <v>10914.44</v>
      </c>
      <c r="N70" s="177">
        <f t="shared" si="45"/>
        <v>10914.44</v>
      </c>
      <c r="O70" s="177">
        <f t="shared" si="45"/>
        <v>10914.44</v>
      </c>
      <c r="P70" s="177">
        <f t="shared" si="45"/>
        <v>10914.44</v>
      </c>
      <c r="Q70" s="177">
        <f t="shared" si="45"/>
        <v>10914.44</v>
      </c>
      <c r="R70" s="177">
        <f t="shared" ref="R70:X70" si="46">$G$26/12*R54</f>
        <v>8816.0000000000018</v>
      </c>
      <c r="S70" s="177">
        <f t="shared" si="46"/>
        <v>9512.0000000000036</v>
      </c>
      <c r="T70" s="177">
        <f t="shared" si="46"/>
        <v>10208.000000000004</v>
      </c>
      <c r="U70" s="177">
        <f t="shared" si="46"/>
        <v>10904.000000000004</v>
      </c>
      <c r="V70" s="177">
        <f t="shared" si="46"/>
        <v>11600</v>
      </c>
      <c r="W70" s="177">
        <f t="shared" si="46"/>
        <v>11600</v>
      </c>
      <c r="X70" s="177">
        <f t="shared" si="46"/>
        <v>11600</v>
      </c>
      <c r="Y70" s="231">
        <f t="shared" si="37"/>
        <v>128812.20000000001</v>
      </c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7"/>
    </row>
    <row r="71" spans="1:41">
      <c r="A71" s="177"/>
      <c r="B71" s="177" t="s">
        <v>171</v>
      </c>
      <c r="C71" s="177">
        <f t="shared" ref="C71:K71" si="47">SUM(C64:C70)</f>
        <v>83642.510500000004</v>
      </c>
      <c r="D71" s="177">
        <f t="shared" si="47"/>
        <v>83642.510500000004</v>
      </c>
      <c r="E71" s="177">
        <f t="shared" si="47"/>
        <v>83642.510500000004</v>
      </c>
      <c r="F71" s="177">
        <f t="shared" si="47"/>
        <v>83642.510500000004</v>
      </c>
      <c r="G71" s="177">
        <f t="shared" si="47"/>
        <v>83642.510500000004</v>
      </c>
      <c r="H71" s="177">
        <f t="shared" si="47"/>
        <v>83642.510500000004</v>
      </c>
      <c r="I71" s="177">
        <f t="shared" si="47"/>
        <v>83642.510500000004</v>
      </c>
      <c r="J71" s="177">
        <f t="shared" si="47"/>
        <v>83642.510500000004</v>
      </c>
      <c r="K71" s="177">
        <f t="shared" si="47"/>
        <v>83642.510500000004</v>
      </c>
      <c r="L71" s="177">
        <f>SUM(L64:L70)</f>
        <v>83642.510500000004</v>
      </c>
      <c r="M71" s="177">
        <f t="shared" ref="M71:X71" si="48">SUM(M64:M70)</f>
        <v>85875.902000000002</v>
      </c>
      <c r="N71" s="177">
        <f t="shared" si="48"/>
        <v>86223.902000000002</v>
      </c>
      <c r="O71" s="177">
        <f t="shared" si="48"/>
        <v>86571.902000000002</v>
      </c>
      <c r="P71" s="177">
        <f t="shared" si="48"/>
        <v>86919.902000000002</v>
      </c>
      <c r="Q71" s="177">
        <f t="shared" si="48"/>
        <v>87267.902000000002</v>
      </c>
      <c r="R71" s="177">
        <f t="shared" si="48"/>
        <v>80691.05</v>
      </c>
      <c r="S71" s="177">
        <f t="shared" si="48"/>
        <v>83335.850000000006</v>
      </c>
      <c r="T71" s="177">
        <f t="shared" si="48"/>
        <v>85980.650000000009</v>
      </c>
      <c r="U71" s="177">
        <f t="shared" si="48"/>
        <v>88625.450000000012</v>
      </c>
      <c r="V71" s="177">
        <f t="shared" si="48"/>
        <v>91270.25</v>
      </c>
      <c r="W71" s="177">
        <f t="shared" si="48"/>
        <v>91270.25</v>
      </c>
      <c r="X71" s="177">
        <f t="shared" si="48"/>
        <v>91270.25</v>
      </c>
      <c r="Y71" s="231">
        <f t="shared" si="37"/>
        <v>1045303.26</v>
      </c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  <c r="AO71" s="177"/>
    </row>
    <row r="72" spans="1:41">
      <c r="A72" s="177"/>
      <c r="B72" s="177" t="s">
        <v>118</v>
      </c>
      <c r="C72" s="177">
        <f>$G$25*((1-$K$2)^2)/12</f>
        <v>122787.45</v>
      </c>
      <c r="D72" s="177">
        <f t="shared" ref="D72:L72" si="49">$G$25*((1-$K$2)^2)/12</f>
        <v>122787.45</v>
      </c>
      <c r="E72" s="177">
        <f t="shared" si="49"/>
        <v>122787.45</v>
      </c>
      <c r="F72" s="177">
        <f t="shared" si="49"/>
        <v>122787.45</v>
      </c>
      <c r="G72" s="177">
        <f t="shared" si="49"/>
        <v>122787.45</v>
      </c>
      <c r="H72" s="177">
        <f t="shared" si="49"/>
        <v>122787.45</v>
      </c>
      <c r="I72" s="177">
        <f t="shared" si="49"/>
        <v>122787.45</v>
      </c>
      <c r="J72" s="177">
        <f t="shared" si="49"/>
        <v>122787.45</v>
      </c>
      <c r="K72" s="177">
        <f t="shared" si="49"/>
        <v>122787.45</v>
      </c>
      <c r="L72" s="177">
        <f t="shared" si="49"/>
        <v>122787.45</v>
      </c>
      <c r="M72" s="177">
        <f>'Grand Prairie Const Sched (3)'!AC19</f>
        <v>0</v>
      </c>
      <c r="N72" s="177">
        <f>'Grand Prairie Const Sched (3)'!AD19</f>
        <v>0</v>
      </c>
      <c r="O72" s="177">
        <f>'Grand Prairie Const Sched (3)'!AE19</f>
        <v>0</v>
      </c>
      <c r="P72" s="177">
        <f>'Grand Prairie Const Sched (3)'!AF19</f>
        <v>0</v>
      </c>
      <c r="Q72" s="177">
        <f>'Grand Prairie Const Sched (3)'!AG19</f>
        <v>0</v>
      </c>
      <c r="R72" s="177">
        <f>'Grand Prairie Const Sched (3)'!AH19</f>
        <v>0</v>
      </c>
      <c r="S72" s="177">
        <f>'Grand Prairie Const Sched (3)'!AI19</f>
        <v>0</v>
      </c>
      <c r="T72" s="177">
        <f>'Grand Prairie Const Sched (3)'!AJ19</f>
        <v>0</v>
      </c>
      <c r="U72" s="177">
        <f>'Grand Prairie Const Sched (3)'!AK19</f>
        <v>0</v>
      </c>
      <c r="V72" s="177">
        <f>'Grand Prairie RE Taxes'!E12+'Grand Prairie RE Taxes'!$E$14</f>
        <v>971936.89095309901</v>
      </c>
      <c r="W72" s="177">
        <v>0</v>
      </c>
      <c r="X72" s="177">
        <v>0</v>
      </c>
      <c r="Y72" s="231">
        <f t="shared" si="37"/>
        <v>971936.89095309901</v>
      </c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  <c r="AO72" s="177"/>
    </row>
    <row r="73" spans="1:41" ht="14" thickBot="1">
      <c r="A73" s="177"/>
      <c r="B73" s="177" t="s">
        <v>102</v>
      </c>
      <c r="C73" s="210">
        <f t="shared" ref="C73:K73" si="50">SUM(C71:C72)</f>
        <v>206429.96049999999</v>
      </c>
      <c r="D73" s="210">
        <f t="shared" si="50"/>
        <v>206429.96049999999</v>
      </c>
      <c r="E73" s="210">
        <f t="shared" si="50"/>
        <v>206429.96049999999</v>
      </c>
      <c r="F73" s="210">
        <f t="shared" si="50"/>
        <v>206429.96049999999</v>
      </c>
      <c r="G73" s="210">
        <f t="shared" si="50"/>
        <v>206429.96049999999</v>
      </c>
      <c r="H73" s="210">
        <f t="shared" si="50"/>
        <v>206429.96049999999</v>
      </c>
      <c r="I73" s="210">
        <f t="shared" si="50"/>
        <v>206429.96049999999</v>
      </c>
      <c r="J73" s="210">
        <f t="shared" si="50"/>
        <v>206429.96049999999</v>
      </c>
      <c r="K73" s="210">
        <f t="shared" si="50"/>
        <v>206429.96049999999</v>
      </c>
      <c r="L73" s="210">
        <f>SUM(L71:L72)</f>
        <v>206429.96049999999</v>
      </c>
      <c r="M73" s="210">
        <f t="shared" ref="M73:X73" si="51">SUM(M71:M72)</f>
        <v>85875.902000000002</v>
      </c>
      <c r="N73" s="210">
        <f t="shared" si="51"/>
        <v>86223.902000000002</v>
      </c>
      <c r="O73" s="210">
        <f t="shared" si="51"/>
        <v>86571.902000000002</v>
      </c>
      <c r="P73" s="210">
        <f t="shared" si="51"/>
        <v>86919.902000000002</v>
      </c>
      <c r="Q73" s="210">
        <f t="shared" si="51"/>
        <v>87267.902000000002</v>
      </c>
      <c r="R73" s="210">
        <f t="shared" si="51"/>
        <v>80691.05</v>
      </c>
      <c r="S73" s="210">
        <f t="shared" si="51"/>
        <v>83335.850000000006</v>
      </c>
      <c r="T73" s="210">
        <f t="shared" si="51"/>
        <v>85980.650000000009</v>
      </c>
      <c r="U73" s="210">
        <f t="shared" si="51"/>
        <v>88625.450000000012</v>
      </c>
      <c r="V73" s="210">
        <f t="shared" si="51"/>
        <v>1063207.1409530989</v>
      </c>
      <c r="W73" s="210">
        <f t="shared" si="51"/>
        <v>91270.25</v>
      </c>
      <c r="X73" s="210">
        <f t="shared" si="51"/>
        <v>91270.25</v>
      </c>
      <c r="Y73" s="232">
        <f>SUM(N73:X73)</f>
        <v>1931364.2489530989</v>
      </c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7"/>
      <c r="AM73" s="177"/>
      <c r="AN73" s="177"/>
      <c r="AO73" s="177"/>
    </row>
    <row r="74" spans="1:41" ht="14" thickTop="1">
      <c r="A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</row>
    <row r="75" spans="1:41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</row>
    <row r="76" spans="1:41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</row>
    <row r="77" spans="1:41">
      <c r="A77" s="177"/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  <c r="R77" s="177"/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177"/>
    </row>
    <row r="78" spans="1:41">
      <c r="A78" s="177"/>
      <c r="B78" s="177"/>
      <c r="C78" s="177"/>
      <c r="D78" s="233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7"/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177"/>
    </row>
    <row r="79" spans="1:41">
      <c r="A79" s="177"/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  <c r="R79" s="177"/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177"/>
    </row>
    <row r="80" spans="1:41">
      <c r="A80" s="177"/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  <c r="R80" s="177"/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177"/>
    </row>
    <row r="81" spans="1:32">
      <c r="A81" s="177"/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</row>
    <row r="82" spans="1:32">
      <c r="A82" s="177"/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  <c r="R82" s="177"/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177"/>
    </row>
    <row r="83" spans="1:32">
      <c r="A83" s="177"/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  <c r="R83" s="177"/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177"/>
    </row>
    <row r="84" spans="1:32">
      <c r="A84" s="177"/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  <c r="R84" s="177"/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177"/>
    </row>
    <row r="85" spans="1:32">
      <c r="A85" s="177"/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177"/>
    </row>
    <row r="86" spans="1:32">
      <c r="A86" s="177"/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  <c r="R86" s="177"/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177"/>
    </row>
    <row r="87" spans="1:32">
      <c r="A87" s="177"/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177"/>
    </row>
    <row r="88" spans="1:32">
      <c r="A88" s="177"/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177"/>
    </row>
    <row r="89" spans="1:32">
      <c r="A89" s="177"/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  <c r="AF89" s="177"/>
    </row>
    <row r="90" spans="1:32">
      <c r="A90" s="177"/>
      <c r="B90" s="177"/>
      <c r="C90" s="177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  <c r="AF90" s="177"/>
    </row>
    <row r="91" spans="1:32">
      <c r="A91" s="177"/>
      <c r="B91" s="177"/>
      <c r="C91" s="177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  <c r="AF91" s="177"/>
    </row>
    <row r="92" spans="1:32">
      <c r="A92" s="177"/>
      <c r="B92" s="177"/>
      <c r="C92" s="177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  <c r="AF92" s="177"/>
    </row>
    <row r="93" spans="1:32">
      <c r="A93" s="177"/>
      <c r="B93" s="177"/>
      <c r="C93" s="177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  <c r="R93" s="177"/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  <c r="AF93" s="177"/>
    </row>
    <row r="94" spans="1:32">
      <c r="A94" s="177"/>
      <c r="B94" s="177"/>
      <c r="C94" s="177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  <c r="R94" s="177"/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  <c r="AF94" s="177"/>
    </row>
    <row r="95" spans="1:32">
      <c r="A95" s="177"/>
      <c r="B95" s="177"/>
      <c r="C95" s="177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  <c r="R95" s="177"/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  <c r="AF95" s="177"/>
    </row>
    <row r="96" spans="1:32">
      <c r="A96" s="177"/>
      <c r="B96" s="177"/>
      <c r="C96" s="177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  <c r="R96" s="177"/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  <c r="AF96" s="177"/>
    </row>
    <row r="97" spans="1:32">
      <c r="A97" s="177"/>
      <c r="B97" s="177"/>
      <c r="C97" s="177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  <c r="R97" s="177"/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  <c r="AF97" s="177"/>
    </row>
    <row r="98" spans="1:32">
      <c r="A98" s="177"/>
      <c r="B98" s="177"/>
      <c r="C98" s="177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  <c r="R98" s="177"/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  <c r="AF98" s="177"/>
    </row>
    <row r="99" spans="1:32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  <c r="R99" s="177"/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  <c r="AF99" s="177"/>
    </row>
    <row r="100" spans="1:32">
      <c r="A100" s="177"/>
      <c r="B100" s="177"/>
      <c r="C100" s="177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  <c r="R100" s="177"/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  <c r="AF100" s="177"/>
    </row>
    <row r="101" spans="1:32">
      <c r="A101" s="177"/>
      <c r="B101" s="177"/>
      <c r="C101" s="177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  <c r="AF101" s="177"/>
    </row>
    <row r="102" spans="1:32">
      <c r="A102" s="177"/>
      <c r="B102" s="177"/>
      <c r="C102" s="177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  <c r="AF102" s="177"/>
    </row>
    <row r="103" spans="1:32">
      <c r="A103" s="177"/>
      <c r="B103" s="177"/>
      <c r="C103" s="177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7"/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  <c r="AF103" s="177"/>
    </row>
    <row r="104" spans="1:32">
      <c r="A104" s="177"/>
      <c r="B104" s="177"/>
      <c r="C104" s="177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  <c r="R104" s="177"/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  <c r="AF104" s="177"/>
    </row>
    <row r="105" spans="1:32">
      <c r="A105" s="177"/>
      <c r="B105" s="177"/>
      <c r="C105" s="177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  <c r="R105" s="177"/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  <c r="AF105" s="177"/>
    </row>
    <row r="106" spans="1:32">
      <c r="A106" s="177"/>
      <c r="B106" s="177"/>
      <c r="C106" s="177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  <c r="R106" s="177"/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  <c r="AF106" s="177"/>
    </row>
    <row r="107" spans="1:32">
      <c r="A107" s="177"/>
      <c r="B107" s="177"/>
      <c r="C107" s="177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  <c r="AF107" s="177"/>
    </row>
    <row r="108" spans="1:32">
      <c r="A108" s="177"/>
      <c r="B108" s="177"/>
      <c r="C108" s="177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  <c r="AF108" s="177"/>
    </row>
    <row r="109" spans="1:32">
      <c r="A109" s="177"/>
      <c r="B109" s="177"/>
      <c r="C109" s="177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  <c r="AF109" s="177"/>
    </row>
    <row r="110" spans="1:32">
      <c r="A110" s="177"/>
      <c r="B110" s="177"/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</row>
    <row r="111" spans="1:32">
      <c r="A111" s="177"/>
      <c r="B111" s="177"/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  <c r="AF111" s="177"/>
    </row>
    <row r="112" spans="1:32">
      <c r="A112" s="177"/>
      <c r="B112" s="177"/>
      <c r="C112" s="177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  <c r="R112" s="177"/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  <c r="AF112" s="177"/>
    </row>
    <row r="113" spans="1:32">
      <c r="A113" s="177"/>
      <c r="B113" s="177"/>
      <c r="C113" s="177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  <c r="R113" s="177"/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  <c r="AF113" s="177"/>
    </row>
    <row r="114" spans="1:32">
      <c r="A114" s="177"/>
      <c r="B114" s="177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  <c r="R114" s="177"/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  <c r="AF114" s="177"/>
    </row>
    <row r="115" spans="1:32">
      <c r="A115" s="177"/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  <c r="R115" s="177"/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  <c r="AF115" s="177"/>
    </row>
    <row r="116" spans="1:32">
      <c r="A116" s="177"/>
      <c r="B116" s="177"/>
      <c r="C116" s="177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  <c r="R116" s="177"/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  <c r="AF116" s="177"/>
    </row>
    <row r="117" spans="1:32">
      <c r="A117" s="177"/>
      <c r="B117" s="177"/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  <c r="AF117" s="177"/>
    </row>
    <row r="118" spans="1:32">
      <c r="A118" s="177"/>
      <c r="B118" s="177"/>
      <c r="C118" s="177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  <c r="AF118" s="177"/>
    </row>
    <row r="119" spans="1:32">
      <c r="A119" s="177"/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77"/>
    </row>
    <row r="120" spans="1:32">
      <c r="A120" s="177"/>
      <c r="B120" s="177"/>
      <c r="C120" s="177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  <c r="AF120" s="177"/>
    </row>
    <row r="121" spans="1:32">
      <c r="A121" s="177"/>
      <c r="B121" s="177"/>
      <c r="C121" s="177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  <c r="R121" s="177"/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  <c r="AF121" s="177"/>
    </row>
    <row r="122" spans="1:32">
      <c r="A122" s="177"/>
      <c r="B122" s="177"/>
      <c r="C122" s="177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  <c r="R122" s="177"/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  <c r="AF122" s="177"/>
    </row>
    <row r="123" spans="1:32">
      <c r="A123" s="177"/>
      <c r="B123" s="177"/>
      <c r="C123" s="177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  <c r="R123" s="177"/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  <c r="AF123" s="177"/>
    </row>
    <row r="124" spans="1:32">
      <c r="A124" s="177"/>
      <c r="B124" s="177"/>
      <c r="C124" s="177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  <c r="AF124" s="177"/>
    </row>
    <row r="125" spans="1:32">
      <c r="A125" s="177"/>
      <c r="B125" s="177"/>
      <c r="C125" s="177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7"/>
      <c r="AC125" s="177"/>
      <c r="AD125" s="177"/>
      <c r="AE125" s="177"/>
      <c r="AF125" s="177"/>
    </row>
    <row r="126" spans="1:32">
      <c r="A126" s="177"/>
      <c r="B126" s="177"/>
      <c r="C126" s="177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7"/>
      <c r="AC126" s="177"/>
      <c r="AD126" s="177"/>
      <c r="AE126" s="177"/>
      <c r="AF126" s="177"/>
    </row>
    <row r="127" spans="1:32">
      <c r="A127" s="177"/>
      <c r="B127" s="177"/>
      <c r="C127" s="177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7"/>
      <c r="AC127" s="177"/>
      <c r="AD127" s="177"/>
      <c r="AE127" s="177"/>
      <c r="AF127" s="177"/>
    </row>
    <row r="128" spans="1:32">
      <c r="A128" s="177"/>
      <c r="B128" s="177"/>
      <c r="C128" s="177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  <c r="R128" s="177"/>
      <c r="S128" s="177"/>
      <c r="T128" s="177"/>
      <c r="U128" s="177"/>
      <c r="V128" s="177"/>
      <c r="W128" s="177"/>
      <c r="X128" s="177"/>
      <c r="Y128" s="177"/>
      <c r="Z128" s="177"/>
      <c r="AA128" s="177"/>
      <c r="AB128" s="177"/>
      <c r="AC128" s="177"/>
      <c r="AD128" s="177"/>
      <c r="AE128" s="177"/>
      <c r="AF128" s="177"/>
    </row>
    <row r="129" spans="1:32">
      <c r="A129" s="177"/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  <c r="R129" s="177"/>
      <c r="S129" s="177"/>
      <c r="T129" s="177"/>
      <c r="U129" s="177"/>
      <c r="V129" s="177"/>
      <c r="W129" s="177"/>
      <c r="X129" s="177"/>
      <c r="Y129" s="177"/>
      <c r="Z129" s="177"/>
      <c r="AA129" s="177"/>
      <c r="AB129" s="177"/>
      <c r="AC129" s="177"/>
      <c r="AD129" s="177"/>
      <c r="AE129" s="177"/>
      <c r="AF129" s="177"/>
    </row>
    <row r="130" spans="1:32">
      <c r="A130" s="177"/>
      <c r="B130" s="177"/>
      <c r="C130" s="177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  <c r="R130" s="177"/>
      <c r="S130" s="177"/>
      <c r="T130" s="177"/>
      <c r="U130" s="177"/>
      <c r="V130" s="177"/>
      <c r="W130" s="177"/>
      <c r="X130" s="177"/>
      <c r="Y130" s="177"/>
      <c r="Z130" s="177"/>
      <c r="AA130" s="177"/>
      <c r="AB130" s="177"/>
      <c r="AC130" s="177"/>
      <c r="AD130" s="177"/>
      <c r="AE130" s="177"/>
      <c r="AF130" s="177"/>
    </row>
    <row r="131" spans="1:32">
      <c r="A131" s="177"/>
      <c r="B131" s="177"/>
      <c r="C131" s="177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  <c r="R131" s="177"/>
      <c r="S131" s="177"/>
      <c r="T131" s="177"/>
      <c r="U131" s="177"/>
      <c r="V131" s="177"/>
      <c r="W131" s="177"/>
      <c r="X131" s="177"/>
      <c r="Y131" s="177"/>
      <c r="Z131" s="177"/>
      <c r="AA131" s="177"/>
      <c r="AB131" s="177"/>
      <c r="AC131" s="177"/>
      <c r="AD131" s="177"/>
      <c r="AE131" s="177"/>
      <c r="AF131" s="177"/>
    </row>
    <row r="132" spans="1:32">
      <c r="A132" s="177"/>
      <c r="B132" s="177"/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  <c r="R132" s="177"/>
      <c r="S132" s="177"/>
      <c r="T132" s="177"/>
      <c r="U132" s="177"/>
      <c r="V132" s="177"/>
      <c r="W132" s="177"/>
      <c r="X132" s="177"/>
      <c r="Y132" s="177"/>
      <c r="Z132" s="177"/>
      <c r="AA132" s="177"/>
      <c r="AB132" s="177"/>
      <c r="AC132" s="177"/>
      <c r="AD132" s="177"/>
      <c r="AE132" s="177"/>
      <c r="AF132" s="177"/>
    </row>
    <row r="133" spans="1:32">
      <c r="A133" s="177"/>
      <c r="B133" s="177"/>
      <c r="C133" s="177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7"/>
      <c r="AC133" s="177"/>
      <c r="AD133" s="177"/>
      <c r="AE133" s="177"/>
      <c r="AF133" s="177"/>
    </row>
    <row r="134" spans="1:32">
      <c r="A134" s="177"/>
      <c r="B134" s="177"/>
      <c r="C134" s="177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177"/>
      <c r="U134" s="177"/>
      <c r="V134" s="177"/>
      <c r="W134" s="177"/>
      <c r="X134" s="177"/>
      <c r="Y134" s="177"/>
      <c r="Z134" s="177"/>
      <c r="AA134" s="177"/>
      <c r="AB134" s="177"/>
      <c r="AC134" s="177"/>
      <c r="AD134" s="177"/>
      <c r="AE134" s="177"/>
      <c r="AF134" s="177"/>
    </row>
    <row r="135" spans="1:32">
      <c r="A135" s="177"/>
      <c r="B135" s="177"/>
      <c r="C135" s="177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  <c r="R135" s="177"/>
      <c r="S135" s="177"/>
      <c r="T135" s="177"/>
      <c r="U135" s="177"/>
      <c r="V135" s="177"/>
      <c r="W135" s="177"/>
      <c r="X135" s="177"/>
      <c r="Y135" s="177"/>
      <c r="Z135" s="177"/>
      <c r="AA135" s="177"/>
      <c r="AB135" s="177"/>
      <c r="AC135" s="177"/>
      <c r="AD135" s="177"/>
      <c r="AE135" s="177"/>
      <c r="AF135" s="177"/>
    </row>
    <row r="136" spans="1:32">
      <c r="A136" s="177"/>
      <c r="B136" s="177"/>
      <c r="C136" s="177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  <c r="R136" s="177"/>
      <c r="S136" s="177"/>
      <c r="T136" s="177"/>
      <c r="U136" s="177"/>
      <c r="V136" s="177"/>
      <c r="W136" s="177"/>
      <c r="X136" s="177"/>
      <c r="Y136" s="177"/>
      <c r="Z136" s="177"/>
      <c r="AA136" s="177"/>
      <c r="AB136" s="177"/>
      <c r="AC136" s="177"/>
      <c r="AD136" s="177"/>
      <c r="AE136" s="177"/>
      <c r="AF136" s="177"/>
    </row>
    <row r="137" spans="1:32">
      <c r="A137" s="177"/>
      <c r="B137" s="177"/>
      <c r="C137" s="177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  <c r="R137" s="177"/>
      <c r="S137" s="177"/>
      <c r="T137" s="177"/>
      <c r="U137" s="177"/>
      <c r="V137" s="177"/>
      <c r="W137" s="177"/>
      <c r="X137" s="177"/>
      <c r="Y137" s="177"/>
      <c r="Z137" s="177"/>
      <c r="AA137" s="177"/>
      <c r="AB137" s="177"/>
      <c r="AC137" s="177"/>
      <c r="AD137" s="177"/>
      <c r="AE137" s="177"/>
      <c r="AF137" s="177"/>
    </row>
    <row r="138" spans="1:32">
      <c r="A138" s="177"/>
      <c r="B138" s="177"/>
      <c r="C138" s="177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7"/>
      <c r="AC138" s="177"/>
      <c r="AD138" s="177"/>
      <c r="AE138" s="177"/>
      <c r="AF138" s="177"/>
    </row>
    <row r="139" spans="1:32">
      <c r="A139" s="177"/>
      <c r="B139" s="177"/>
      <c r="C139" s="177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7"/>
      <c r="AC139" s="177"/>
      <c r="AD139" s="177"/>
      <c r="AE139" s="177"/>
      <c r="AF139" s="177"/>
    </row>
    <row r="140" spans="1:32">
      <c r="A140" s="177"/>
      <c r="B140" s="177"/>
      <c r="C140" s="177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7"/>
      <c r="AC140" s="177"/>
      <c r="AD140" s="177"/>
      <c r="AE140" s="177"/>
      <c r="AF140" s="177"/>
    </row>
    <row r="141" spans="1:32">
      <c r="A141" s="177"/>
      <c r="B141" s="177"/>
      <c r="C141" s="177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7"/>
      <c r="AC141" s="177"/>
      <c r="AD141" s="177"/>
      <c r="AE141" s="177"/>
      <c r="AF141" s="177"/>
    </row>
    <row r="142" spans="1:32">
      <c r="A142" s="177"/>
      <c r="B142" s="177"/>
      <c r="C142" s="177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7"/>
      <c r="AC142" s="177"/>
      <c r="AD142" s="177"/>
      <c r="AE142" s="177"/>
      <c r="AF142" s="177"/>
    </row>
    <row r="143" spans="1:32">
      <c r="A143" s="177"/>
      <c r="B143" s="177"/>
      <c r="C143" s="177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7"/>
      <c r="AC143" s="177"/>
      <c r="AD143" s="177"/>
      <c r="AE143" s="177"/>
      <c r="AF143" s="177"/>
    </row>
    <row r="144" spans="1:32">
      <c r="A144" s="177"/>
      <c r="B144" s="177"/>
      <c r="C144" s="177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  <c r="R144" s="177"/>
      <c r="S144" s="177"/>
      <c r="T144" s="177"/>
      <c r="U144" s="177"/>
      <c r="V144" s="177"/>
      <c r="W144" s="177"/>
      <c r="X144" s="177"/>
      <c r="Y144" s="177"/>
      <c r="Z144" s="177"/>
      <c r="AA144" s="177"/>
      <c r="AB144" s="177"/>
      <c r="AC144" s="177"/>
      <c r="AD144" s="177"/>
      <c r="AE144" s="177"/>
      <c r="AF144" s="177"/>
    </row>
    <row r="145" spans="1:32">
      <c r="A145" s="177"/>
      <c r="B145" s="177"/>
      <c r="C145" s="177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  <c r="R145" s="177"/>
      <c r="S145" s="177"/>
      <c r="T145" s="177"/>
      <c r="U145" s="177"/>
      <c r="V145" s="177"/>
      <c r="W145" s="177"/>
      <c r="X145" s="177"/>
      <c r="Y145" s="177"/>
      <c r="Z145" s="177"/>
      <c r="AA145" s="177"/>
      <c r="AB145" s="177"/>
      <c r="AC145" s="177"/>
      <c r="AD145" s="177"/>
      <c r="AE145" s="177"/>
      <c r="AF145" s="177"/>
    </row>
    <row r="146" spans="1:32">
      <c r="A146" s="177"/>
      <c r="B146" s="177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</row>
    <row r="147" spans="1:32">
      <c r="A147" s="177"/>
      <c r="B147" s="177"/>
      <c r="C147" s="177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7"/>
      <c r="AC147" s="177"/>
      <c r="AD147" s="177"/>
      <c r="AE147" s="177"/>
      <c r="AF147" s="177"/>
    </row>
    <row r="148" spans="1:32">
      <c r="A148" s="177"/>
      <c r="B148" s="177"/>
      <c r="C148" s="177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7"/>
      <c r="AC148" s="177"/>
      <c r="AD148" s="177"/>
      <c r="AE148" s="177"/>
      <c r="AF148" s="177"/>
    </row>
    <row r="149" spans="1:32">
      <c r="A149" s="177"/>
      <c r="B149" s="177"/>
      <c r="C149" s="177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7"/>
      <c r="AC149" s="177"/>
      <c r="AD149" s="177"/>
      <c r="AE149" s="177"/>
      <c r="AF149" s="177"/>
    </row>
    <row r="150" spans="1:32">
      <c r="A150" s="177"/>
      <c r="B150" s="177"/>
      <c r="C150" s="177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  <c r="R150" s="177"/>
      <c r="S150" s="177"/>
      <c r="T150" s="177"/>
      <c r="U150" s="177"/>
      <c r="V150" s="177"/>
      <c r="W150" s="177"/>
      <c r="X150" s="177"/>
      <c r="Y150" s="177"/>
      <c r="Z150" s="177"/>
      <c r="AA150" s="177"/>
      <c r="AB150" s="177"/>
      <c r="AC150" s="177"/>
      <c r="AD150" s="177"/>
      <c r="AE150" s="177"/>
      <c r="AF150" s="177"/>
    </row>
    <row r="151" spans="1:32">
      <c r="A151" s="177"/>
      <c r="B151" s="177"/>
      <c r="C151" s="177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  <c r="R151" s="177"/>
      <c r="S151" s="177"/>
      <c r="T151" s="177"/>
      <c r="U151" s="177"/>
      <c r="V151" s="177"/>
      <c r="W151" s="177"/>
      <c r="X151" s="177"/>
      <c r="Y151" s="177"/>
      <c r="Z151" s="177"/>
      <c r="AA151" s="177"/>
      <c r="AB151" s="177"/>
      <c r="AC151" s="177"/>
      <c r="AD151" s="177"/>
      <c r="AE151" s="177"/>
      <c r="AF151" s="177"/>
    </row>
    <row r="152" spans="1:32">
      <c r="A152" s="177"/>
      <c r="B152" s="177"/>
      <c r="C152" s="177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  <c r="R152" s="177"/>
      <c r="S152" s="177"/>
      <c r="T152" s="177"/>
      <c r="U152" s="177"/>
      <c r="V152" s="177"/>
      <c r="W152" s="177"/>
      <c r="X152" s="177"/>
      <c r="Y152" s="177"/>
      <c r="Z152" s="177"/>
      <c r="AA152" s="177"/>
      <c r="AB152" s="177"/>
      <c r="AC152" s="177"/>
      <c r="AD152" s="177"/>
      <c r="AE152" s="177"/>
      <c r="AF152" s="177"/>
    </row>
    <row r="153" spans="1:32">
      <c r="A153" s="177"/>
      <c r="B153" s="177"/>
      <c r="C153" s="177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  <c r="R153" s="177"/>
      <c r="S153" s="177"/>
      <c r="T153" s="177"/>
      <c r="U153" s="177"/>
      <c r="V153" s="177"/>
      <c r="W153" s="177"/>
      <c r="X153" s="177"/>
      <c r="Y153" s="177"/>
      <c r="Z153" s="177"/>
      <c r="AA153" s="177"/>
      <c r="AB153" s="177"/>
      <c r="AC153" s="177"/>
      <c r="AD153" s="177"/>
      <c r="AE153" s="177"/>
      <c r="AF153" s="177"/>
    </row>
    <row r="154" spans="1:32">
      <c r="A154" s="177"/>
      <c r="B154" s="177"/>
      <c r="C154" s="177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  <c r="R154" s="177"/>
      <c r="S154" s="177"/>
      <c r="T154" s="177"/>
      <c r="U154" s="177"/>
      <c r="V154" s="177"/>
      <c r="W154" s="177"/>
      <c r="X154" s="177"/>
      <c r="Y154" s="177"/>
      <c r="Z154" s="177"/>
      <c r="AA154" s="177"/>
      <c r="AB154" s="177"/>
      <c r="AC154" s="177"/>
      <c r="AD154" s="177"/>
      <c r="AE154" s="177"/>
      <c r="AF154" s="177"/>
    </row>
    <row r="155" spans="1:32">
      <c r="A155" s="177"/>
      <c r="B155" s="177"/>
      <c r="C155" s="177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  <c r="R155" s="177"/>
      <c r="S155" s="177"/>
      <c r="T155" s="177"/>
      <c r="U155" s="177"/>
      <c r="V155" s="177"/>
      <c r="W155" s="177"/>
      <c r="X155" s="177"/>
      <c r="Y155" s="177"/>
      <c r="Z155" s="177"/>
      <c r="AA155" s="177"/>
      <c r="AB155" s="177"/>
      <c r="AC155" s="177"/>
      <c r="AD155" s="177"/>
      <c r="AE155" s="177"/>
      <c r="AF155" s="177"/>
    </row>
    <row r="156" spans="1:32">
      <c r="A156" s="177"/>
      <c r="B156" s="177"/>
      <c r="C156" s="177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  <c r="R156" s="177"/>
      <c r="S156" s="177"/>
      <c r="T156" s="177"/>
      <c r="U156" s="177"/>
      <c r="V156" s="177"/>
      <c r="W156" s="177"/>
      <c r="X156" s="177"/>
      <c r="Y156" s="177"/>
      <c r="Z156" s="177"/>
      <c r="AA156" s="177"/>
      <c r="AB156" s="177"/>
      <c r="AC156" s="177"/>
      <c r="AD156" s="177"/>
      <c r="AE156" s="177"/>
      <c r="AF156" s="177"/>
    </row>
    <row r="157" spans="1:32">
      <c r="A157" s="177"/>
      <c r="B157" s="177"/>
      <c r="C157" s="177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</row>
    <row r="158" spans="1:32">
      <c r="A158" s="177"/>
      <c r="B158" s="177"/>
      <c r="C158" s="177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  <c r="R158" s="177"/>
      <c r="S158" s="177"/>
      <c r="T158" s="177"/>
      <c r="U158" s="177"/>
      <c r="V158" s="177"/>
      <c r="W158" s="177"/>
      <c r="X158" s="177"/>
      <c r="Y158" s="177"/>
      <c r="Z158" s="177"/>
      <c r="AA158" s="177"/>
      <c r="AB158" s="177"/>
      <c r="AC158" s="177"/>
      <c r="AD158" s="177"/>
      <c r="AE158" s="177"/>
      <c r="AF158" s="177"/>
    </row>
    <row r="159" spans="1:32">
      <c r="A159" s="177"/>
      <c r="B159" s="177"/>
      <c r="C159" s="177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/>
      <c r="U159" s="177"/>
      <c r="V159" s="177"/>
      <c r="W159" s="177"/>
      <c r="X159" s="177"/>
      <c r="Y159" s="177"/>
      <c r="Z159" s="177"/>
      <c r="AA159" s="177"/>
      <c r="AB159" s="177"/>
      <c r="AC159" s="177"/>
      <c r="AD159" s="177"/>
      <c r="AE159" s="177"/>
      <c r="AF159" s="177"/>
    </row>
    <row r="160" spans="1:32">
      <c r="A160" s="177"/>
      <c r="B160" s="177"/>
      <c r="C160" s="177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7"/>
      <c r="AC160" s="177"/>
      <c r="AD160" s="177"/>
      <c r="AE160" s="177"/>
      <c r="AF160" s="177"/>
    </row>
    <row r="161" spans="1:32">
      <c r="A161" s="177"/>
      <c r="B161" s="177"/>
      <c r="C161" s="177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7"/>
      <c r="AC161" s="177"/>
      <c r="AD161" s="177"/>
      <c r="AE161" s="177"/>
      <c r="AF161" s="177"/>
    </row>
    <row r="162" spans="1:32">
      <c r="A162" s="177"/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7"/>
      <c r="AC162" s="177"/>
      <c r="AD162" s="177"/>
      <c r="AE162" s="177"/>
      <c r="AF162" s="177"/>
    </row>
    <row r="163" spans="1:32">
      <c r="A163" s="177"/>
      <c r="B163" s="177"/>
      <c r="C163" s="177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  <c r="R163" s="177"/>
      <c r="S163" s="177"/>
      <c r="T163" s="177"/>
      <c r="U163" s="177"/>
      <c r="V163" s="177"/>
      <c r="W163" s="177"/>
      <c r="X163" s="177"/>
      <c r="Y163" s="177"/>
      <c r="Z163" s="177"/>
      <c r="AA163" s="177"/>
      <c r="AB163" s="177"/>
      <c r="AC163" s="177"/>
      <c r="AD163" s="177"/>
      <c r="AE163" s="177"/>
      <c r="AF163" s="177"/>
    </row>
    <row r="164" spans="1:32">
      <c r="A164" s="177"/>
      <c r="B164" s="177"/>
      <c r="C164" s="177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  <c r="R164" s="177"/>
      <c r="S164" s="177"/>
      <c r="T164" s="177"/>
      <c r="U164" s="177"/>
      <c r="V164" s="177"/>
      <c r="W164" s="177"/>
      <c r="X164" s="177"/>
      <c r="Y164" s="177"/>
      <c r="Z164" s="177"/>
      <c r="AA164" s="177"/>
      <c r="AB164" s="177"/>
      <c r="AC164" s="177"/>
      <c r="AD164" s="177"/>
      <c r="AE164" s="177"/>
      <c r="AF164" s="177"/>
    </row>
    <row r="165" spans="1:32">
      <c r="A165" s="177"/>
      <c r="B165" s="177"/>
      <c r="C165" s="177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  <c r="R165" s="177"/>
      <c r="S165" s="177"/>
      <c r="T165" s="177"/>
      <c r="U165" s="177"/>
      <c r="V165" s="177"/>
      <c r="W165" s="177"/>
      <c r="X165" s="177"/>
      <c r="Y165" s="177"/>
      <c r="Z165" s="177"/>
      <c r="AA165" s="177"/>
      <c r="AB165" s="177"/>
      <c r="AC165" s="177"/>
      <c r="AD165" s="177"/>
      <c r="AE165" s="177"/>
      <c r="AF165" s="177"/>
    </row>
    <row r="166" spans="1:32">
      <c r="A166" s="177"/>
      <c r="B166" s="177"/>
      <c r="C166" s="177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  <c r="R166" s="177"/>
      <c r="S166" s="177"/>
      <c r="T166" s="177"/>
      <c r="U166" s="177"/>
      <c r="V166" s="177"/>
      <c r="W166" s="177"/>
      <c r="X166" s="177"/>
      <c r="Y166" s="177"/>
      <c r="Z166" s="177"/>
      <c r="AA166" s="177"/>
      <c r="AB166" s="177"/>
      <c r="AC166" s="177"/>
      <c r="AD166" s="177"/>
      <c r="AE166" s="177"/>
      <c r="AF166" s="177"/>
    </row>
    <row r="167" spans="1:32">
      <c r="A167" s="177"/>
      <c r="B167" s="177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</row>
    <row r="168" spans="1:32">
      <c r="A168" s="177"/>
      <c r="B168" s="177"/>
      <c r="C168" s="177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  <c r="R168" s="177"/>
      <c r="S168" s="177"/>
      <c r="T168" s="177"/>
      <c r="U168" s="177"/>
      <c r="V168" s="177"/>
      <c r="W168" s="177"/>
      <c r="X168" s="177"/>
      <c r="Y168" s="177"/>
      <c r="Z168" s="177"/>
      <c r="AA168" s="177"/>
      <c r="AB168" s="177"/>
      <c r="AC168" s="177"/>
      <c r="AD168" s="177"/>
      <c r="AE168" s="177"/>
      <c r="AF168" s="177"/>
    </row>
    <row r="169" spans="1:32">
      <c r="A169" s="177"/>
      <c r="B169" s="177"/>
      <c r="C169" s="177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  <c r="R169" s="177"/>
      <c r="S169" s="177"/>
      <c r="T169" s="177"/>
      <c r="U169" s="177"/>
      <c r="V169" s="177"/>
      <c r="W169" s="177"/>
      <c r="X169" s="177"/>
      <c r="Y169" s="177"/>
      <c r="Z169" s="177"/>
      <c r="AA169" s="177"/>
      <c r="AB169" s="177"/>
      <c r="AC169" s="177"/>
      <c r="AD169" s="177"/>
      <c r="AE169" s="177"/>
      <c r="AF169" s="177"/>
    </row>
    <row r="170" spans="1:32">
      <c r="A170" s="177"/>
      <c r="B170" s="177"/>
      <c r="C170" s="177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  <c r="R170" s="177"/>
      <c r="S170" s="177"/>
      <c r="T170" s="177"/>
      <c r="U170" s="177"/>
      <c r="V170" s="177"/>
      <c r="W170" s="177"/>
      <c r="X170" s="177"/>
      <c r="Y170" s="177"/>
      <c r="Z170" s="177"/>
      <c r="AA170" s="177"/>
      <c r="AB170" s="177"/>
      <c r="AC170" s="177"/>
      <c r="AD170" s="177"/>
      <c r="AE170" s="177"/>
      <c r="AF170" s="177"/>
    </row>
    <row r="171" spans="1:32">
      <c r="A171" s="177"/>
      <c r="B171" s="177"/>
      <c r="C171" s="177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  <c r="R171" s="177"/>
      <c r="S171" s="177"/>
      <c r="T171" s="177"/>
      <c r="U171" s="177"/>
      <c r="V171" s="177"/>
      <c r="W171" s="177"/>
      <c r="X171" s="177"/>
      <c r="Y171" s="177"/>
      <c r="Z171" s="177"/>
      <c r="AA171" s="177"/>
      <c r="AB171" s="177"/>
      <c r="AC171" s="177"/>
      <c r="AD171" s="177"/>
      <c r="AE171" s="177"/>
      <c r="AF171" s="177"/>
    </row>
    <row r="172" spans="1:32">
      <c r="A172" s="177"/>
      <c r="B172" s="177"/>
      <c r="C172" s="177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  <c r="R172" s="177"/>
      <c r="S172" s="177"/>
      <c r="T172" s="177"/>
      <c r="U172" s="177"/>
      <c r="V172" s="177"/>
      <c r="W172" s="177"/>
      <c r="X172" s="177"/>
      <c r="Y172" s="177"/>
      <c r="Z172" s="177"/>
      <c r="AA172" s="177"/>
      <c r="AB172" s="177"/>
      <c r="AC172" s="177"/>
      <c r="AD172" s="177"/>
      <c r="AE172" s="177"/>
      <c r="AF172" s="177"/>
    </row>
    <row r="173" spans="1:32">
      <c r="A173" s="177"/>
      <c r="B173" s="177"/>
      <c r="C173" s="177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  <c r="R173" s="177"/>
      <c r="S173" s="177"/>
      <c r="T173" s="177"/>
      <c r="U173" s="177"/>
      <c r="V173" s="177"/>
      <c r="W173" s="177"/>
      <c r="X173" s="177"/>
      <c r="Y173" s="177"/>
      <c r="Z173" s="177"/>
      <c r="AA173" s="177"/>
      <c r="AB173" s="177"/>
      <c r="AC173" s="177"/>
      <c r="AD173" s="177"/>
      <c r="AE173" s="177"/>
      <c r="AF173" s="177"/>
    </row>
    <row r="174" spans="1:32">
      <c r="A174" s="177"/>
      <c r="B174" s="177"/>
      <c r="C174" s="177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  <c r="R174" s="177"/>
      <c r="S174" s="177"/>
      <c r="T174" s="177"/>
      <c r="U174" s="177"/>
      <c r="V174" s="177"/>
      <c r="W174" s="177"/>
      <c r="X174" s="177"/>
      <c r="Y174" s="177"/>
      <c r="Z174" s="177"/>
      <c r="AA174" s="177"/>
      <c r="AB174" s="177"/>
      <c r="AC174" s="177"/>
      <c r="AD174" s="177"/>
      <c r="AE174" s="177"/>
      <c r="AF174" s="177"/>
    </row>
    <row r="175" spans="1:32">
      <c r="A175" s="177"/>
      <c r="B175" s="177"/>
      <c r="C175" s="177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  <c r="R175" s="177"/>
      <c r="S175" s="177"/>
      <c r="T175" s="177"/>
      <c r="U175" s="177"/>
      <c r="V175" s="177"/>
      <c r="W175" s="177"/>
      <c r="X175" s="177"/>
      <c r="Y175" s="177"/>
      <c r="Z175" s="177"/>
      <c r="AA175" s="177"/>
      <c r="AB175" s="177"/>
      <c r="AC175" s="177"/>
      <c r="AD175" s="177"/>
      <c r="AE175" s="177"/>
      <c r="AF175" s="177"/>
    </row>
    <row r="176" spans="1:32">
      <c r="A176" s="177"/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  <c r="R176" s="177"/>
      <c r="S176" s="177"/>
      <c r="T176" s="177"/>
      <c r="U176" s="177"/>
      <c r="V176" s="177"/>
      <c r="W176" s="177"/>
      <c r="X176" s="177"/>
      <c r="Y176" s="177"/>
      <c r="Z176" s="177"/>
      <c r="AA176" s="177"/>
      <c r="AB176" s="177"/>
      <c r="AC176" s="177"/>
      <c r="AD176" s="177"/>
      <c r="AE176" s="177"/>
      <c r="AF176" s="177"/>
    </row>
    <row r="177" spans="1:32">
      <c r="A177" s="177"/>
      <c r="B177" s="177"/>
      <c r="C177" s="177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  <c r="R177" s="177"/>
      <c r="S177" s="177"/>
      <c r="T177" s="177"/>
      <c r="U177" s="177"/>
      <c r="V177" s="177"/>
      <c r="W177" s="177"/>
      <c r="X177" s="177"/>
      <c r="Y177" s="177"/>
      <c r="Z177" s="177"/>
      <c r="AA177" s="177"/>
      <c r="AB177" s="177"/>
      <c r="AC177" s="177"/>
      <c r="AD177" s="177"/>
      <c r="AE177" s="177"/>
      <c r="AF177" s="177"/>
    </row>
    <row r="178" spans="1:32">
      <c r="A178" s="177"/>
      <c r="B178" s="177"/>
      <c r="C178" s="177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  <c r="R178" s="177"/>
      <c r="S178" s="177"/>
      <c r="T178" s="177"/>
      <c r="U178" s="177"/>
      <c r="V178" s="177"/>
      <c r="W178" s="177"/>
      <c r="X178" s="177"/>
      <c r="Y178" s="177"/>
      <c r="Z178" s="177"/>
      <c r="AA178" s="177"/>
      <c r="AB178" s="177"/>
      <c r="AC178" s="177"/>
      <c r="AD178" s="177"/>
      <c r="AE178" s="177"/>
      <c r="AF178" s="177"/>
    </row>
    <row r="179" spans="1:32">
      <c r="A179" s="177"/>
      <c r="B179" s="177"/>
      <c r="C179" s="177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  <c r="R179" s="177"/>
      <c r="S179" s="177"/>
      <c r="T179" s="177"/>
      <c r="U179" s="177"/>
      <c r="V179" s="177"/>
      <c r="W179" s="177"/>
      <c r="X179" s="177"/>
      <c r="Y179" s="177"/>
      <c r="Z179" s="177"/>
      <c r="AA179" s="177"/>
      <c r="AB179" s="177"/>
      <c r="AC179" s="177"/>
      <c r="AD179" s="177"/>
      <c r="AE179" s="177"/>
      <c r="AF179" s="177"/>
    </row>
    <row r="180" spans="1:32">
      <c r="A180" s="177"/>
      <c r="B180" s="177"/>
      <c r="C180" s="177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  <c r="R180" s="177"/>
      <c r="S180" s="177"/>
      <c r="T180" s="177"/>
      <c r="U180" s="177"/>
      <c r="V180" s="177"/>
      <c r="W180" s="177"/>
      <c r="X180" s="177"/>
      <c r="Y180" s="177"/>
      <c r="Z180" s="177"/>
      <c r="AA180" s="177"/>
      <c r="AB180" s="177"/>
      <c r="AC180" s="177"/>
      <c r="AD180" s="177"/>
      <c r="AE180" s="177"/>
      <c r="AF180" s="177"/>
    </row>
    <row r="181" spans="1:32">
      <c r="A181" s="177"/>
      <c r="B181" s="177"/>
      <c r="C181" s="177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  <c r="R181" s="177"/>
      <c r="S181" s="177"/>
      <c r="T181" s="177"/>
      <c r="U181" s="177"/>
      <c r="V181" s="177"/>
      <c r="W181" s="177"/>
      <c r="X181" s="177"/>
      <c r="Y181" s="177"/>
      <c r="Z181" s="177"/>
      <c r="AA181" s="177"/>
      <c r="AB181" s="177"/>
      <c r="AC181" s="177"/>
      <c r="AD181" s="177"/>
      <c r="AE181" s="177"/>
      <c r="AF181" s="177"/>
    </row>
    <row r="182" spans="1:32">
      <c r="A182" s="177"/>
      <c r="B182" s="177"/>
      <c r="C182" s="177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  <c r="R182" s="177"/>
      <c r="S182" s="177"/>
      <c r="T182" s="177"/>
      <c r="U182" s="177"/>
      <c r="V182" s="177"/>
      <c r="W182" s="177"/>
      <c r="X182" s="177"/>
      <c r="Y182" s="177"/>
      <c r="Z182" s="177"/>
      <c r="AA182" s="177"/>
      <c r="AB182" s="177"/>
      <c r="AC182" s="177"/>
      <c r="AD182" s="177"/>
      <c r="AE182" s="177"/>
      <c r="AF182" s="177"/>
    </row>
    <row r="183" spans="1:32">
      <c r="A183" s="177"/>
      <c r="B183" s="177"/>
      <c r="C183" s="177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  <c r="R183" s="177"/>
      <c r="S183" s="177"/>
      <c r="T183" s="177"/>
      <c r="U183" s="177"/>
      <c r="V183" s="177"/>
      <c r="W183" s="177"/>
      <c r="X183" s="177"/>
      <c r="Y183" s="177"/>
      <c r="Z183" s="177"/>
      <c r="AA183" s="177"/>
      <c r="AB183" s="177"/>
      <c r="AC183" s="177"/>
      <c r="AD183" s="177"/>
      <c r="AE183" s="177"/>
      <c r="AF183" s="177"/>
    </row>
    <row r="184" spans="1:32">
      <c r="A184" s="177"/>
      <c r="B184" s="177"/>
      <c r="C184" s="177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  <c r="R184" s="177"/>
      <c r="S184" s="177"/>
      <c r="T184" s="177"/>
      <c r="U184" s="177"/>
      <c r="V184" s="177"/>
      <c r="W184" s="177"/>
      <c r="X184" s="177"/>
      <c r="Y184" s="177"/>
      <c r="Z184" s="177"/>
      <c r="AA184" s="177"/>
      <c r="AB184" s="177"/>
      <c r="AC184" s="177"/>
      <c r="AD184" s="177"/>
      <c r="AE184" s="177"/>
      <c r="AF184" s="177"/>
    </row>
    <row r="185" spans="1:32">
      <c r="A185" s="177"/>
      <c r="B185" s="177"/>
      <c r="C185" s="177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  <c r="R185" s="177"/>
      <c r="S185" s="177"/>
      <c r="T185" s="177"/>
      <c r="U185" s="177"/>
      <c r="V185" s="177"/>
      <c r="W185" s="177"/>
      <c r="X185" s="177"/>
      <c r="Y185" s="177"/>
      <c r="Z185" s="177"/>
      <c r="AA185" s="177"/>
      <c r="AB185" s="177"/>
      <c r="AC185" s="177"/>
      <c r="AD185" s="177"/>
      <c r="AE185" s="177"/>
      <c r="AF185" s="177"/>
    </row>
    <row r="186" spans="1:32">
      <c r="A186" s="177"/>
      <c r="B186" s="177"/>
      <c r="C186" s="177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  <c r="R186" s="177"/>
      <c r="S186" s="177"/>
      <c r="T186" s="177"/>
      <c r="U186" s="177"/>
      <c r="V186" s="177"/>
      <c r="W186" s="177"/>
      <c r="X186" s="177"/>
      <c r="Y186" s="177"/>
      <c r="Z186" s="177"/>
      <c r="AA186" s="177"/>
      <c r="AB186" s="177"/>
      <c r="AC186" s="177"/>
      <c r="AD186" s="177"/>
      <c r="AE186" s="177"/>
      <c r="AF186" s="177"/>
    </row>
    <row r="187" spans="1:32">
      <c r="A187" s="177"/>
      <c r="B187" s="177"/>
      <c r="C187" s="177"/>
      <c r="D187" s="177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  <c r="R187" s="177"/>
      <c r="S187" s="177"/>
      <c r="T187" s="177"/>
      <c r="U187" s="177"/>
      <c r="V187" s="177"/>
      <c r="W187" s="177"/>
      <c r="X187" s="177"/>
      <c r="Y187" s="177"/>
      <c r="Z187" s="177"/>
      <c r="AA187" s="177"/>
      <c r="AB187" s="177"/>
      <c r="AC187" s="177"/>
      <c r="AD187" s="177"/>
      <c r="AE187" s="177"/>
      <c r="AF187" s="177"/>
    </row>
    <row r="188" spans="1:32">
      <c r="A188" s="177"/>
      <c r="B188" s="177"/>
      <c r="C188" s="177"/>
      <c r="D188" s="177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  <c r="R188" s="177"/>
      <c r="S188" s="177"/>
      <c r="T188" s="177"/>
      <c r="U188" s="177"/>
      <c r="V188" s="177"/>
      <c r="W188" s="177"/>
      <c r="X188" s="177"/>
      <c r="Y188" s="177"/>
      <c r="Z188" s="177"/>
      <c r="AA188" s="177"/>
      <c r="AB188" s="177"/>
      <c r="AC188" s="177"/>
      <c r="AD188" s="177"/>
      <c r="AE188" s="177"/>
      <c r="AF188" s="177"/>
    </row>
    <row r="189" spans="1:32">
      <c r="A189" s="177"/>
      <c r="B189" s="177"/>
      <c r="C189" s="177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  <c r="R189" s="177"/>
      <c r="S189" s="177"/>
      <c r="T189" s="177"/>
      <c r="U189" s="177"/>
      <c r="V189" s="177"/>
      <c r="W189" s="177"/>
      <c r="X189" s="177"/>
      <c r="Y189" s="177"/>
      <c r="Z189" s="177"/>
      <c r="AA189" s="177"/>
      <c r="AB189" s="177"/>
      <c r="AC189" s="177"/>
      <c r="AD189" s="177"/>
      <c r="AE189" s="177"/>
      <c r="AF189" s="177"/>
    </row>
    <row r="190" spans="1:32">
      <c r="A190" s="177"/>
      <c r="B190" s="177"/>
      <c r="C190" s="177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  <c r="R190" s="177"/>
      <c r="S190" s="177"/>
      <c r="T190" s="177"/>
      <c r="U190" s="177"/>
      <c r="V190" s="177"/>
      <c r="W190" s="177"/>
      <c r="X190" s="177"/>
      <c r="Y190" s="177"/>
      <c r="Z190" s="177"/>
      <c r="AA190" s="177"/>
      <c r="AB190" s="177"/>
      <c r="AC190" s="177"/>
      <c r="AD190" s="177"/>
      <c r="AE190" s="177"/>
      <c r="AF190" s="177"/>
    </row>
    <row r="191" spans="1:32">
      <c r="A191" s="177"/>
      <c r="B191" s="177"/>
      <c r="C191" s="177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  <c r="R191" s="177"/>
      <c r="S191" s="177"/>
      <c r="T191" s="177"/>
      <c r="U191" s="177"/>
      <c r="V191" s="177"/>
      <c r="W191" s="177"/>
      <c r="X191" s="177"/>
      <c r="Y191" s="177"/>
      <c r="Z191" s="177"/>
      <c r="AA191" s="177"/>
      <c r="AB191" s="177"/>
      <c r="AC191" s="177"/>
      <c r="AD191" s="177"/>
      <c r="AE191" s="177"/>
      <c r="AF191" s="177"/>
    </row>
    <row r="192" spans="1:32">
      <c r="A192" s="177"/>
      <c r="B192" s="177"/>
      <c r="C192" s="177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  <c r="R192" s="177"/>
      <c r="S192" s="177"/>
      <c r="T192" s="177"/>
      <c r="U192" s="177"/>
      <c r="V192" s="177"/>
      <c r="W192" s="177"/>
      <c r="X192" s="177"/>
      <c r="Y192" s="177"/>
      <c r="Z192" s="177"/>
      <c r="AA192" s="177"/>
      <c r="AB192" s="177"/>
      <c r="AC192" s="177"/>
      <c r="AD192" s="177"/>
      <c r="AE192" s="177"/>
      <c r="AF192" s="177"/>
    </row>
    <row r="193" spans="1:32">
      <c r="A193" s="177"/>
      <c r="B193" s="177"/>
      <c r="C193" s="177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  <c r="R193" s="177"/>
      <c r="S193" s="177"/>
      <c r="T193" s="177"/>
      <c r="U193" s="177"/>
      <c r="V193" s="177"/>
      <c r="W193" s="177"/>
      <c r="X193" s="177"/>
      <c r="Y193" s="177"/>
      <c r="Z193" s="177"/>
      <c r="AA193" s="177"/>
      <c r="AB193" s="177"/>
      <c r="AC193" s="177"/>
      <c r="AD193" s="177"/>
      <c r="AE193" s="177"/>
      <c r="AF193" s="177"/>
    </row>
    <row r="194" spans="1:32">
      <c r="A194" s="177"/>
      <c r="B194" s="177"/>
      <c r="C194" s="177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  <c r="R194" s="177"/>
      <c r="S194" s="177"/>
      <c r="T194" s="177"/>
      <c r="U194" s="177"/>
      <c r="V194" s="177"/>
      <c r="W194" s="177"/>
      <c r="X194" s="177"/>
      <c r="Y194" s="177"/>
      <c r="Z194" s="177"/>
      <c r="AA194" s="177"/>
      <c r="AB194" s="177"/>
      <c r="AC194" s="177"/>
      <c r="AD194" s="177"/>
      <c r="AE194" s="177"/>
      <c r="AF194" s="177"/>
    </row>
    <row r="195" spans="1:32">
      <c r="A195" s="177"/>
      <c r="B195" s="177"/>
      <c r="C195" s="177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  <c r="R195" s="177"/>
      <c r="S195" s="177"/>
      <c r="T195" s="177"/>
      <c r="U195" s="177"/>
      <c r="V195" s="177"/>
      <c r="W195" s="177"/>
      <c r="X195" s="177"/>
      <c r="Y195" s="177"/>
      <c r="Z195" s="177"/>
      <c r="AA195" s="177"/>
      <c r="AB195" s="177"/>
      <c r="AC195" s="177"/>
      <c r="AD195" s="177"/>
      <c r="AE195" s="177"/>
      <c r="AF195" s="177"/>
    </row>
    <row r="196" spans="1:32">
      <c r="A196" s="177"/>
      <c r="B196" s="177"/>
      <c r="C196" s="177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  <c r="R196" s="177"/>
      <c r="S196" s="177"/>
      <c r="T196" s="177"/>
      <c r="U196" s="177"/>
      <c r="V196" s="177"/>
      <c r="W196" s="177"/>
      <c r="X196" s="177"/>
      <c r="Y196" s="177"/>
      <c r="Z196" s="177"/>
      <c r="AA196" s="177"/>
      <c r="AB196" s="177"/>
      <c r="AC196" s="177"/>
      <c r="AD196" s="177"/>
      <c r="AE196" s="177"/>
      <c r="AF196" s="177"/>
    </row>
    <row r="197" spans="1:32">
      <c r="A197" s="177"/>
      <c r="B197" s="177"/>
      <c r="C197" s="177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  <c r="R197" s="177"/>
      <c r="S197" s="177"/>
      <c r="T197" s="177"/>
      <c r="U197" s="177"/>
      <c r="V197" s="177"/>
      <c r="W197" s="177"/>
      <c r="X197" s="177"/>
      <c r="Y197" s="177"/>
      <c r="Z197" s="177"/>
      <c r="AA197" s="177"/>
      <c r="AB197" s="177"/>
      <c r="AC197" s="177"/>
      <c r="AD197" s="177"/>
      <c r="AE197" s="177"/>
      <c r="AF197" s="177"/>
    </row>
    <row r="198" spans="1:32">
      <c r="A198" s="177"/>
      <c r="B198" s="177"/>
      <c r="C198" s="177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  <c r="R198" s="177"/>
      <c r="S198" s="177"/>
      <c r="T198" s="177"/>
      <c r="U198" s="177"/>
      <c r="V198" s="177"/>
      <c r="W198" s="177"/>
      <c r="X198" s="177"/>
      <c r="Y198" s="177"/>
      <c r="Z198" s="177"/>
      <c r="AA198" s="177"/>
      <c r="AB198" s="177"/>
      <c r="AC198" s="177"/>
      <c r="AD198" s="177"/>
      <c r="AE198" s="177"/>
      <c r="AF198" s="177"/>
    </row>
    <row r="199" spans="1:32">
      <c r="A199" s="177"/>
      <c r="B199" s="177"/>
      <c r="C199" s="177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  <c r="R199" s="177"/>
      <c r="S199" s="177"/>
      <c r="T199" s="177"/>
      <c r="U199" s="177"/>
      <c r="V199" s="177"/>
      <c r="W199" s="177"/>
      <c r="X199" s="177"/>
      <c r="Y199" s="177"/>
      <c r="Z199" s="177"/>
      <c r="AA199" s="177"/>
      <c r="AB199" s="177"/>
      <c r="AC199" s="177"/>
      <c r="AD199" s="177"/>
      <c r="AE199" s="177"/>
      <c r="AF199" s="177"/>
    </row>
    <row r="200" spans="1:32">
      <c r="A200" s="177"/>
      <c r="B200" s="177"/>
      <c r="C200" s="177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  <c r="R200" s="177"/>
      <c r="S200" s="177"/>
      <c r="T200" s="177"/>
      <c r="U200" s="177"/>
      <c r="V200" s="177"/>
      <c r="W200" s="177"/>
      <c r="X200" s="177"/>
      <c r="Y200" s="177"/>
      <c r="Z200" s="177"/>
      <c r="AA200" s="177"/>
      <c r="AB200" s="177"/>
      <c r="AC200" s="177"/>
      <c r="AD200" s="177"/>
      <c r="AE200" s="177"/>
      <c r="AF200" s="177"/>
    </row>
    <row r="201" spans="1:32">
      <c r="A201" s="177"/>
      <c r="B201" s="177"/>
      <c r="C201" s="177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  <c r="R201" s="177"/>
      <c r="S201" s="177"/>
      <c r="T201" s="177"/>
      <c r="U201" s="177"/>
      <c r="V201" s="177"/>
      <c r="W201" s="177"/>
      <c r="X201" s="177"/>
      <c r="Y201" s="177"/>
      <c r="Z201" s="177"/>
      <c r="AA201" s="177"/>
      <c r="AB201" s="177"/>
      <c r="AC201" s="177"/>
      <c r="AD201" s="177"/>
      <c r="AE201" s="177"/>
      <c r="AF201" s="177"/>
    </row>
    <row r="202" spans="1:32">
      <c r="A202" s="177"/>
      <c r="B202" s="177"/>
      <c r="C202" s="177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  <c r="R202" s="177"/>
      <c r="S202" s="177"/>
      <c r="T202" s="177"/>
      <c r="U202" s="177"/>
      <c r="V202" s="177"/>
      <c r="W202" s="177"/>
      <c r="X202" s="177"/>
      <c r="Y202" s="177"/>
      <c r="Z202" s="177"/>
      <c r="AA202" s="177"/>
      <c r="AB202" s="177"/>
      <c r="AC202" s="177"/>
      <c r="AD202" s="177"/>
      <c r="AE202" s="177"/>
      <c r="AF202" s="177"/>
    </row>
    <row r="203" spans="1:32">
      <c r="A203" s="177"/>
      <c r="B203" s="177"/>
      <c r="C203" s="177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  <c r="R203" s="177"/>
      <c r="S203" s="177"/>
      <c r="T203" s="177"/>
      <c r="U203" s="177"/>
      <c r="V203" s="177"/>
      <c r="W203" s="177"/>
      <c r="X203" s="177"/>
      <c r="Y203" s="177"/>
      <c r="Z203" s="177"/>
      <c r="AA203" s="177"/>
      <c r="AB203" s="177"/>
      <c r="AC203" s="177"/>
      <c r="AD203" s="177"/>
      <c r="AE203" s="177"/>
      <c r="AF203" s="177"/>
    </row>
    <row r="204" spans="1:32">
      <c r="A204" s="177"/>
      <c r="B204" s="177"/>
      <c r="C204" s="177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  <c r="R204" s="177"/>
      <c r="S204" s="177"/>
      <c r="T204" s="177"/>
      <c r="U204" s="177"/>
      <c r="V204" s="177"/>
      <c r="W204" s="177"/>
      <c r="X204" s="177"/>
      <c r="Y204" s="177"/>
      <c r="Z204" s="177"/>
      <c r="AA204" s="177"/>
      <c r="AB204" s="177"/>
      <c r="AC204" s="177"/>
      <c r="AD204" s="177"/>
      <c r="AE204" s="177"/>
      <c r="AF204" s="177"/>
    </row>
    <row r="205" spans="1:32">
      <c r="A205" s="177"/>
      <c r="B205" s="177"/>
      <c r="C205" s="177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  <c r="R205" s="177"/>
      <c r="S205" s="177"/>
      <c r="T205" s="177"/>
      <c r="U205" s="177"/>
      <c r="V205" s="177"/>
      <c r="W205" s="177"/>
      <c r="X205" s="177"/>
      <c r="Y205" s="177"/>
      <c r="Z205" s="177"/>
      <c r="AA205" s="177"/>
      <c r="AB205" s="177"/>
      <c r="AC205" s="177"/>
      <c r="AD205" s="177"/>
      <c r="AE205" s="177"/>
      <c r="AF205" s="177"/>
    </row>
    <row r="206" spans="1:32">
      <c r="A206" s="177"/>
      <c r="B206" s="177"/>
      <c r="C206" s="177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  <c r="R206" s="177"/>
      <c r="S206" s="177"/>
      <c r="T206" s="177"/>
      <c r="U206" s="177"/>
      <c r="V206" s="177"/>
      <c r="W206" s="177"/>
      <c r="X206" s="177"/>
      <c r="Y206" s="177"/>
      <c r="Z206" s="177"/>
      <c r="AA206" s="177"/>
      <c r="AB206" s="177"/>
      <c r="AC206" s="177"/>
      <c r="AD206" s="177"/>
      <c r="AE206" s="177"/>
      <c r="AF206" s="177"/>
    </row>
    <row r="207" spans="1:32">
      <c r="A207" s="177"/>
      <c r="B207" s="177"/>
      <c r="C207" s="177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  <c r="R207" s="177"/>
      <c r="S207" s="177"/>
      <c r="T207" s="177"/>
      <c r="U207" s="177"/>
      <c r="V207" s="177"/>
      <c r="W207" s="177"/>
      <c r="X207" s="177"/>
      <c r="Y207" s="177"/>
      <c r="Z207" s="177"/>
      <c r="AA207" s="177"/>
      <c r="AB207" s="177"/>
      <c r="AC207" s="177"/>
      <c r="AD207" s="177"/>
      <c r="AE207" s="177"/>
      <c r="AF207" s="177"/>
    </row>
    <row r="208" spans="1:32">
      <c r="A208" s="177"/>
      <c r="B208" s="177"/>
      <c r="C208" s="177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  <c r="R208" s="177"/>
      <c r="S208" s="177"/>
      <c r="T208" s="177"/>
      <c r="U208" s="177"/>
      <c r="V208" s="177"/>
      <c r="W208" s="177"/>
      <c r="X208" s="177"/>
      <c r="Y208" s="177"/>
      <c r="Z208" s="177"/>
      <c r="AA208" s="177"/>
      <c r="AB208" s="177"/>
      <c r="AC208" s="177"/>
      <c r="AD208" s="177"/>
      <c r="AE208" s="177"/>
      <c r="AF208" s="177"/>
    </row>
    <row r="209" spans="1:32">
      <c r="A209" s="177"/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  <c r="R209" s="177"/>
      <c r="S209" s="177"/>
      <c r="T209" s="177"/>
      <c r="U209" s="177"/>
      <c r="V209" s="177"/>
      <c r="W209" s="177"/>
      <c r="X209" s="177"/>
      <c r="Y209" s="177"/>
      <c r="Z209" s="177"/>
      <c r="AA209" s="177"/>
      <c r="AB209" s="177"/>
      <c r="AC209" s="177"/>
      <c r="AD209" s="177"/>
      <c r="AE209" s="177"/>
      <c r="AF209" s="177"/>
    </row>
    <row r="210" spans="1:32">
      <c r="A210" s="177"/>
      <c r="B210" s="177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7"/>
      <c r="AA210" s="177"/>
      <c r="AB210" s="177"/>
      <c r="AC210" s="177"/>
      <c r="AD210" s="177"/>
      <c r="AE210" s="177"/>
      <c r="AF210" s="177"/>
    </row>
    <row r="211" spans="1:32">
      <c r="A211" s="177"/>
      <c r="B211" s="177"/>
      <c r="C211" s="177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  <c r="R211" s="177"/>
      <c r="S211" s="177"/>
      <c r="T211" s="177"/>
      <c r="U211" s="177"/>
      <c r="V211" s="177"/>
      <c r="W211" s="177"/>
      <c r="X211" s="177"/>
      <c r="Y211" s="177"/>
      <c r="Z211" s="177"/>
      <c r="AA211" s="177"/>
      <c r="AB211" s="177"/>
      <c r="AC211" s="177"/>
      <c r="AD211" s="177"/>
      <c r="AE211" s="177"/>
      <c r="AF211" s="177"/>
    </row>
    <row r="212" spans="1:32">
      <c r="A212" s="177"/>
      <c r="B212" s="177"/>
      <c r="C212" s="177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  <c r="R212" s="177"/>
      <c r="S212" s="177"/>
      <c r="T212" s="177"/>
      <c r="U212" s="177"/>
      <c r="V212" s="177"/>
      <c r="W212" s="177"/>
      <c r="X212" s="177"/>
      <c r="Y212" s="177"/>
      <c r="Z212" s="177"/>
      <c r="AA212" s="177"/>
      <c r="AB212" s="177"/>
      <c r="AC212" s="177"/>
      <c r="AD212" s="177"/>
      <c r="AE212" s="177"/>
      <c r="AF212" s="177"/>
    </row>
    <row r="213" spans="1:32">
      <c r="A213" s="177"/>
      <c r="B213" s="177"/>
      <c r="C213" s="177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  <c r="R213" s="177"/>
      <c r="S213" s="177"/>
      <c r="T213" s="177"/>
      <c r="U213" s="177"/>
      <c r="V213" s="177"/>
      <c r="W213" s="177"/>
      <c r="X213" s="177"/>
      <c r="Y213" s="177"/>
      <c r="Z213" s="177"/>
      <c r="AA213" s="177"/>
      <c r="AB213" s="177"/>
      <c r="AC213" s="177"/>
      <c r="AD213" s="177"/>
      <c r="AE213" s="177"/>
      <c r="AF213" s="177"/>
    </row>
    <row r="214" spans="1:32">
      <c r="A214" s="177"/>
      <c r="B214" s="177"/>
      <c r="C214" s="177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  <c r="R214" s="177"/>
      <c r="S214" s="177"/>
      <c r="T214" s="177"/>
      <c r="U214" s="177"/>
      <c r="V214" s="177"/>
      <c r="W214" s="177"/>
      <c r="X214" s="177"/>
      <c r="Y214" s="177"/>
      <c r="Z214" s="177"/>
      <c r="AA214" s="177"/>
      <c r="AB214" s="177"/>
      <c r="AC214" s="177"/>
      <c r="AD214" s="177"/>
      <c r="AE214" s="177"/>
      <c r="AF214" s="177"/>
    </row>
    <row r="215" spans="1:32">
      <c r="A215" s="177"/>
      <c r="B215" s="177"/>
      <c r="C215" s="177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  <c r="R215" s="177"/>
      <c r="S215" s="177"/>
      <c r="T215" s="177"/>
      <c r="U215" s="177"/>
      <c r="V215" s="177"/>
      <c r="W215" s="177"/>
      <c r="X215" s="177"/>
      <c r="Y215" s="177"/>
      <c r="Z215" s="177"/>
      <c r="AA215" s="177"/>
      <c r="AB215" s="177"/>
      <c r="AC215" s="177"/>
      <c r="AD215" s="177"/>
      <c r="AE215" s="177"/>
      <c r="AF215" s="177"/>
    </row>
    <row r="216" spans="1:32">
      <c r="A216" s="177"/>
      <c r="B216" s="177"/>
      <c r="C216" s="177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  <c r="R216" s="177"/>
      <c r="S216" s="177"/>
      <c r="T216" s="177"/>
      <c r="U216" s="177"/>
      <c r="V216" s="177"/>
      <c r="W216" s="177"/>
      <c r="X216" s="177"/>
      <c r="Y216" s="177"/>
      <c r="Z216" s="177"/>
      <c r="AA216" s="177"/>
      <c r="AB216" s="177"/>
      <c r="AC216" s="177"/>
      <c r="AD216" s="177"/>
      <c r="AE216" s="177"/>
      <c r="AF216" s="177"/>
    </row>
    <row r="217" spans="1:32">
      <c r="A217" s="177"/>
      <c r="B217" s="177"/>
      <c r="C217" s="177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  <c r="R217" s="177"/>
      <c r="S217" s="177"/>
      <c r="T217" s="177"/>
      <c r="U217" s="177"/>
      <c r="V217" s="177"/>
      <c r="W217" s="177"/>
      <c r="X217" s="177"/>
      <c r="Y217" s="177"/>
      <c r="Z217" s="177"/>
      <c r="AA217" s="177"/>
      <c r="AB217" s="177"/>
      <c r="AC217" s="177"/>
      <c r="AD217" s="177"/>
      <c r="AE217" s="177"/>
      <c r="AF217" s="177"/>
    </row>
    <row r="218" spans="1:32">
      <c r="A218" s="177"/>
      <c r="B218" s="177"/>
      <c r="C218" s="177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  <c r="R218" s="177"/>
      <c r="S218" s="177"/>
      <c r="T218" s="177"/>
      <c r="U218" s="177"/>
      <c r="V218" s="177"/>
      <c r="W218" s="177"/>
      <c r="X218" s="177"/>
      <c r="Y218" s="177"/>
      <c r="Z218" s="177"/>
      <c r="AA218" s="177"/>
      <c r="AB218" s="177"/>
      <c r="AC218" s="177"/>
      <c r="AD218" s="177"/>
      <c r="AE218" s="177"/>
      <c r="AF218" s="177"/>
    </row>
    <row r="219" spans="1:32">
      <c r="A219" s="177"/>
      <c r="B219" s="177"/>
      <c r="C219" s="177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  <c r="R219" s="177"/>
      <c r="S219" s="177"/>
      <c r="T219" s="177"/>
      <c r="U219" s="177"/>
      <c r="V219" s="177"/>
      <c r="W219" s="177"/>
      <c r="X219" s="177"/>
      <c r="Y219" s="177"/>
      <c r="Z219" s="177"/>
      <c r="AA219" s="177"/>
      <c r="AB219" s="177"/>
      <c r="AC219" s="177"/>
      <c r="AD219" s="177"/>
      <c r="AE219" s="177"/>
      <c r="AF219" s="177"/>
    </row>
    <row r="220" spans="1:32">
      <c r="A220" s="177"/>
      <c r="B220" s="177"/>
      <c r="C220" s="177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  <c r="R220" s="177"/>
      <c r="S220" s="177"/>
      <c r="T220" s="177"/>
      <c r="U220" s="177"/>
      <c r="V220" s="177"/>
      <c r="W220" s="177"/>
      <c r="X220" s="177"/>
      <c r="Y220" s="177"/>
      <c r="Z220" s="177"/>
      <c r="AA220" s="177"/>
      <c r="AB220" s="177"/>
      <c r="AC220" s="177"/>
      <c r="AD220" s="177"/>
      <c r="AE220" s="177"/>
      <c r="AF220" s="177"/>
    </row>
    <row r="221" spans="1:32">
      <c r="A221" s="177"/>
      <c r="B221" s="177"/>
      <c r="C221" s="177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  <c r="R221" s="177"/>
      <c r="S221" s="177"/>
      <c r="T221" s="177"/>
      <c r="U221" s="177"/>
      <c r="V221" s="177"/>
      <c r="W221" s="177"/>
      <c r="X221" s="177"/>
      <c r="Y221" s="177"/>
      <c r="Z221" s="177"/>
      <c r="AA221" s="177"/>
      <c r="AB221" s="177"/>
      <c r="AC221" s="177"/>
      <c r="AD221" s="177"/>
      <c r="AE221" s="177"/>
      <c r="AF221" s="177"/>
    </row>
    <row r="222" spans="1:32">
      <c r="A222" s="177"/>
      <c r="B222" s="177"/>
      <c r="C222" s="177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  <c r="R222" s="177"/>
      <c r="S222" s="177"/>
      <c r="T222" s="177"/>
      <c r="U222" s="177"/>
      <c r="V222" s="177"/>
      <c r="W222" s="177"/>
      <c r="X222" s="177"/>
      <c r="Y222" s="177"/>
      <c r="Z222" s="177"/>
      <c r="AA222" s="177"/>
      <c r="AB222" s="177"/>
      <c r="AC222" s="177"/>
      <c r="AD222" s="177"/>
      <c r="AE222" s="177"/>
      <c r="AF222" s="177"/>
    </row>
    <row r="223" spans="1:32">
      <c r="A223" s="177"/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  <c r="R223" s="177"/>
      <c r="S223" s="177"/>
      <c r="T223" s="177"/>
      <c r="U223" s="177"/>
      <c r="V223" s="177"/>
      <c r="W223" s="177"/>
      <c r="X223" s="177"/>
      <c r="Y223" s="177"/>
      <c r="Z223" s="177"/>
      <c r="AA223" s="177"/>
      <c r="AB223" s="177"/>
      <c r="AC223" s="177"/>
      <c r="AD223" s="177"/>
      <c r="AE223" s="177"/>
      <c r="AF223" s="177"/>
    </row>
    <row r="224" spans="1:32">
      <c r="A224" s="177"/>
      <c r="B224" s="177"/>
      <c r="C224" s="177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  <c r="R224" s="177"/>
      <c r="S224" s="177"/>
      <c r="T224" s="177"/>
      <c r="U224" s="177"/>
      <c r="V224" s="177"/>
      <c r="W224" s="177"/>
      <c r="X224" s="177"/>
      <c r="Y224" s="177"/>
      <c r="Z224" s="177"/>
      <c r="AA224" s="177"/>
      <c r="AB224" s="177"/>
      <c r="AC224" s="177"/>
      <c r="AD224" s="177"/>
      <c r="AE224" s="177"/>
      <c r="AF224" s="177"/>
    </row>
    <row r="225" spans="1:32">
      <c r="A225" s="177"/>
      <c r="B225" s="177"/>
      <c r="C225" s="177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  <c r="R225" s="177"/>
      <c r="S225" s="177"/>
      <c r="T225" s="177"/>
      <c r="U225" s="177"/>
      <c r="V225" s="177"/>
      <c r="W225" s="177"/>
      <c r="X225" s="177"/>
      <c r="Y225" s="177"/>
      <c r="Z225" s="177"/>
      <c r="AA225" s="177"/>
      <c r="AB225" s="177"/>
      <c r="AC225" s="177"/>
      <c r="AD225" s="177"/>
      <c r="AE225" s="177"/>
      <c r="AF225" s="177"/>
    </row>
    <row r="226" spans="1:32">
      <c r="A226" s="177"/>
      <c r="B226" s="177"/>
      <c r="C226" s="177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  <c r="R226" s="177"/>
      <c r="S226" s="177"/>
      <c r="T226" s="177"/>
      <c r="U226" s="177"/>
      <c r="V226" s="177"/>
      <c r="W226" s="177"/>
      <c r="X226" s="177"/>
      <c r="Y226" s="177"/>
      <c r="Z226" s="177"/>
      <c r="AA226" s="177"/>
      <c r="AB226" s="177"/>
      <c r="AC226" s="177"/>
      <c r="AD226" s="177"/>
      <c r="AE226" s="177"/>
      <c r="AF226" s="177"/>
    </row>
    <row r="227" spans="1:32">
      <c r="A227" s="177"/>
      <c r="B227" s="177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</row>
    <row r="228" spans="1:32">
      <c r="A228" s="177"/>
      <c r="B228" s="177"/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  <c r="R228" s="177"/>
      <c r="S228" s="177"/>
      <c r="T228" s="177"/>
      <c r="U228" s="177"/>
      <c r="V228" s="177"/>
      <c r="W228" s="177"/>
      <c r="X228" s="177"/>
      <c r="Y228" s="177"/>
      <c r="Z228" s="177"/>
      <c r="AA228" s="177"/>
      <c r="AB228" s="177"/>
      <c r="AC228" s="177"/>
      <c r="AD228" s="177"/>
      <c r="AE228" s="177"/>
      <c r="AF228" s="177"/>
    </row>
    <row r="229" spans="1:32">
      <c r="A229" s="177"/>
      <c r="B229" s="177"/>
      <c r="C229" s="177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177"/>
      <c r="AD229" s="177"/>
      <c r="AE229" s="177"/>
      <c r="AF229" s="177"/>
    </row>
    <row r="230" spans="1:32">
      <c r="A230" s="177"/>
      <c r="B230" s="177"/>
      <c r="C230" s="177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177"/>
      <c r="AD230" s="177"/>
      <c r="AE230" s="177"/>
      <c r="AF230" s="177"/>
    </row>
    <row r="231" spans="1:32">
      <c r="A231" s="177"/>
      <c r="B231" s="177"/>
      <c r="C231" s="177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177"/>
      <c r="AD231" s="177"/>
      <c r="AE231" s="177"/>
      <c r="AF231" s="177"/>
    </row>
    <row r="232" spans="1:32">
      <c r="A232" s="177"/>
      <c r="B232" s="177"/>
      <c r="C232" s="177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  <c r="R232" s="177"/>
      <c r="S232" s="177"/>
      <c r="T232" s="177"/>
      <c r="U232" s="177"/>
      <c r="V232" s="177"/>
      <c r="W232" s="177"/>
      <c r="X232" s="177"/>
      <c r="Y232" s="177"/>
      <c r="Z232" s="177"/>
      <c r="AA232" s="177"/>
      <c r="AB232" s="177"/>
      <c r="AC232" s="177"/>
      <c r="AD232" s="177"/>
      <c r="AE232" s="177"/>
      <c r="AF232" s="177"/>
    </row>
    <row r="233" spans="1:32">
      <c r="A233" s="177"/>
      <c r="B233" s="177"/>
      <c r="C233" s="177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</row>
    <row r="234" spans="1:32">
      <c r="A234" s="177"/>
      <c r="B234" s="177"/>
      <c r="C234" s="177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  <c r="R234" s="177"/>
      <c r="S234" s="177"/>
      <c r="T234" s="177"/>
      <c r="U234" s="177"/>
      <c r="V234" s="177"/>
      <c r="W234" s="177"/>
      <c r="X234" s="177"/>
      <c r="Y234" s="177"/>
      <c r="Z234" s="177"/>
      <c r="AA234" s="177"/>
      <c r="AB234" s="177"/>
      <c r="AC234" s="177"/>
      <c r="AD234" s="177"/>
      <c r="AE234" s="177"/>
      <c r="AF234" s="177"/>
    </row>
    <row r="235" spans="1:32">
      <c r="A235" s="177"/>
      <c r="B235" s="177"/>
      <c r="C235" s="177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  <c r="R235" s="177"/>
      <c r="S235" s="177"/>
      <c r="T235" s="177"/>
      <c r="U235" s="177"/>
      <c r="V235" s="177"/>
      <c r="W235" s="177"/>
      <c r="X235" s="177"/>
      <c r="Y235" s="177"/>
      <c r="Z235" s="177"/>
      <c r="AA235" s="177"/>
      <c r="AB235" s="177"/>
      <c r="AC235" s="177"/>
      <c r="AD235" s="177"/>
      <c r="AE235" s="177"/>
      <c r="AF235" s="177"/>
    </row>
    <row r="236" spans="1:32">
      <c r="A236" s="177"/>
      <c r="B236" s="177"/>
      <c r="C236" s="177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  <c r="R236" s="177"/>
      <c r="S236" s="177"/>
      <c r="T236" s="177"/>
      <c r="U236" s="177"/>
      <c r="V236" s="177"/>
      <c r="W236" s="177"/>
      <c r="X236" s="177"/>
      <c r="Y236" s="177"/>
      <c r="Z236" s="177"/>
      <c r="AA236" s="177"/>
      <c r="AB236" s="177"/>
      <c r="AC236" s="177"/>
      <c r="AD236" s="177"/>
      <c r="AE236" s="177"/>
      <c r="AF236" s="177"/>
    </row>
    <row r="237" spans="1:32">
      <c r="A237" s="177"/>
      <c r="B237" s="177"/>
      <c r="C237" s="177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  <c r="R237" s="177"/>
      <c r="S237" s="177"/>
      <c r="T237" s="177"/>
      <c r="U237" s="177"/>
      <c r="V237" s="177"/>
      <c r="W237" s="177"/>
      <c r="X237" s="177"/>
      <c r="Y237" s="177"/>
      <c r="Z237" s="177"/>
      <c r="AA237" s="177"/>
      <c r="AB237" s="177"/>
      <c r="AC237" s="177"/>
      <c r="AD237" s="177"/>
      <c r="AE237" s="177"/>
      <c r="AF237" s="177"/>
    </row>
    <row r="238" spans="1:32">
      <c r="A238" s="177"/>
      <c r="B238" s="177"/>
      <c r="C238" s="177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  <c r="R238" s="177"/>
      <c r="S238" s="177"/>
      <c r="T238" s="177"/>
      <c r="U238" s="177"/>
      <c r="V238" s="177"/>
      <c r="W238" s="177"/>
      <c r="X238" s="177"/>
      <c r="Y238" s="177"/>
      <c r="Z238" s="177"/>
      <c r="AA238" s="177"/>
      <c r="AB238" s="177"/>
      <c r="AC238" s="177"/>
      <c r="AD238" s="177"/>
      <c r="AE238" s="177"/>
      <c r="AF238" s="177"/>
    </row>
    <row r="239" spans="1:32">
      <c r="A239" s="177"/>
      <c r="B239" s="177"/>
      <c r="C239" s="177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  <c r="R239" s="177"/>
      <c r="S239" s="177"/>
      <c r="T239" s="177"/>
      <c r="U239" s="177"/>
      <c r="V239" s="177"/>
      <c r="W239" s="177"/>
      <c r="X239" s="177"/>
      <c r="Y239" s="177"/>
      <c r="Z239" s="177"/>
      <c r="AA239" s="177"/>
      <c r="AB239" s="177"/>
      <c r="AC239" s="177"/>
      <c r="AD239" s="177"/>
      <c r="AE239" s="177"/>
      <c r="AF239" s="177"/>
    </row>
    <row r="240" spans="1:32">
      <c r="A240" s="177"/>
      <c r="B240" s="177"/>
      <c r="C240" s="177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  <c r="R240" s="177"/>
      <c r="S240" s="177"/>
      <c r="T240" s="177"/>
      <c r="U240" s="177"/>
      <c r="V240" s="177"/>
      <c r="W240" s="177"/>
      <c r="X240" s="177"/>
      <c r="Y240" s="177"/>
      <c r="Z240" s="177"/>
      <c r="AA240" s="177"/>
      <c r="AB240" s="177"/>
      <c r="AC240" s="177"/>
      <c r="AD240" s="177"/>
      <c r="AE240" s="177"/>
      <c r="AF240" s="177"/>
    </row>
    <row r="241" spans="1:32">
      <c r="A241" s="177"/>
      <c r="B241" s="177"/>
      <c r="C241" s="177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  <c r="R241" s="177"/>
      <c r="S241" s="177"/>
      <c r="T241" s="177"/>
      <c r="U241" s="177"/>
      <c r="V241" s="177"/>
      <c r="W241" s="177"/>
      <c r="X241" s="177"/>
      <c r="Y241" s="177"/>
      <c r="Z241" s="177"/>
      <c r="AA241" s="177"/>
      <c r="AB241" s="177"/>
      <c r="AC241" s="177"/>
      <c r="AD241" s="177"/>
      <c r="AE241" s="177"/>
      <c r="AF241" s="177"/>
    </row>
    <row r="242" spans="1:32">
      <c r="A242" s="177"/>
      <c r="B242" s="177"/>
      <c r="C242" s="177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  <c r="R242" s="177"/>
      <c r="S242" s="177"/>
      <c r="T242" s="177"/>
      <c r="U242" s="177"/>
      <c r="V242" s="177"/>
      <c r="W242" s="177"/>
      <c r="X242" s="177"/>
      <c r="Y242" s="177"/>
      <c r="Z242" s="177"/>
      <c r="AA242" s="177"/>
      <c r="AB242" s="177"/>
      <c r="AC242" s="177"/>
      <c r="AD242" s="177"/>
      <c r="AE242" s="177"/>
      <c r="AF242" s="177"/>
    </row>
    <row r="243" spans="1:32">
      <c r="A243" s="177"/>
      <c r="B243" s="177"/>
      <c r="C243" s="177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  <c r="R243" s="177"/>
      <c r="S243" s="177"/>
      <c r="T243" s="177"/>
      <c r="U243" s="177"/>
      <c r="V243" s="177"/>
      <c r="W243" s="177"/>
      <c r="X243" s="177"/>
      <c r="Y243" s="177"/>
      <c r="Z243" s="177"/>
      <c r="AA243" s="177"/>
      <c r="AB243" s="177"/>
      <c r="AC243" s="177"/>
      <c r="AD243" s="177"/>
      <c r="AE243" s="177"/>
      <c r="AF243" s="177"/>
    </row>
    <row r="244" spans="1:32">
      <c r="A244" s="177"/>
      <c r="B244" s="177"/>
      <c r="C244" s="177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  <c r="R244" s="177"/>
      <c r="S244" s="177"/>
      <c r="T244" s="177"/>
      <c r="U244" s="177"/>
      <c r="V244" s="177"/>
      <c r="W244" s="177"/>
      <c r="X244" s="177"/>
      <c r="Y244" s="177"/>
      <c r="Z244" s="177"/>
      <c r="AA244" s="177"/>
      <c r="AB244" s="177"/>
      <c r="AC244" s="177"/>
      <c r="AD244" s="177"/>
      <c r="AE244" s="177"/>
      <c r="AF244" s="177"/>
    </row>
    <row r="245" spans="1:32">
      <c r="A245" s="177"/>
      <c r="B245" s="177"/>
      <c r="C245" s="177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  <c r="R245" s="177"/>
      <c r="S245" s="177"/>
      <c r="T245" s="177"/>
      <c r="U245" s="177"/>
      <c r="V245" s="177"/>
      <c r="W245" s="177"/>
      <c r="X245" s="177"/>
      <c r="Y245" s="177"/>
      <c r="Z245" s="177"/>
      <c r="AA245" s="177"/>
      <c r="AB245" s="177"/>
      <c r="AC245" s="177"/>
      <c r="AD245" s="177"/>
      <c r="AE245" s="177"/>
      <c r="AF245" s="177"/>
    </row>
    <row r="246" spans="1:32">
      <c r="A246" s="177"/>
      <c r="B246" s="177"/>
      <c r="C246" s="177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  <c r="R246" s="177"/>
      <c r="S246" s="177"/>
      <c r="T246" s="177"/>
      <c r="U246" s="177"/>
      <c r="V246" s="177"/>
      <c r="W246" s="177"/>
      <c r="X246" s="177"/>
      <c r="Y246" s="177"/>
      <c r="Z246" s="177"/>
      <c r="AA246" s="177"/>
      <c r="AB246" s="177"/>
      <c r="AC246" s="177"/>
      <c r="AD246" s="177"/>
      <c r="AE246" s="177"/>
      <c r="AF246" s="177"/>
    </row>
    <row r="247" spans="1:32">
      <c r="A247" s="177"/>
      <c r="B247" s="177"/>
      <c r="C247" s="177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  <c r="R247" s="177"/>
      <c r="S247" s="177"/>
      <c r="T247" s="177"/>
      <c r="U247" s="177"/>
      <c r="V247" s="177"/>
      <c r="W247" s="177"/>
      <c r="X247" s="177"/>
      <c r="Y247" s="177"/>
      <c r="Z247" s="177"/>
      <c r="AA247" s="177"/>
      <c r="AB247" s="177"/>
      <c r="AC247" s="177"/>
      <c r="AD247" s="177"/>
      <c r="AE247" s="177"/>
      <c r="AF247" s="177"/>
    </row>
    <row r="248" spans="1:32">
      <c r="A248" s="177"/>
      <c r="B248" s="177"/>
      <c r="C248" s="177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  <c r="R248" s="177"/>
      <c r="S248" s="177"/>
      <c r="T248" s="177"/>
      <c r="U248" s="177"/>
      <c r="V248" s="177"/>
      <c r="W248" s="177"/>
      <c r="X248" s="177"/>
      <c r="Y248" s="177"/>
      <c r="Z248" s="177"/>
      <c r="AA248" s="177"/>
      <c r="AB248" s="177"/>
      <c r="AC248" s="177"/>
      <c r="AD248" s="177"/>
      <c r="AE248" s="177"/>
      <c r="AF248" s="177"/>
    </row>
    <row r="249" spans="1:32">
      <c r="A249" s="177"/>
      <c r="B249" s="177"/>
      <c r="C249" s="177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  <c r="R249" s="177"/>
      <c r="S249" s="177"/>
      <c r="T249" s="177"/>
      <c r="U249" s="177"/>
      <c r="V249" s="177"/>
      <c r="W249" s="177"/>
      <c r="X249" s="177"/>
      <c r="Y249" s="177"/>
      <c r="Z249" s="177"/>
      <c r="AA249" s="177"/>
      <c r="AB249" s="177"/>
      <c r="AC249" s="177"/>
      <c r="AD249" s="177"/>
      <c r="AE249" s="177"/>
      <c r="AF249" s="177"/>
    </row>
    <row r="250" spans="1:32">
      <c r="A250" s="177"/>
      <c r="B250" s="177"/>
      <c r="C250" s="177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  <c r="R250" s="177"/>
      <c r="S250" s="177"/>
      <c r="T250" s="177"/>
      <c r="U250" s="177"/>
      <c r="V250" s="177"/>
      <c r="W250" s="177"/>
      <c r="X250" s="177"/>
      <c r="Y250" s="177"/>
      <c r="Z250" s="177"/>
      <c r="AA250" s="177"/>
      <c r="AB250" s="177"/>
      <c r="AC250" s="177"/>
      <c r="AD250" s="177"/>
      <c r="AE250" s="177"/>
      <c r="AF250" s="177"/>
    </row>
    <row r="251" spans="1:32">
      <c r="A251" s="177"/>
      <c r="B251" s="177"/>
      <c r="C251" s="177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  <c r="R251" s="177"/>
      <c r="S251" s="177"/>
      <c r="T251" s="177"/>
      <c r="U251" s="177"/>
      <c r="V251" s="177"/>
      <c r="W251" s="177"/>
      <c r="X251" s="177"/>
      <c r="Y251" s="177"/>
      <c r="Z251" s="177"/>
      <c r="AA251" s="177"/>
      <c r="AB251" s="177"/>
      <c r="AC251" s="177"/>
      <c r="AD251" s="177"/>
      <c r="AE251" s="177"/>
      <c r="AF251" s="177"/>
    </row>
    <row r="252" spans="1:32">
      <c r="A252" s="177"/>
      <c r="B252" s="177"/>
      <c r="C252" s="177"/>
      <c r="D252" s="177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  <c r="R252" s="177"/>
      <c r="S252" s="177"/>
      <c r="T252" s="177"/>
      <c r="U252" s="177"/>
      <c r="V252" s="177"/>
      <c r="W252" s="177"/>
      <c r="X252" s="177"/>
      <c r="Y252" s="177"/>
      <c r="Z252" s="177"/>
      <c r="AA252" s="177"/>
      <c r="AB252" s="177"/>
      <c r="AC252" s="177"/>
      <c r="AD252" s="177"/>
      <c r="AE252" s="177"/>
      <c r="AF252" s="177"/>
    </row>
    <row r="253" spans="1:32">
      <c r="A253" s="177"/>
      <c r="B253" s="177"/>
      <c r="C253" s="177"/>
      <c r="D253" s="177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  <c r="R253" s="177"/>
      <c r="S253" s="177"/>
      <c r="T253" s="177"/>
      <c r="U253" s="177"/>
      <c r="V253" s="177"/>
      <c r="W253" s="177"/>
      <c r="X253" s="177"/>
      <c r="Y253" s="177"/>
      <c r="Z253" s="177"/>
      <c r="AA253" s="177"/>
      <c r="AB253" s="177"/>
      <c r="AC253" s="177"/>
      <c r="AD253" s="177"/>
      <c r="AE253" s="177"/>
      <c r="AF253" s="177"/>
    </row>
    <row r="254" spans="1:32">
      <c r="A254" s="177"/>
      <c r="B254" s="177"/>
      <c r="C254" s="177"/>
      <c r="D254" s="177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  <c r="R254" s="177"/>
      <c r="S254" s="177"/>
      <c r="T254" s="177"/>
      <c r="U254" s="177"/>
      <c r="V254" s="177"/>
      <c r="W254" s="177"/>
      <c r="X254" s="177"/>
      <c r="Y254" s="177"/>
      <c r="Z254" s="177"/>
      <c r="AA254" s="177"/>
      <c r="AB254" s="177"/>
      <c r="AC254" s="177"/>
      <c r="AD254" s="177"/>
      <c r="AE254" s="177"/>
      <c r="AF254" s="177"/>
    </row>
    <row r="255" spans="1:32">
      <c r="A255" s="177"/>
      <c r="B255" s="177"/>
      <c r="C255" s="177"/>
      <c r="D255" s="177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  <c r="R255" s="177"/>
      <c r="S255" s="177"/>
      <c r="T255" s="177"/>
      <c r="U255" s="177"/>
      <c r="V255" s="177"/>
      <c r="W255" s="177"/>
      <c r="X255" s="177"/>
      <c r="Y255" s="177"/>
      <c r="Z255" s="177"/>
      <c r="AA255" s="177"/>
      <c r="AB255" s="177"/>
      <c r="AC255" s="177"/>
      <c r="AD255" s="177"/>
      <c r="AE255" s="177"/>
      <c r="AF255" s="177"/>
    </row>
    <row r="256" spans="1:32">
      <c r="A256" s="177"/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  <c r="R256" s="177"/>
      <c r="S256" s="177"/>
      <c r="T256" s="177"/>
      <c r="U256" s="177"/>
      <c r="V256" s="177"/>
      <c r="W256" s="177"/>
      <c r="X256" s="177"/>
      <c r="Y256" s="177"/>
      <c r="Z256" s="177"/>
      <c r="AA256" s="177"/>
      <c r="AB256" s="177"/>
      <c r="AC256" s="177"/>
      <c r="AD256" s="177"/>
      <c r="AE256" s="177"/>
      <c r="AF256" s="177"/>
    </row>
    <row r="257" spans="1:32">
      <c r="A257" s="177"/>
      <c r="B257" s="177"/>
      <c r="C257" s="177"/>
      <c r="D257" s="177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  <c r="R257" s="177"/>
      <c r="S257" s="177"/>
      <c r="T257" s="177"/>
      <c r="U257" s="177"/>
      <c r="V257" s="177"/>
      <c r="W257" s="177"/>
      <c r="X257" s="177"/>
      <c r="Y257" s="177"/>
      <c r="Z257" s="177"/>
      <c r="AA257" s="177"/>
      <c r="AB257" s="177"/>
      <c r="AC257" s="177"/>
      <c r="AD257" s="177"/>
      <c r="AE257" s="177"/>
      <c r="AF257" s="177"/>
    </row>
    <row r="258" spans="1:32">
      <c r="A258" s="177"/>
      <c r="B258" s="177"/>
      <c r="C258" s="177"/>
      <c r="D258" s="177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  <c r="R258" s="177"/>
      <c r="S258" s="177"/>
      <c r="T258" s="177"/>
      <c r="U258" s="177"/>
      <c r="V258" s="177"/>
      <c r="W258" s="177"/>
      <c r="X258" s="177"/>
      <c r="Y258" s="177"/>
      <c r="Z258" s="177"/>
      <c r="AA258" s="177"/>
      <c r="AB258" s="177"/>
      <c r="AC258" s="177"/>
      <c r="AD258" s="177"/>
      <c r="AE258" s="177"/>
      <c r="AF258" s="177"/>
    </row>
    <row r="259" spans="1:32">
      <c r="A259" s="177"/>
      <c r="B259" s="177"/>
      <c r="C259" s="177"/>
      <c r="D259" s="177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  <c r="R259" s="177"/>
      <c r="S259" s="177"/>
      <c r="T259" s="177"/>
      <c r="U259" s="177"/>
      <c r="V259" s="177"/>
      <c r="W259" s="177"/>
      <c r="X259" s="177"/>
      <c r="Y259" s="177"/>
      <c r="Z259" s="177"/>
      <c r="AA259" s="177"/>
      <c r="AB259" s="177"/>
      <c r="AC259" s="177"/>
      <c r="AD259" s="177"/>
      <c r="AE259" s="177"/>
      <c r="AF259" s="177"/>
    </row>
    <row r="260" spans="1:32">
      <c r="A260" s="177"/>
      <c r="B260" s="177"/>
      <c r="C260" s="177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  <c r="R260" s="177"/>
      <c r="S260" s="177"/>
      <c r="T260" s="177"/>
      <c r="U260" s="177"/>
      <c r="V260" s="177"/>
      <c r="W260" s="177"/>
      <c r="X260" s="177"/>
      <c r="Y260" s="177"/>
      <c r="Z260" s="177"/>
      <c r="AA260" s="177"/>
      <c r="AB260" s="177"/>
      <c r="AC260" s="177"/>
      <c r="AD260" s="177"/>
      <c r="AE260" s="177"/>
      <c r="AF260" s="177"/>
    </row>
    <row r="261" spans="1:32">
      <c r="A261" s="177"/>
      <c r="B261" s="177"/>
      <c r="C261" s="177"/>
      <c r="D261" s="177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  <c r="R261" s="177"/>
      <c r="S261" s="177"/>
      <c r="T261" s="177"/>
      <c r="U261" s="177"/>
      <c r="V261" s="177"/>
      <c r="W261" s="177"/>
      <c r="X261" s="177"/>
      <c r="Y261" s="177"/>
      <c r="Z261" s="177"/>
      <c r="AA261" s="177"/>
      <c r="AB261" s="177"/>
      <c r="AC261" s="177"/>
      <c r="AD261" s="177"/>
      <c r="AE261" s="177"/>
      <c r="AF261" s="177"/>
    </row>
    <row r="262" spans="1:32">
      <c r="A262" s="177"/>
      <c r="B262" s="177"/>
      <c r="C262" s="177"/>
      <c r="D262" s="177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  <c r="R262" s="177"/>
      <c r="S262" s="177"/>
      <c r="T262" s="177"/>
      <c r="U262" s="177"/>
      <c r="V262" s="177"/>
      <c r="W262" s="177"/>
      <c r="X262" s="177"/>
      <c r="Y262" s="177"/>
      <c r="Z262" s="177"/>
      <c r="AA262" s="177"/>
      <c r="AB262" s="177"/>
      <c r="AC262" s="177"/>
      <c r="AD262" s="177"/>
      <c r="AE262" s="177"/>
      <c r="AF262" s="177"/>
    </row>
    <row r="263" spans="1:32">
      <c r="A263" s="177"/>
      <c r="B263" s="177"/>
      <c r="C263" s="177"/>
      <c r="D263" s="177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  <c r="R263" s="177"/>
      <c r="S263" s="177"/>
      <c r="T263" s="177"/>
      <c r="U263" s="177"/>
      <c r="V263" s="177"/>
      <c r="W263" s="177"/>
      <c r="X263" s="177"/>
      <c r="Y263" s="177"/>
      <c r="Z263" s="177"/>
      <c r="AA263" s="177"/>
      <c r="AB263" s="177"/>
      <c r="AC263" s="177"/>
      <c r="AD263" s="177"/>
      <c r="AE263" s="177"/>
      <c r="AF263" s="177"/>
    </row>
    <row r="264" spans="1:32">
      <c r="A264" s="177"/>
      <c r="B264" s="177"/>
      <c r="C264" s="177"/>
      <c r="D264" s="177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  <c r="R264" s="177"/>
      <c r="S264" s="177"/>
      <c r="T264" s="177"/>
      <c r="U264" s="177"/>
      <c r="V264" s="177"/>
      <c r="W264" s="177"/>
      <c r="X264" s="177"/>
      <c r="Y264" s="177"/>
      <c r="Z264" s="177"/>
      <c r="AA264" s="177"/>
      <c r="AB264" s="177"/>
      <c r="AC264" s="177"/>
      <c r="AD264" s="177"/>
      <c r="AE264" s="177"/>
      <c r="AF264" s="177"/>
    </row>
    <row r="265" spans="1:32">
      <c r="A265" s="177"/>
      <c r="B265" s="177"/>
      <c r="C265" s="177"/>
      <c r="D265" s="177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  <c r="R265" s="177"/>
      <c r="S265" s="177"/>
      <c r="T265" s="177"/>
      <c r="U265" s="177"/>
      <c r="V265" s="177"/>
      <c r="W265" s="177"/>
      <c r="X265" s="177"/>
      <c r="Y265" s="177"/>
      <c r="Z265" s="177"/>
      <c r="AA265" s="177"/>
      <c r="AB265" s="177"/>
      <c r="AC265" s="177"/>
      <c r="AD265" s="177"/>
      <c r="AE265" s="177"/>
      <c r="AF265" s="177"/>
    </row>
    <row r="266" spans="1:32">
      <c r="A266" s="177"/>
      <c r="B266" s="177"/>
      <c r="C266" s="177"/>
      <c r="D266" s="177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  <c r="R266" s="177"/>
      <c r="S266" s="177"/>
      <c r="T266" s="177"/>
      <c r="U266" s="177"/>
      <c r="V266" s="177"/>
      <c r="W266" s="177"/>
      <c r="X266" s="177"/>
      <c r="Y266" s="177"/>
      <c r="Z266" s="177"/>
      <c r="AA266" s="177"/>
      <c r="AB266" s="177"/>
      <c r="AC266" s="177"/>
      <c r="AD266" s="177"/>
      <c r="AE266" s="177"/>
      <c r="AF266" s="177"/>
    </row>
    <row r="267" spans="1:32">
      <c r="A267" s="177"/>
      <c r="B267" s="177"/>
      <c r="C267" s="177"/>
      <c r="D267" s="177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  <c r="R267" s="177"/>
      <c r="S267" s="177"/>
      <c r="T267" s="177"/>
      <c r="U267" s="177"/>
      <c r="V267" s="177"/>
      <c r="W267" s="177"/>
      <c r="X267" s="177"/>
      <c r="Y267" s="177"/>
      <c r="Z267" s="177"/>
      <c r="AA267" s="177"/>
      <c r="AB267" s="177"/>
      <c r="AC267" s="177"/>
      <c r="AD267" s="177"/>
      <c r="AE267" s="177"/>
      <c r="AF267" s="177"/>
    </row>
    <row r="268" spans="1:32">
      <c r="A268" s="177"/>
      <c r="B268" s="177"/>
      <c r="C268" s="177"/>
      <c r="D268" s="177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  <c r="R268" s="177"/>
      <c r="S268" s="177"/>
      <c r="T268" s="177"/>
      <c r="U268" s="177"/>
      <c r="V268" s="177"/>
      <c r="W268" s="177"/>
      <c r="X268" s="177"/>
      <c r="Y268" s="177"/>
      <c r="Z268" s="177"/>
      <c r="AA268" s="177"/>
      <c r="AB268" s="177"/>
      <c r="AC268" s="177"/>
      <c r="AD268" s="177"/>
      <c r="AE268" s="177"/>
      <c r="AF268" s="177"/>
    </row>
    <row r="269" spans="1:32">
      <c r="A269" s="177"/>
      <c r="B269" s="177"/>
      <c r="C269" s="177"/>
      <c r="D269" s="177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  <c r="R269" s="177"/>
      <c r="S269" s="177"/>
      <c r="T269" s="177"/>
      <c r="U269" s="177"/>
      <c r="V269" s="177"/>
      <c r="W269" s="177"/>
      <c r="X269" s="177"/>
      <c r="Y269" s="177"/>
      <c r="Z269" s="177"/>
      <c r="AA269" s="177"/>
      <c r="AB269" s="177"/>
      <c r="AC269" s="177"/>
      <c r="AD269" s="177"/>
      <c r="AE269" s="177"/>
      <c r="AF269" s="177"/>
    </row>
    <row r="270" spans="1:32">
      <c r="A270" s="177"/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77"/>
      <c r="AE270" s="177"/>
      <c r="AF270" s="177"/>
    </row>
    <row r="271" spans="1:32">
      <c r="A271" s="177"/>
      <c r="B271" s="177"/>
      <c r="C271" s="177"/>
      <c r="D271" s="177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  <c r="R271" s="177"/>
      <c r="S271" s="177"/>
      <c r="T271" s="177"/>
      <c r="U271" s="177"/>
      <c r="V271" s="177"/>
      <c r="W271" s="177"/>
      <c r="X271" s="177"/>
      <c r="Y271" s="177"/>
      <c r="Z271" s="177"/>
      <c r="AA271" s="177"/>
      <c r="AB271" s="177"/>
      <c r="AC271" s="177"/>
      <c r="AD271" s="177"/>
      <c r="AE271" s="177"/>
      <c r="AF271" s="177"/>
    </row>
    <row r="272" spans="1:32">
      <c r="A272" s="177"/>
      <c r="B272" s="177"/>
      <c r="C272" s="177"/>
      <c r="D272" s="177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  <c r="R272" s="177"/>
      <c r="S272" s="177"/>
      <c r="T272" s="177"/>
      <c r="U272" s="177"/>
      <c r="V272" s="177"/>
      <c r="W272" s="177"/>
      <c r="X272" s="177"/>
      <c r="Y272" s="177"/>
      <c r="Z272" s="177"/>
      <c r="AA272" s="177"/>
      <c r="AB272" s="177"/>
      <c r="AC272" s="177"/>
      <c r="AD272" s="177"/>
      <c r="AE272" s="177"/>
      <c r="AF272" s="177"/>
    </row>
    <row r="273" spans="1:32">
      <c r="A273" s="177"/>
      <c r="B273" s="177"/>
      <c r="C273" s="177"/>
      <c r="D273" s="177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  <c r="R273" s="177"/>
      <c r="S273" s="177"/>
      <c r="T273" s="177"/>
      <c r="U273" s="177"/>
      <c r="V273" s="177"/>
      <c r="W273" s="177"/>
      <c r="X273" s="177"/>
      <c r="Y273" s="177"/>
      <c r="Z273" s="177"/>
      <c r="AA273" s="177"/>
      <c r="AB273" s="177"/>
      <c r="AC273" s="177"/>
      <c r="AD273" s="177"/>
      <c r="AE273" s="177"/>
      <c r="AF273" s="177"/>
    </row>
    <row r="274" spans="1:32">
      <c r="A274" s="177"/>
      <c r="B274" s="177"/>
      <c r="C274" s="177"/>
      <c r="D274" s="177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  <c r="R274" s="177"/>
      <c r="S274" s="177"/>
      <c r="T274" s="177"/>
      <c r="U274" s="177"/>
      <c r="V274" s="177"/>
      <c r="W274" s="177"/>
      <c r="X274" s="177"/>
      <c r="Y274" s="177"/>
      <c r="Z274" s="177"/>
      <c r="AA274" s="177"/>
      <c r="AB274" s="177"/>
      <c r="AC274" s="177"/>
      <c r="AD274" s="177"/>
      <c r="AE274" s="177"/>
      <c r="AF274" s="177"/>
    </row>
    <row r="275" spans="1:32">
      <c r="A275" s="177"/>
      <c r="B275" s="177"/>
      <c r="C275" s="177"/>
      <c r="D275" s="177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  <c r="R275" s="177"/>
      <c r="S275" s="177"/>
      <c r="T275" s="177"/>
      <c r="U275" s="177"/>
      <c r="V275" s="177"/>
      <c r="W275" s="177"/>
      <c r="X275" s="177"/>
      <c r="Y275" s="177"/>
      <c r="Z275" s="177"/>
      <c r="AA275" s="177"/>
      <c r="AB275" s="177"/>
      <c r="AC275" s="177"/>
      <c r="AD275" s="177"/>
      <c r="AE275" s="177"/>
      <c r="AF275" s="177"/>
    </row>
    <row r="276" spans="1:32">
      <c r="A276" s="177"/>
      <c r="B276" s="177"/>
      <c r="C276" s="177"/>
      <c r="D276" s="177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  <c r="R276" s="177"/>
      <c r="S276" s="177"/>
      <c r="T276" s="177"/>
      <c r="U276" s="177"/>
      <c r="V276" s="177"/>
      <c r="W276" s="177"/>
      <c r="X276" s="177"/>
      <c r="Y276" s="177"/>
      <c r="Z276" s="177"/>
      <c r="AA276" s="177"/>
      <c r="AB276" s="177"/>
      <c r="AC276" s="177"/>
      <c r="AD276" s="177"/>
      <c r="AE276" s="177"/>
      <c r="AF276" s="177"/>
    </row>
    <row r="277" spans="1:32">
      <c r="A277" s="177"/>
      <c r="B277" s="177"/>
      <c r="C277" s="177"/>
      <c r="D277" s="177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  <c r="R277" s="177"/>
      <c r="S277" s="177"/>
      <c r="T277" s="177"/>
      <c r="U277" s="177"/>
      <c r="V277" s="177"/>
      <c r="W277" s="177"/>
      <c r="X277" s="177"/>
      <c r="Y277" s="177"/>
      <c r="Z277" s="177"/>
      <c r="AA277" s="177"/>
      <c r="AB277" s="177"/>
      <c r="AC277" s="177"/>
      <c r="AD277" s="177"/>
      <c r="AE277" s="177"/>
      <c r="AF277" s="177"/>
    </row>
    <row r="278" spans="1:32">
      <c r="A278" s="177"/>
      <c r="B278" s="177"/>
      <c r="C278" s="177"/>
      <c r="D278" s="177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  <c r="R278" s="177"/>
      <c r="S278" s="177"/>
      <c r="T278" s="177"/>
      <c r="U278" s="177"/>
      <c r="V278" s="177"/>
      <c r="W278" s="177"/>
      <c r="X278" s="177"/>
      <c r="Y278" s="177"/>
      <c r="Z278" s="177"/>
      <c r="AA278" s="177"/>
      <c r="AB278" s="177"/>
      <c r="AC278" s="177"/>
      <c r="AD278" s="177"/>
      <c r="AE278" s="177"/>
      <c r="AF278" s="177"/>
    </row>
    <row r="279" spans="1:32">
      <c r="A279" s="177"/>
      <c r="B279" s="177"/>
      <c r="C279" s="177"/>
      <c r="D279" s="177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  <c r="R279" s="177"/>
      <c r="S279" s="177"/>
      <c r="T279" s="177"/>
      <c r="U279" s="177"/>
      <c r="V279" s="177"/>
      <c r="W279" s="177"/>
      <c r="X279" s="177"/>
      <c r="Y279" s="177"/>
      <c r="Z279" s="177"/>
      <c r="AA279" s="177"/>
      <c r="AB279" s="177"/>
      <c r="AC279" s="177"/>
      <c r="AD279" s="177"/>
      <c r="AE279" s="177"/>
      <c r="AF279" s="177"/>
    </row>
    <row r="280" spans="1:32">
      <c r="A280" s="177"/>
      <c r="B280" s="177"/>
      <c r="C280" s="177"/>
      <c r="D280" s="177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  <c r="R280" s="177"/>
      <c r="S280" s="177"/>
      <c r="T280" s="177"/>
      <c r="U280" s="177"/>
      <c r="V280" s="177"/>
      <c r="W280" s="177"/>
      <c r="X280" s="177"/>
      <c r="Y280" s="177"/>
      <c r="Z280" s="177"/>
      <c r="AA280" s="177"/>
      <c r="AB280" s="177"/>
      <c r="AC280" s="177"/>
      <c r="AD280" s="177"/>
      <c r="AE280" s="177"/>
      <c r="AF280" s="177"/>
    </row>
    <row r="281" spans="1:32">
      <c r="A281" s="177"/>
      <c r="B281" s="177"/>
      <c r="C281" s="177"/>
      <c r="D281" s="177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  <c r="R281" s="177"/>
      <c r="S281" s="177"/>
      <c r="T281" s="177"/>
      <c r="U281" s="177"/>
      <c r="V281" s="177"/>
      <c r="W281" s="177"/>
      <c r="X281" s="177"/>
      <c r="Y281" s="177"/>
      <c r="Z281" s="177"/>
      <c r="AA281" s="177"/>
      <c r="AB281" s="177"/>
      <c r="AC281" s="177"/>
      <c r="AD281" s="177"/>
      <c r="AE281" s="177"/>
      <c r="AF281" s="177"/>
    </row>
    <row r="282" spans="1:32">
      <c r="A282" s="177"/>
      <c r="B282" s="177"/>
      <c r="C282" s="177"/>
      <c r="D282" s="177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  <c r="R282" s="177"/>
      <c r="S282" s="177"/>
      <c r="T282" s="177"/>
      <c r="U282" s="177"/>
      <c r="V282" s="177"/>
      <c r="W282" s="177"/>
      <c r="X282" s="177"/>
      <c r="Y282" s="177"/>
      <c r="Z282" s="177"/>
      <c r="AA282" s="177"/>
      <c r="AB282" s="177"/>
      <c r="AC282" s="177"/>
      <c r="AD282" s="177"/>
      <c r="AE282" s="177"/>
      <c r="AF282" s="177"/>
    </row>
  </sheetData>
  <pageMargins left="0.75" right="0.75" top="1" bottom="1" header="0.5" footer="0.5"/>
  <pageSetup scale="61" orientation="landscape"/>
  <headerFooter alignWithMargins="0">
    <oddFooter>&amp;L&amp;F&amp;R&amp;A</oddFooter>
  </headerFooter>
  <ignoredErrors>
    <ignoredError sqref="I6:L6 D21 E20:F25 I8:L20 J7:L7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34C8E-908A-294E-9EFE-34EE16E479E4}">
  <sheetPr codeName="Sheet5">
    <tabColor indexed="13"/>
    <pageSetUpPr fitToPage="1"/>
  </sheetPr>
  <dimension ref="B1:AY153"/>
  <sheetViews>
    <sheetView topLeftCell="D1" zoomScale="116" workbookViewId="0">
      <selection activeCell="Y6" sqref="Y6"/>
    </sheetView>
  </sheetViews>
  <sheetFormatPr baseColWidth="10" defaultColWidth="9.1640625" defaultRowHeight="13"/>
  <cols>
    <col min="1" max="1" width="9.1640625" style="235"/>
    <col min="2" max="2" width="4.6640625" style="235" customWidth="1"/>
    <col min="3" max="3" width="10.1640625" style="235" customWidth="1"/>
    <col min="4" max="4" width="10.5" style="235" customWidth="1"/>
    <col min="5" max="5" width="11.83203125" style="235" customWidth="1"/>
    <col min="6" max="6" width="10.83203125" style="235" customWidth="1"/>
    <col min="7" max="7" width="10.5" style="235" customWidth="1"/>
    <col min="8" max="8" width="17" style="235" bestFit="1" customWidth="1"/>
    <col min="9" max="9" width="10.33203125" style="235" customWidth="1"/>
    <col min="10" max="15" width="13.5" style="235" customWidth="1"/>
    <col min="16" max="16" width="18.5" style="235" bestFit="1" customWidth="1"/>
    <col min="17" max="17" width="13.1640625" style="235" bestFit="1" customWidth="1"/>
    <col min="18" max="25" width="11.6640625" style="235" customWidth="1"/>
    <col min="26" max="27" width="14.1640625" style="235" customWidth="1"/>
    <col min="28" max="29" width="11.6640625" style="235" customWidth="1"/>
    <col min="30" max="30" width="14.6640625" style="235" customWidth="1"/>
    <col min="31" max="36" width="11.6640625" style="235" customWidth="1"/>
    <col min="37" max="37" width="13.1640625" style="235" bestFit="1" customWidth="1"/>
    <col min="38" max="38" width="10.5" style="235" customWidth="1"/>
    <col min="39" max="39" width="8" style="235" customWidth="1"/>
    <col min="40" max="40" width="12.5" style="235" customWidth="1"/>
    <col min="41" max="41" width="13.83203125" style="235" customWidth="1"/>
    <col min="42" max="42" width="12" style="235" customWidth="1"/>
    <col min="43" max="43" width="17" style="235" customWidth="1"/>
    <col min="44" max="44" width="9.83203125" style="235" bestFit="1" customWidth="1"/>
    <col min="45" max="46" width="9.1640625" style="235"/>
    <col min="47" max="47" width="10.1640625" style="235" customWidth="1"/>
    <col min="48" max="48" width="9.1640625" style="235"/>
    <col min="49" max="49" width="10.83203125" style="235" customWidth="1"/>
    <col min="50" max="57" width="9.1640625" style="235"/>
    <col min="58" max="58" width="13.1640625" style="235" bestFit="1" customWidth="1"/>
    <col min="59" max="59" width="9.1640625" style="235"/>
    <col min="60" max="60" width="14.1640625" style="235" customWidth="1"/>
    <col min="61" max="16384" width="9.1640625" style="235"/>
  </cols>
  <sheetData>
    <row r="1" spans="2:39">
      <c r="B1" s="234"/>
      <c r="C1" s="234" t="str">
        <f>'Grand Prairie- Exec Summary (1)'!B2</f>
        <v xml:space="preserve">Lofts at Grand prairie </v>
      </c>
    </row>
    <row r="2" spans="2:39">
      <c r="B2" s="236"/>
      <c r="C2" s="236"/>
    </row>
    <row r="3" spans="2:39">
      <c r="C3" s="234" t="s">
        <v>340</v>
      </c>
      <c r="V3" s="234" t="s">
        <v>326</v>
      </c>
      <c r="AM3" s="237"/>
    </row>
    <row r="4" spans="2:39">
      <c r="O4" s="234" t="s">
        <v>457</v>
      </c>
      <c r="Z4" s="470"/>
      <c r="AA4" s="470"/>
      <c r="AB4" s="267"/>
    </row>
    <row r="5" spans="2:39" ht="14" thickBot="1">
      <c r="C5" s="235" t="s">
        <v>172</v>
      </c>
      <c r="V5" s="235" t="s">
        <v>172</v>
      </c>
    </row>
    <row r="6" spans="2:39">
      <c r="C6" s="238" t="s">
        <v>173</v>
      </c>
      <c r="D6" s="239"/>
      <c r="E6" s="239"/>
      <c r="F6" s="240">
        <f ca="1">'Grand Prairie- Loan Calcs (2)'!E7</f>
        <v>57217401.309118159</v>
      </c>
      <c r="O6" s="236" t="s">
        <v>458</v>
      </c>
      <c r="P6" s="235" t="s">
        <v>459</v>
      </c>
      <c r="Q6" s="235" t="s">
        <v>460</v>
      </c>
      <c r="V6" s="238" t="s">
        <v>173</v>
      </c>
      <c r="W6" s="239"/>
      <c r="X6" s="239"/>
      <c r="Y6" s="240">
        <f ca="1">AE14+AE11</f>
        <v>20105680.395709701</v>
      </c>
      <c r="AD6" s="397" t="s">
        <v>455</v>
      </c>
      <c r="AE6" s="551">
        <v>3</v>
      </c>
      <c r="AF6" s="552" t="s">
        <v>452</v>
      </c>
    </row>
    <row r="7" spans="2:39">
      <c r="C7" s="241" t="s">
        <v>104</v>
      </c>
      <c r="D7" s="242"/>
      <c r="E7" s="242"/>
      <c r="F7" s="243">
        <f>'Grand Prairie- Exec Summary (1)'!G6</f>
        <v>5.5E-2</v>
      </c>
      <c r="O7" s="235" t="s">
        <v>461</v>
      </c>
      <c r="P7" s="171">
        <f ca="1">'Grand Prairie- Exec Summary (1)'!M9</f>
        <v>0.65</v>
      </c>
      <c r="Q7" s="171">
        <f ca="1">P7/$P$9</f>
        <v>0.76470588235294124</v>
      </c>
      <c r="V7" s="241" t="s">
        <v>104</v>
      </c>
      <c r="W7" s="242"/>
      <c r="X7" s="242"/>
      <c r="Y7" s="243">
        <f>'Grand Prairie- Exec Summary (1)'!G14</f>
        <v>5.2499999999999998E-2</v>
      </c>
      <c r="AD7" s="398">
        <v>44764</v>
      </c>
      <c r="AE7" s="374">
        <f ca="1">$AE$14*$Y$7*AF7/360</f>
        <v>373626.89035951078</v>
      </c>
      <c r="AF7" s="257">
        <f>_xlfn.DAYS("12-DEC 2022",AD7)</f>
        <v>143</v>
      </c>
    </row>
    <row r="8" spans="2:39">
      <c r="C8" s="241" t="s">
        <v>373</v>
      </c>
      <c r="D8" s="242"/>
      <c r="E8" s="242"/>
      <c r="F8" s="478">
        <f>'Grand Prairie- Exec Summary (1)'!G10</f>
        <v>5</v>
      </c>
      <c r="O8" s="235" t="s">
        <v>462</v>
      </c>
      <c r="P8" s="171">
        <f ca="1">'Grand Prairie- Exec Summary (1)'!M10</f>
        <v>0.19999999999999998</v>
      </c>
      <c r="Q8" s="171">
        <f ca="1">P8/$P$9</f>
        <v>0.23529411764705882</v>
      </c>
      <c r="V8" s="241" t="s">
        <v>306</v>
      </c>
      <c r="W8" s="242"/>
      <c r="X8" s="242"/>
      <c r="Y8" s="244">
        <f>'Grand Prairie- Exec Summary (1)'!G13</f>
        <v>0.2</v>
      </c>
      <c r="AD8" s="399">
        <v>2023</v>
      </c>
      <c r="AE8" s="374">
        <f t="shared" ref="AE8:AE9" ca="1" si="0">$AE$14*$Y$7*AF8/360</f>
        <v>940599.16454142577</v>
      </c>
      <c r="AF8" s="257">
        <v>360</v>
      </c>
    </row>
    <row r="9" spans="2:39">
      <c r="C9" s="241" t="s">
        <v>5</v>
      </c>
      <c r="D9" s="242"/>
      <c r="E9" s="242"/>
      <c r="F9" s="245">
        <f>'Grand Prairie- Exec Summary (1)'!G8</f>
        <v>30</v>
      </c>
      <c r="O9" s="235" t="s">
        <v>19</v>
      </c>
      <c r="P9" s="171">
        <f ca="1">SUM(P7:P8)</f>
        <v>0.85</v>
      </c>
      <c r="Q9" s="171">
        <f ca="1">SUM(Q7:Q8)</f>
        <v>1</v>
      </c>
      <c r="V9" s="241" t="s">
        <v>5</v>
      </c>
      <c r="W9" s="242"/>
      <c r="X9" s="242"/>
      <c r="Y9" s="245">
        <f>'Grand Prairie- Exec Summary (1)'!G16</f>
        <v>30</v>
      </c>
      <c r="AD9" s="398">
        <v>45627</v>
      </c>
      <c r="AE9" s="374">
        <f t="shared" ca="1" si="0"/>
        <v>875279.77811493794</v>
      </c>
      <c r="AF9" s="257">
        <f>_xlfn.DAYS(AD9,"1-JAN 2024")</f>
        <v>335</v>
      </c>
    </row>
    <row r="10" spans="2:39">
      <c r="C10" s="241" t="s">
        <v>175</v>
      </c>
      <c r="D10" s="242"/>
      <c r="E10" s="242"/>
      <c r="F10" s="245">
        <v>12</v>
      </c>
      <c r="V10" s="241" t="s">
        <v>175</v>
      </c>
      <c r="W10" s="242"/>
      <c r="X10" s="242"/>
      <c r="Y10" s="245">
        <v>12</v>
      </c>
      <c r="AD10" s="398"/>
      <c r="AE10" s="374"/>
      <c r="AF10" s="257"/>
    </row>
    <row r="11" spans="2:39" ht="14" thickBot="1">
      <c r="C11" s="241" t="s">
        <v>176</v>
      </c>
      <c r="D11" s="242"/>
      <c r="E11" s="242"/>
      <c r="F11" s="245">
        <f ca="1">-PMT(F7/F10,(F9-F8)*F10,F6)</f>
        <v>351364.90484778886</v>
      </c>
      <c r="V11" s="241" t="s">
        <v>176</v>
      </c>
      <c r="W11" s="242"/>
      <c r="X11" s="242"/>
      <c r="Y11" s="245">
        <f ca="1">-PMT(Y7/Y10,(Y9-Y13)*Y10,Y6)</f>
        <v>120482.83039092951</v>
      </c>
      <c r="AD11" s="261" t="s">
        <v>327</v>
      </c>
      <c r="AE11" s="265">
        <f ca="1">SUM(AE7:AE10)</f>
        <v>2189505.8330158745</v>
      </c>
      <c r="AF11" s="263"/>
    </row>
    <row r="12" spans="2:39" ht="14" thickBot="1">
      <c r="C12" s="241" t="s">
        <v>177</v>
      </c>
      <c r="D12" s="242"/>
      <c r="E12" s="242"/>
      <c r="F12" s="245">
        <f ca="1">F11*F10</f>
        <v>4216378.8581734663</v>
      </c>
      <c r="Q12" s="550"/>
      <c r="V12" s="241" t="s">
        <v>177</v>
      </c>
      <c r="W12" s="242"/>
      <c r="X12" s="242"/>
      <c r="Y12" s="245">
        <f ca="1">Y11*Y10</f>
        <v>1445793.9646911542</v>
      </c>
    </row>
    <row r="13" spans="2:39" ht="14" thickBot="1">
      <c r="C13" s="246" t="s">
        <v>178</v>
      </c>
      <c r="D13" s="247"/>
      <c r="E13" s="247"/>
      <c r="F13" s="248">
        <f ca="1">H18</f>
        <v>3146957.0720014987</v>
      </c>
      <c r="Q13" s="550"/>
      <c r="V13" s="246" t="s">
        <v>349</v>
      </c>
      <c r="W13" s="247"/>
      <c r="X13" s="247"/>
      <c r="Y13" s="248">
        <f>'Grand Prairie- Exec Summary (1)'!G15</f>
        <v>5</v>
      </c>
      <c r="AD13" s="253" t="s">
        <v>450</v>
      </c>
      <c r="AE13" s="252">
        <f ca="1">Y8*'Grand Prairie- Exec Summary (1)'!O13</f>
        <v>17605354.248959433</v>
      </c>
    </row>
    <row r="14" spans="2:39" ht="14" thickBot="1">
      <c r="J14" s="249" t="s">
        <v>179</v>
      </c>
      <c r="K14" s="250"/>
      <c r="L14" s="251"/>
      <c r="M14" s="252"/>
      <c r="AD14" s="261" t="s">
        <v>451</v>
      </c>
      <c r="AE14" s="263">
        <f ca="1">AE13+'Grand Prairie- Exec Summary (1)'!O42+'Grand Prairie- Exec Summary (1)'!O43+'Grand Prairie- Exec Summary (1)'!O46-10000</f>
        <v>17916174.562693827</v>
      </c>
    </row>
    <row r="15" spans="2:39" ht="17" thickBot="1">
      <c r="B15" s="253"/>
      <c r="C15" s="250"/>
      <c r="D15" s="250"/>
      <c r="E15" s="250"/>
      <c r="F15" s="250"/>
      <c r="G15" s="254"/>
      <c r="H15" s="252"/>
      <c r="J15" s="255"/>
      <c r="L15" s="256"/>
      <c r="M15" s="257"/>
      <c r="O15"/>
      <c r="P15"/>
      <c r="Q15"/>
      <c r="R15" s="374"/>
      <c r="S15" s="374"/>
      <c r="T15" s="374"/>
      <c r="U15" s="253"/>
      <c r="V15" s="250"/>
      <c r="W15" s="250"/>
      <c r="X15" s="250"/>
      <c r="Y15" s="250"/>
      <c r="Z15" s="254"/>
      <c r="AA15" s="254"/>
      <c r="AB15" s="252"/>
      <c r="AC15" s="374"/>
      <c r="AG15" s="374"/>
      <c r="AH15" s="374"/>
      <c r="AI15" s="374"/>
      <c r="AJ15" s="374"/>
    </row>
    <row r="16" spans="2:39" ht="16">
      <c r="B16" s="255"/>
      <c r="C16" s="374" t="s">
        <v>181</v>
      </c>
      <c r="D16" s="374" t="s">
        <v>181</v>
      </c>
      <c r="E16" s="374" t="s">
        <v>181</v>
      </c>
      <c r="F16" s="374" t="s">
        <v>182</v>
      </c>
      <c r="G16" s="374"/>
      <c r="H16" s="257" t="s">
        <v>19</v>
      </c>
      <c r="J16" s="255" t="s">
        <v>183</v>
      </c>
      <c r="L16" s="256" t="s">
        <v>184</v>
      </c>
      <c r="M16" s="257"/>
      <c r="O16"/>
      <c r="P16"/>
      <c r="Q16"/>
      <c r="R16" s="374"/>
      <c r="S16" s="374"/>
      <c r="T16" s="374"/>
      <c r="U16" s="255"/>
      <c r="V16" s="374" t="s">
        <v>181</v>
      </c>
      <c r="W16" s="374" t="s">
        <v>181</v>
      </c>
      <c r="X16" s="374" t="s">
        <v>181</v>
      </c>
      <c r="Y16" s="374" t="s">
        <v>182</v>
      </c>
      <c r="Z16" s="374" t="s">
        <v>454</v>
      </c>
      <c r="AA16" s="374" t="s">
        <v>456</v>
      </c>
      <c r="AB16" s="257" t="s">
        <v>19</v>
      </c>
      <c r="AC16" s="374"/>
      <c r="AD16" s="253" t="s">
        <v>180</v>
      </c>
      <c r="AE16" s="250"/>
      <c r="AF16" s="252"/>
      <c r="AG16" s="374"/>
      <c r="AH16" s="374"/>
      <c r="AI16" s="374"/>
      <c r="AJ16" s="374"/>
    </row>
    <row r="17" spans="2:38" ht="16">
      <c r="B17" s="255"/>
      <c r="C17" s="374" t="s">
        <v>185</v>
      </c>
      <c r="D17" s="374" t="s">
        <v>164</v>
      </c>
      <c r="E17" s="374" t="s">
        <v>182</v>
      </c>
      <c r="F17" s="374" t="s">
        <v>186</v>
      </c>
      <c r="G17" s="374" t="s">
        <v>174</v>
      </c>
      <c r="H17" s="257" t="s">
        <v>187</v>
      </c>
      <c r="J17" s="255" t="s">
        <v>188</v>
      </c>
      <c r="L17" s="256" t="s">
        <v>189</v>
      </c>
      <c r="M17" s="257"/>
      <c r="O17"/>
      <c r="P17"/>
      <c r="Q17"/>
      <c r="R17" s="374"/>
      <c r="S17" s="374"/>
      <c r="T17" s="374"/>
      <c r="U17" s="255"/>
      <c r="V17" s="374" t="s">
        <v>185</v>
      </c>
      <c r="W17" s="374" t="s">
        <v>164</v>
      </c>
      <c r="X17" s="374" t="s">
        <v>182</v>
      </c>
      <c r="Y17" s="374" t="s">
        <v>186</v>
      </c>
      <c r="Z17" s="374"/>
      <c r="AA17" s="553">
        <v>8.0000000000000004E-4</v>
      </c>
      <c r="AB17" s="257" t="s">
        <v>187</v>
      </c>
      <c r="AC17" s="374"/>
      <c r="AD17" s="255"/>
      <c r="AE17" s="374"/>
      <c r="AF17" s="257"/>
      <c r="AG17" s="374"/>
      <c r="AH17" s="374"/>
      <c r="AI17" s="374"/>
      <c r="AJ17" s="374"/>
    </row>
    <row r="18" spans="2:38" ht="16">
      <c r="B18" s="255">
        <v>1</v>
      </c>
      <c r="C18" s="258">
        <f>IF(AND(B18&lt;=$F$9,B18&gt;$F$8),$F$12,0)</f>
        <v>0</v>
      </c>
      <c r="D18" s="258">
        <f ca="1">IF(AND(B18&gt;$F$8,B18&lt;=$F$9),-CUMIPMT($F$7/$F$10,($F$9-$F$8)*$F$10,$F$6,(B18-$F$8)*($F$10)-11,(B18-$F$8)*$F$10,0),$F$7*F18)</f>
        <v>3146957.0720014987</v>
      </c>
      <c r="E18" s="258">
        <f>IF(B18&lt;=$F$8,0,C18-D18)</f>
        <v>0</v>
      </c>
      <c r="F18" s="258">
        <f ca="1">F6-E18</f>
        <v>57217401.309118159</v>
      </c>
      <c r="G18" s="258"/>
      <c r="H18" s="259">
        <f ca="1">D18+G18+E18</f>
        <v>3146957.0720014987</v>
      </c>
      <c r="J18" s="255">
        <v>1</v>
      </c>
      <c r="K18" s="235">
        <v>2</v>
      </c>
      <c r="L18" s="256">
        <v>1</v>
      </c>
      <c r="M18" s="257">
        <v>12</v>
      </c>
      <c r="O18"/>
      <c r="P18"/>
      <c r="Q18"/>
      <c r="R18" s="374"/>
      <c r="S18" s="374"/>
      <c r="T18" s="374"/>
      <c r="U18" s="255">
        <v>1</v>
      </c>
      <c r="V18" s="258">
        <f>IF(AND(U18&gt;$Y$13,U18&lt;=$Y$9),$Y$12,0)</f>
        <v>0</v>
      </c>
      <c r="W18" s="258">
        <f ca="1">IF(AND(U18&gt;$Y$13,U18&lt;=$Y$9),-CUMIPMT($Y$7/$Y$10,($Y$9-$Y$13)*$Y$10,$Y$6,(U18-$Y$13)*($Y$10)-11,(U18-$Y$13)*$Y$10,0),$Y$7*Y18)</f>
        <v>1055548.2207747593</v>
      </c>
      <c r="X18" s="258">
        <f>IF(U18&gt;$Y$13,V18-W18,0)</f>
        <v>0</v>
      </c>
      <c r="Y18" s="258">
        <f ca="1">Y6-X18</f>
        <v>20105680.395709701</v>
      </c>
      <c r="Z18" s="258">
        <v>480</v>
      </c>
      <c r="AA18" s="258">
        <f ca="1">$AA$17*Y18</f>
        <v>16084.544316567761</v>
      </c>
      <c r="AB18" s="259">
        <f>IF(U18&lt;=$AE$6,0,X18+W18+AA18+Z18)</f>
        <v>0</v>
      </c>
      <c r="AC18" s="374"/>
      <c r="AD18" s="255"/>
      <c r="AE18" s="374"/>
      <c r="AF18" s="257" t="s">
        <v>190</v>
      </c>
      <c r="AG18" s="374"/>
      <c r="AH18" s="374"/>
      <c r="AI18" s="374"/>
      <c r="AJ18" s="374"/>
    </row>
    <row r="19" spans="2:38" ht="16">
      <c r="B19" s="255">
        <f t="shared" ref="B19:B57" si="1">+B18+1</f>
        <v>2</v>
      </c>
      <c r="C19" s="258">
        <f t="shared" ref="C19:C57" si="2">IF(AND(B19&lt;=$F$9,B19&gt;$F$8),$F$12,0)</f>
        <v>0</v>
      </c>
      <c r="D19" s="258">
        <f t="shared" ref="D19:D57" ca="1" si="3">IF(AND(B19&gt;$F$8,B19&lt;=$F$9),-CUMIPMT($F$7/$F$10,($F$9-$F$8)*$F$10,$F$6,(B19-$F$8)*($F$10)-11,(B19-$F$8)*$F$10,0),$F$7*F19)</f>
        <v>3146957.0720014987</v>
      </c>
      <c r="E19" s="258">
        <f t="shared" ref="E19:E57" si="4">IF(B19&lt;=$F$8,0,C19-D19)</f>
        <v>0</v>
      </c>
      <c r="F19" s="242">
        <f t="shared" ref="F19:F57" ca="1" si="5">F18-E19</f>
        <v>57217401.309118159</v>
      </c>
      <c r="G19" s="242"/>
      <c r="H19" s="259">
        <f t="shared" ref="H19:H57" ca="1" si="6">D19+G19+E19</f>
        <v>3146957.0720014987</v>
      </c>
      <c r="J19" s="255">
        <f t="shared" ref="J19:K34" si="7">+J18+2</f>
        <v>3</v>
      </c>
      <c r="K19" s="235">
        <f t="shared" si="7"/>
        <v>4</v>
      </c>
      <c r="L19" s="256">
        <f>+L18+12</f>
        <v>13</v>
      </c>
      <c r="M19" s="257">
        <f>+M18+12</f>
        <v>24</v>
      </c>
      <c r="O19"/>
      <c r="P19"/>
      <c r="Q19"/>
      <c r="R19" s="374"/>
      <c r="S19" s="374"/>
      <c r="T19" s="374"/>
      <c r="U19" s="255">
        <f t="shared" ref="U19:U40" si="8">+U18+1</f>
        <v>2</v>
      </c>
      <c r="V19" s="258">
        <f t="shared" ref="V19:V41" si="9">IF(AND(U19&gt;$Y$13,U19&lt;=$Y$9),$Y$12,0)</f>
        <v>0</v>
      </c>
      <c r="W19" s="258">
        <f t="shared" ref="W19:W41" ca="1" si="10">IF(AND(U19&gt;$Y$13,U19&lt;=$Y$9),-CUMIPMT($Y$7/$Y$10,($Y$9-$Y$13)*$Y$10,$Y$6,(U19-$Y$13)*($Y$10)-11,(U19-$Y$13)*$Y$10,0),$Y$7*Y19)</f>
        <v>1055548.2207747593</v>
      </c>
      <c r="X19" s="258">
        <f t="shared" ref="X19:X41" si="11">IF(U19&gt;$Y$13,V19-W19,0)</f>
        <v>0</v>
      </c>
      <c r="Y19" s="242">
        <f t="shared" ref="Y19:Y24" ca="1" si="12">Y18-X19</f>
        <v>20105680.395709701</v>
      </c>
      <c r="Z19" s="258">
        <v>480</v>
      </c>
      <c r="AA19" s="258">
        <f t="shared" ref="AA19:AA41" ca="1" si="13">$AA$17*Y19</f>
        <v>16084.544316567761</v>
      </c>
      <c r="AB19" s="259">
        <f t="shared" ref="AB19:AB41" si="14">IF(U19&lt;=$AE$6,0,X19+W19+AA19+Z19)</f>
        <v>0</v>
      </c>
      <c r="AC19" s="374"/>
      <c r="AD19" s="255">
        <f t="shared" ref="AD19:AD28" si="15">U18</f>
        <v>1</v>
      </c>
      <c r="AE19" s="260">
        <v>0.05</v>
      </c>
      <c r="AF19" s="257">
        <f t="shared" ref="AF19:AF28" ca="1" si="16">AE19*Y18</f>
        <v>1005284.0197854851</v>
      </c>
      <c r="AG19" s="374"/>
      <c r="AH19" s="374"/>
      <c r="AI19" s="374"/>
      <c r="AJ19" s="374"/>
    </row>
    <row r="20" spans="2:38" ht="16">
      <c r="B20" s="255">
        <f t="shared" si="1"/>
        <v>3</v>
      </c>
      <c r="C20" s="258">
        <f t="shared" si="2"/>
        <v>0</v>
      </c>
      <c r="D20" s="258">
        <f t="shared" ca="1" si="3"/>
        <v>3146957.0720014987</v>
      </c>
      <c r="E20" s="258">
        <f t="shared" si="4"/>
        <v>0</v>
      </c>
      <c r="F20" s="242">
        <f t="shared" ca="1" si="5"/>
        <v>57217401.309118159</v>
      </c>
      <c r="G20" s="242"/>
      <c r="H20" s="259">
        <f t="shared" ca="1" si="6"/>
        <v>3146957.0720014987</v>
      </c>
      <c r="J20" s="255">
        <f t="shared" si="7"/>
        <v>5</v>
      </c>
      <c r="K20" s="235">
        <f t="shared" si="7"/>
        <v>6</v>
      </c>
      <c r="L20" s="256">
        <f t="shared" ref="L20:M34" si="17">+L19+12</f>
        <v>25</v>
      </c>
      <c r="M20" s="257">
        <f t="shared" si="17"/>
        <v>36</v>
      </c>
      <c r="O20"/>
      <c r="P20"/>
      <c r="Q20"/>
      <c r="R20" s="374"/>
      <c r="S20" s="374"/>
      <c r="T20" s="374"/>
      <c r="U20" s="255">
        <f t="shared" si="8"/>
        <v>3</v>
      </c>
      <c r="V20" s="258">
        <f t="shared" si="9"/>
        <v>0</v>
      </c>
      <c r="W20" s="258">
        <f t="shared" ca="1" si="10"/>
        <v>1055548.2207747593</v>
      </c>
      <c r="X20" s="258">
        <f t="shared" si="11"/>
        <v>0</v>
      </c>
      <c r="Y20" s="242">
        <f t="shared" ca="1" si="12"/>
        <v>20105680.395709701</v>
      </c>
      <c r="Z20" s="258">
        <v>480</v>
      </c>
      <c r="AA20" s="258">
        <f t="shared" ca="1" si="13"/>
        <v>16084.544316567761</v>
      </c>
      <c r="AB20" s="259">
        <f t="shared" si="14"/>
        <v>0</v>
      </c>
      <c r="AC20" s="374"/>
      <c r="AD20" s="255">
        <f t="shared" si="15"/>
        <v>2</v>
      </c>
      <c r="AE20" s="260">
        <v>0.05</v>
      </c>
      <c r="AF20" s="257">
        <f t="shared" ca="1" si="16"/>
        <v>1005284.0197854851</v>
      </c>
      <c r="AG20" s="374"/>
      <c r="AH20" s="374"/>
      <c r="AI20" s="374"/>
      <c r="AJ20" s="374"/>
    </row>
    <row r="21" spans="2:38" ht="16">
      <c r="B21" s="255">
        <f t="shared" si="1"/>
        <v>4</v>
      </c>
      <c r="C21" s="258">
        <f t="shared" si="2"/>
        <v>0</v>
      </c>
      <c r="D21" s="258">
        <f t="shared" ca="1" si="3"/>
        <v>3146957.0720014987</v>
      </c>
      <c r="E21" s="258">
        <f t="shared" si="4"/>
        <v>0</v>
      </c>
      <c r="F21" s="242">
        <f t="shared" ca="1" si="5"/>
        <v>57217401.309118159</v>
      </c>
      <c r="G21" s="242"/>
      <c r="H21" s="259">
        <f t="shared" ca="1" si="6"/>
        <v>3146957.0720014987</v>
      </c>
      <c r="J21" s="255">
        <f t="shared" si="7"/>
        <v>7</v>
      </c>
      <c r="K21" s="235">
        <f t="shared" si="7"/>
        <v>8</v>
      </c>
      <c r="L21" s="256">
        <f t="shared" si="17"/>
        <v>37</v>
      </c>
      <c r="M21" s="257">
        <f t="shared" si="17"/>
        <v>48</v>
      </c>
      <c r="O21"/>
      <c r="P21"/>
      <c r="Q21"/>
      <c r="R21" s="374"/>
      <c r="S21" s="374"/>
      <c r="T21" s="374"/>
      <c r="U21" s="255">
        <f t="shared" si="8"/>
        <v>4</v>
      </c>
      <c r="V21" s="258">
        <f t="shared" si="9"/>
        <v>0</v>
      </c>
      <c r="W21" s="258">
        <f t="shared" ca="1" si="10"/>
        <v>1055548.2207747593</v>
      </c>
      <c r="X21" s="258">
        <f t="shared" si="11"/>
        <v>0</v>
      </c>
      <c r="Y21" s="242">
        <f t="shared" ca="1" si="12"/>
        <v>20105680.395709701</v>
      </c>
      <c r="Z21" s="258">
        <v>480</v>
      </c>
      <c r="AA21" s="258">
        <f t="shared" ca="1" si="13"/>
        <v>16084.544316567761</v>
      </c>
      <c r="AB21" s="259">
        <f t="shared" ca="1" si="14"/>
        <v>1072112.765091327</v>
      </c>
      <c r="AC21" s="374"/>
      <c r="AD21" s="255">
        <f t="shared" si="15"/>
        <v>3</v>
      </c>
      <c r="AE21" s="260">
        <v>0.03</v>
      </c>
      <c r="AF21" s="257">
        <f t="shared" ca="1" si="16"/>
        <v>603170.411871291</v>
      </c>
      <c r="AG21" s="374"/>
      <c r="AH21" s="374"/>
      <c r="AI21" s="374"/>
      <c r="AJ21" s="374"/>
    </row>
    <row r="22" spans="2:38" ht="16">
      <c r="B22" s="255">
        <f t="shared" si="1"/>
        <v>5</v>
      </c>
      <c r="C22" s="258">
        <f t="shared" si="2"/>
        <v>0</v>
      </c>
      <c r="D22" s="258">
        <f t="shared" ca="1" si="3"/>
        <v>3146957.0720014987</v>
      </c>
      <c r="E22" s="258">
        <f t="shared" si="4"/>
        <v>0</v>
      </c>
      <c r="F22" s="242">
        <f t="shared" ca="1" si="5"/>
        <v>57217401.309118159</v>
      </c>
      <c r="G22" s="242"/>
      <c r="H22" s="259">
        <f t="shared" ca="1" si="6"/>
        <v>3146957.0720014987</v>
      </c>
      <c r="J22" s="255">
        <f t="shared" si="7"/>
        <v>9</v>
      </c>
      <c r="K22" s="235">
        <f t="shared" si="7"/>
        <v>10</v>
      </c>
      <c r="L22" s="256">
        <f>+L21+12</f>
        <v>49</v>
      </c>
      <c r="M22" s="257">
        <f>+M21+12</f>
        <v>60</v>
      </c>
      <c r="O22"/>
      <c r="P22"/>
      <c r="Q22"/>
      <c r="R22" s="374"/>
      <c r="S22" s="374"/>
      <c r="T22" s="374"/>
      <c r="U22" s="255">
        <f t="shared" si="8"/>
        <v>5</v>
      </c>
      <c r="V22" s="258">
        <f t="shared" si="9"/>
        <v>0</v>
      </c>
      <c r="W22" s="258">
        <f t="shared" ca="1" si="10"/>
        <v>1055548.2207747593</v>
      </c>
      <c r="X22" s="258">
        <f t="shared" si="11"/>
        <v>0</v>
      </c>
      <c r="Y22" s="242">
        <f t="shared" ca="1" si="12"/>
        <v>20105680.395709701</v>
      </c>
      <c r="Z22" s="258">
        <v>480</v>
      </c>
      <c r="AA22" s="258">
        <f t="shared" ca="1" si="13"/>
        <v>16084.544316567761</v>
      </c>
      <c r="AB22" s="259">
        <f t="shared" ca="1" si="14"/>
        <v>1072112.765091327</v>
      </c>
      <c r="AC22" s="374"/>
      <c r="AD22" s="255">
        <f t="shared" si="15"/>
        <v>4</v>
      </c>
      <c r="AE22" s="260">
        <v>0.02</v>
      </c>
      <c r="AF22" s="257">
        <f t="shared" ca="1" si="16"/>
        <v>402113.607914194</v>
      </c>
      <c r="AG22" s="374"/>
      <c r="AH22" s="374"/>
      <c r="AI22" s="374"/>
      <c r="AJ22" s="374"/>
    </row>
    <row r="23" spans="2:38" ht="16">
      <c r="B23" s="255">
        <f t="shared" si="1"/>
        <v>6</v>
      </c>
      <c r="C23" s="258">
        <f t="shared" ca="1" si="2"/>
        <v>4216378.8581734663</v>
      </c>
      <c r="D23" s="258">
        <f t="shared" ca="1" si="3"/>
        <v>3119582.5889436812</v>
      </c>
      <c r="E23" s="258">
        <f t="shared" ca="1" si="4"/>
        <v>1096796.2692297851</v>
      </c>
      <c r="F23" s="242">
        <f t="shared" ca="1" si="5"/>
        <v>56120605.039888375</v>
      </c>
      <c r="G23" s="242"/>
      <c r="H23" s="259">
        <f t="shared" ca="1" si="6"/>
        <v>4216378.8581734663</v>
      </c>
      <c r="J23" s="255">
        <f t="shared" si="7"/>
        <v>11</v>
      </c>
      <c r="K23" s="235">
        <f t="shared" si="7"/>
        <v>12</v>
      </c>
      <c r="L23" s="256">
        <f t="shared" si="17"/>
        <v>61</v>
      </c>
      <c r="M23" s="257">
        <f t="shared" si="17"/>
        <v>72</v>
      </c>
      <c r="O23"/>
      <c r="P23"/>
      <c r="Q23"/>
      <c r="R23" s="374"/>
      <c r="S23" s="374"/>
      <c r="T23" s="374"/>
      <c r="U23" s="255">
        <f t="shared" si="8"/>
        <v>6</v>
      </c>
      <c r="V23" s="258">
        <f t="shared" ca="1" si="9"/>
        <v>1445793.9646911542</v>
      </c>
      <c r="W23" s="258">
        <f t="shared" ca="1" si="10"/>
        <v>1046019.6333542909</v>
      </c>
      <c r="X23" s="258">
        <f t="shared" ca="1" si="11"/>
        <v>399774.33133686334</v>
      </c>
      <c r="Y23" s="242">
        <f t="shared" ca="1" si="12"/>
        <v>19705906.064372838</v>
      </c>
      <c r="Z23" s="258">
        <v>480</v>
      </c>
      <c r="AA23" s="258">
        <f t="shared" ca="1" si="13"/>
        <v>15764.724851498271</v>
      </c>
      <c r="AB23" s="259">
        <f t="shared" ca="1" si="14"/>
        <v>1462038.6895426526</v>
      </c>
      <c r="AC23" s="374"/>
      <c r="AD23" s="255">
        <f t="shared" si="15"/>
        <v>5</v>
      </c>
      <c r="AE23" s="260">
        <v>0.01</v>
      </c>
      <c r="AF23" s="257">
        <f t="shared" ca="1" si="16"/>
        <v>201056.803957097</v>
      </c>
      <c r="AG23" s="374"/>
      <c r="AH23" s="374"/>
      <c r="AI23" s="374"/>
      <c r="AJ23" s="374"/>
    </row>
    <row r="24" spans="2:38" ht="16">
      <c r="B24" s="255">
        <f t="shared" si="1"/>
        <v>7</v>
      </c>
      <c r="C24" s="258">
        <f t="shared" ca="1" si="2"/>
        <v>4216378.8581734663</v>
      </c>
      <c r="D24" s="258">
        <f t="shared" ca="1" si="3"/>
        <v>3057714.6581175914</v>
      </c>
      <c r="E24" s="258">
        <f t="shared" ca="1" si="4"/>
        <v>1158664.2000558749</v>
      </c>
      <c r="F24" s="242">
        <f t="shared" ca="1" si="5"/>
        <v>54961940.8398325</v>
      </c>
      <c r="G24" s="242"/>
      <c r="H24" s="259">
        <f t="shared" ca="1" si="6"/>
        <v>4216378.8581734663</v>
      </c>
      <c r="J24" s="255">
        <f t="shared" si="7"/>
        <v>13</v>
      </c>
      <c r="K24" s="235">
        <f t="shared" si="7"/>
        <v>14</v>
      </c>
      <c r="L24" s="256">
        <f t="shared" si="17"/>
        <v>73</v>
      </c>
      <c r="M24" s="257">
        <f t="shared" si="17"/>
        <v>84</v>
      </c>
      <c r="O24"/>
      <c r="P24"/>
      <c r="Q24"/>
      <c r="R24" s="374"/>
      <c r="S24" s="374"/>
      <c r="T24" s="374"/>
      <c r="U24" s="255">
        <f t="shared" si="8"/>
        <v>7</v>
      </c>
      <c r="V24" s="258">
        <f t="shared" ca="1" si="9"/>
        <v>1445793.9646911542</v>
      </c>
      <c r="W24" s="258">
        <f t="shared" ca="1" si="10"/>
        <v>1024519.0155497852</v>
      </c>
      <c r="X24" s="258">
        <f t="shared" ca="1" si="11"/>
        <v>421274.94914136897</v>
      </c>
      <c r="Y24" s="242">
        <f t="shared" ca="1" si="12"/>
        <v>19284631.115231469</v>
      </c>
      <c r="Z24" s="258">
        <v>480</v>
      </c>
      <c r="AA24" s="258">
        <f t="shared" ca="1" si="13"/>
        <v>15427.704892185177</v>
      </c>
      <c r="AB24" s="259">
        <f t="shared" ca="1" si="14"/>
        <v>1461701.6695833395</v>
      </c>
      <c r="AC24" s="374"/>
      <c r="AD24" s="255">
        <f t="shared" si="15"/>
        <v>6</v>
      </c>
      <c r="AE24" s="260">
        <v>0.01</v>
      </c>
      <c r="AF24" s="257">
        <f t="shared" ca="1" si="16"/>
        <v>197059.06064372839</v>
      </c>
      <c r="AG24" s="374"/>
      <c r="AH24" s="374"/>
      <c r="AI24" s="374"/>
      <c r="AJ24" s="374"/>
    </row>
    <row r="25" spans="2:38" ht="16">
      <c r="B25" s="255">
        <f t="shared" si="1"/>
        <v>8</v>
      </c>
      <c r="C25" s="258">
        <f t="shared" ca="1" si="2"/>
        <v>4216378.8581734663</v>
      </c>
      <c r="D25" s="258">
        <f t="shared" ca="1" si="3"/>
        <v>2992356.8896871218</v>
      </c>
      <c r="E25" s="258">
        <f t="shared" ca="1" si="4"/>
        <v>1224021.9684863444</v>
      </c>
      <c r="F25" s="242">
        <f t="shared" ca="1" si="5"/>
        <v>53737918.871346153</v>
      </c>
      <c r="G25" s="242"/>
      <c r="H25" s="259">
        <f t="shared" ca="1" si="6"/>
        <v>4216378.8581734663</v>
      </c>
      <c r="J25" s="255">
        <f t="shared" si="7"/>
        <v>15</v>
      </c>
      <c r="K25" s="235">
        <f t="shared" si="7"/>
        <v>16</v>
      </c>
      <c r="L25" s="256">
        <f t="shared" si="17"/>
        <v>85</v>
      </c>
      <c r="M25" s="257">
        <f t="shared" si="17"/>
        <v>96</v>
      </c>
      <c r="O25"/>
      <c r="P25"/>
      <c r="Q25"/>
      <c r="R25" s="374"/>
      <c r="S25" s="374"/>
      <c r="T25" s="374"/>
      <c r="U25" s="255">
        <f t="shared" si="8"/>
        <v>8</v>
      </c>
      <c r="V25" s="258">
        <f t="shared" ca="1" si="9"/>
        <v>1445793.9646911542</v>
      </c>
      <c r="W25" s="258">
        <f t="shared" ca="1" si="10"/>
        <v>1001862.0539539473</v>
      </c>
      <c r="X25" s="258">
        <f t="shared" ca="1" si="11"/>
        <v>443931.91073720693</v>
      </c>
      <c r="Y25" s="242">
        <f ca="1">Y24-X25</f>
        <v>18840699.204494264</v>
      </c>
      <c r="Z25" s="258">
        <v>480</v>
      </c>
      <c r="AA25" s="258">
        <f t="shared" ca="1" si="13"/>
        <v>15072.559363595412</v>
      </c>
      <c r="AB25" s="259">
        <f t="shared" ca="1" si="14"/>
        <v>1461346.5240547496</v>
      </c>
      <c r="AC25" s="374"/>
      <c r="AD25" s="255">
        <f t="shared" si="15"/>
        <v>7</v>
      </c>
      <c r="AE25" s="260">
        <v>0.01</v>
      </c>
      <c r="AF25" s="257">
        <f t="shared" ca="1" si="16"/>
        <v>192846.31115231471</v>
      </c>
      <c r="AG25" s="374"/>
      <c r="AH25" s="374"/>
      <c r="AI25" s="374"/>
      <c r="AJ25" s="374"/>
    </row>
    <row r="26" spans="2:38" ht="16">
      <c r="B26" s="255">
        <f t="shared" si="1"/>
        <v>9</v>
      </c>
      <c r="C26" s="258">
        <f t="shared" ca="1" si="2"/>
        <v>4216378.8581734663</v>
      </c>
      <c r="D26" s="258">
        <f t="shared" ca="1" si="3"/>
        <v>2923312.4293799158</v>
      </c>
      <c r="E26" s="258">
        <f t="shared" ca="1" si="4"/>
        <v>1293066.4287935505</v>
      </c>
      <c r="F26" s="242">
        <f t="shared" ca="1" si="5"/>
        <v>52444852.442552604</v>
      </c>
      <c r="G26" s="242"/>
      <c r="H26" s="259">
        <f t="shared" ca="1" si="6"/>
        <v>4216378.8581734663</v>
      </c>
      <c r="J26" s="255">
        <f t="shared" si="7"/>
        <v>17</v>
      </c>
      <c r="K26" s="235">
        <f t="shared" si="7"/>
        <v>18</v>
      </c>
      <c r="L26" s="256">
        <f t="shared" si="17"/>
        <v>97</v>
      </c>
      <c r="M26" s="257">
        <f t="shared" si="17"/>
        <v>108</v>
      </c>
      <c r="O26"/>
      <c r="P26"/>
      <c r="Q26"/>
      <c r="R26" s="374"/>
      <c r="S26" s="374"/>
      <c r="T26" s="374"/>
      <c r="U26" s="255">
        <f t="shared" si="8"/>
        <v>9</v>
      </c>
      <c r="V26" s="258">
        <f t="shared" ca="1" si="9"/>
        <v>1445793.9646911542</v>
      </c>
      <c r="W26" s="258">
        <f t="shared" ca="1" si="10"/>
        <v>977986.55821597343</v>
      </c>
      <c r="X26" s="258">
        <f t="shared" ca="1" si="11"/>
        <v>467807.40647518076</v>
      </c>
      <c r="Y26" s="242">
        <f t="shared" ref="Y26:Y40" ca="1" si="18">Y25-X26</f>
        <v>18372891.798019081</v>
      </c>
      <c r="Z26" s="258">
        <v>480</v>
      </c>
      <c r="AA26" s="258">
        <f t="shared" ca="1" si="13"/>
        <v>14698.313438415265</v>
      </c>
      <c r="AB26" s="259">
        <f t="shared" ca="1" si="14"/>
        <v>1460972.2781295695</v>
      </c>
      <c r="AC26" s="374"/>
      <c r="AD26" s="255">
        <f t="shared" si="15"/>
        <v>8</v>
      </c>
      <c r="AE26" s="260">
        <v>0.01</v>
      </c>
      <c r="AF26" s="257">
        <f t="shared" ca="1" si="16"/>
        <v>188406.99204494266</v>
      </c>
      <c r="AG26" s="374"/>
      <c r="AH26" s="374"/>
      <c r="AI26" s="374"/>
      <c r="AJ26" s="374"/>
    </row>
    <row r="27" spans="2:38" ht="16">
      <c r="B27" s="255">
        <f t="shared" si="1"/>
        <v>10</v>
      </c>
      <c r="C27" s="258">
        <f t="shared" ca="1" si="2"/>
        <v>4216378.8581734663</v>
      </c>
      <c r="D27" s="258">
        <f t="shared" ca="1" si="3"/>
        <v>2850373.3187953066</v>
      </c>
      <c r="E27" s="258">
        <f t="shared" ca="1" si="4"/>
        <v>1366005.5393781597</v>
      </c>
      <c r="F27" s="242">
        <f t="shared" ca="1" si="5"/>
        <v>51078846.903174445</v>
      </c>
      <c r="G27" s="242"/>
      <c r="H27" s="259">
        <f t="shared" ca="1" si="6"/>
        <v>4216378.8581734663</v>
      </c>
      <c r="J27" s="255">
        <f t="shared" si="7"/>
        <v>19</v>
      </c>
      <c r="K27" s="235">
        <f t="shared" si="7"/>
        <v>20</v>
      </c>
      <c r="L27" s="256">
        <f t="shared" si="17"/>
        <v>109</v>
      </c>
      <c r="M27" s="257">
        <f t="shared" si="17"/>
        <v>120</v>
      </c>
      <c r="O27"/>
      <c r="P27"/>
      <c r="Q27"/>
      <c r="R27" s="374"/>
      <c r="S27" s="374"/>
      <c r="T27" s="374"/>
      <c r="U27" s="255">
        <f t="shared" si="8"/>
        <v>10</v>
      </c>
      <c r="V27" s="258">
        <f t="shared" ca="1" si="9"/>
        <v>1445793.9646911542</v>
      </c>
      <c r="W27" s="258">
        <f t="shared" ca="1" si="10"/>
        <v>952826.99327065796</v>
      </c>
      <c r="X27" s="258">
        <f t="shared" ca="1" si="11"/>
        <v>492966.97142049624</v>
      </c>
      <c r="Y27" s="242">
        <f t="shared" ca="1" si="18"/>
        <v>17879924.826598585</v>
      </c>
      <c r="Z27" s="258">
        <v>480</v>
      </c>
      <c r="AA27" s="258">
        <f t="shared" ca="1" si="13"/>
        <v>14303.939861278868</v>
      </c>
      <c r="AB27" s="259">
        <f t="shared" ca="1" si="14"/>
        <v>1460577.9045524332</v>
      </c>
      <c r="AC27" s="374"/>
      <c r="AD27" s="255">
        <f t="shared" si="15"/>
        <v>9</v>
      </c>
      <c r="AE27" s="260">
        <v>0.01</v>
      </c>
      <c r="AF27" s="257">
        <f t="shared" ca="1" si="16"/>
        <v>183728.9179801908</v>
      </c>
      <c r="AG27" s="374"/>
      <c r="AH27" s="374"/>
      <c r="AI27" s="374"/>
      <c r="AJ27" s="374"/>
    </row>
    <row r="28" spans="2:38" ht="17" thickBot="1">
      <c r="B28" s="255">
        <f t="shared" si="1"/>
        <v>11</v>
      </c>
      <c r="C28" s="258">
        <f t="shared" ca="1" si="2"/>
        <v>4216378.8581734663</v>
      </c>
      <c r="D28" s="258">
        <f t="shared" ca="1" si="3"/>
        <v>2773319.8690441954</v>
      </c>
      <c r="E28" s="258">
        <f t="shared" ca="1" si="4"/>
        <v>1443058.9891292709</v>
      </c>
      <c r="F28" s="242">
        <f t="shared" ca="1" si="5"/>
        <v>49635787.914045177</v>
      </c>
      <c r="G28" s="242"/>
      <c r="H28" s="259">
        <f t="shared" ca="1" si="6"/>
        <v>4216378.8581734663</v>
      </c>
      <c r="J28" s="255">
        <f t="shared" si="7"/>
        <v>21</v>
      </c>
      <c r="K28" s="235">
        <f t="shared" si="7"/>
        <v>22</v>
      </c>
      <c r="L28" s="256">
        <f t="shared" si="17"/>
        <v>121</v>
      </c>
      <c r="M28" s="257">
        <f t="shared" si="17"/>
        <v>132</v>
      </c>
      <c r="O28"/>
      <c r="P28"/>
      <c r="Q28"/>
      <c r="U28" s="255">
        <f t="shared" si="8"/>
        <v>11</v>
      </c>
      <c r="V28" s="258">
        <f t="shared" ca="1" si="9"/>
        <v>1445793.9646911542</v>
      </c>
      <c r="W28" s="258">
        <f t="shared" ca="1" si="10"/>
        <v>926314.29945334129</v>
      </c>
      <c r="X28" s="258">
        <f t="shared" ca="1" si="11"/>
        <v>519479.66523781291</v>
      </c>
      <c r="Y28" s="242">
        <f t="shared" ca="1" si="18"/>
        <v>17360445.16136077</v>
      </c>
      <c r="Z28" s="258">
        <v>480</v>
      </c>
      <c r="AA28" s="258">
        <f t="shared" ca="1" si="13"/>
        <v>13888.356129088617</v>
      </c>
      <c r="AB28" s="259">
        <f t="shared" ca="1" si="14"/>
        <v>1460162.3208202429</v>
      </c>
      <c r="AD28" s="261">
        <f t="shared" si="15"/>
        <v>10</v>
      </c>
      <c r="AE28" s="262">
        <v>0.01</v>
      </c>
      <c r="AF28" s="263">
        <f t="shared" ca="1" si="16"/>
        <v>178799.24826598584</v>
      </c>
      <c r="AL28" s="264"/>
    </row>
    <row r="29" spans="2:38" ht="16">
      <c r="B29" s="255">
        <f t="shared" si="1"/>
        <v>12</v>
      </c>
      <c r="C29" s="258">
        <f t="shared" ca="1" si="2"/>
        <v>4216378.8581734663</v>
      </c>
      <c r="D29" s="258">
        <f t="shared" ca="1" si="3"/>
        <v>2691919.9990572995</v>
      </c>
      <c r="E29" s="258">
        <f t="shared" ca="1" si="4"/>
        <v>1524458.8591161668</v>
      </c>
      <c r="F29" s="242">
        <f t="shared" ca="1" si="5"/>
        <v>48111329.054929011</v>
      </c>
      <c r="G29" s="242"/>
      <c r="H29" s="259">
        <f t="shared" ca="1" si="6"/>
        <v>4216378.8581734663</v>
      </c>
      <c r="J29" s="255">
        <f t="shared" si="7"/>
        <v>23</v>
      </c>
      <c r="K29" s="235">
        <f t="shared" si="7"/>
        <v>24</v>
      </c>
      <c r="L29" s="256">
        <f t="shared" si="17"/>
        <v>133</v>
      </c>
      <c r="M29" s="257">
        <f t="shared" si="17"/>
        <v>144</v>
      </c>
      <c r="O29"/>
      <c r="P29"/>
      <c r="Q29"/>
      <c r="U29" s="255">
        <f t="shared" si="8"/>
        <v>12</v>
      </c>
      <c r="V29" s="258">
        <f t="shared" ca="1" si="9"/>
        <v>1445793.9646911542</v>
      </c>
      <c r="W29" s="258">
        <f t="shared" ca="1" si="10"/>
        <v>898375.70294030185</v>
      </c>
      <c r="X29" s="258">
        <f t="shared" ca="1" si="11"/>
        <v>547418.26175085234</v>
      </c>
      <c r="Y29" s="242">
        <f t="shared" ca="1" si="18"/>
        <v>16813026.89960992</v>
      </c>
      <c r="Z29" s="258">
        <v>480</v>
      </c>
      <c r="AA29" s="258">
        <f t="shared" ca="1" si="13"/>
        <v>13450.421519687936</v>
      </c>
      <c r="AB29" s="259">
        <f t="shared" ca="1" si="14"/>
        <v>1459724.3862108421</v>
      </c>
      <c r="AL29" s="264"/>
    </row>
    <row r="30" spans="2:38" ht="16">
      <c r="B30" s="255">
        <f t="shared" si="1"/>
        <v>13</v>
      </c>
      <c r="C30" s="258">
        <f t="shared" ca="1" si="2"/>
        <v>4216378.8581734663</v>
      </c>
      <c r="D30" s="258">
        <f t="shared" ca="1" si="3"/>
        <v>2605928.5365687828</v>
      </c>
      <c r="E30" s="258">
        <f t="shared" ca="1" si="4"/>
        <v>1610450.3216046835</v>
      </c>
      <c r="F30" s="242">
        <f t="shared" ca="1" si="5"/>
        <v>46500878.733324327</v>
      </c>
      <c r="G30" s="242"/>
      <c r="H30" s="259">
        <f t="shared" ca="1" si="6"/>
        <v>4216378.8581734663</v>
      </c>
      <c r="J30" s="255">
        <f t="shared" si="7"/>
        <v>25</v>
      </c>
      <c r="K30" s="235">
        <f t="shared" si="7"/>
        <v>26</v>
      </c>
      <c r="L30" s="256">
        <f t="shared" si="17"/>
        <v>145</v>
      </c>
      <c r="M30" s="257">
        <f t="shared" si="17"/>
        <v>156</v>
      </c>
      <c r="O30"/>
      <c r="P30"/>
      <c r="Q30"/>
      <c r="R30" s="374"/>
      <c r="S30" s="374"/>
      <c r="T30" s="374"/>
      <c r="U30" s="255">
        <f t="shared" si="8"/>
        <v>13</v>
      </c>
      <c r="V30" s="258">
        <f t="shared" ca="1" si="9"/>
        <v>1445793.9646911542</v>
      </c>
      <c r="W30" s="258">
        <f t="shared" ca="1" si="10"/>
        <v>868934.51599427382</v>
      </c>
      <c r="X30" s="258">
        <f t="shared" ca="1" si="11"/>
        <v>576859.44869688037</v>
      </c>
      <c r="Y30" s="242">
        <f t="shared" ca="1" si="18"/>
        <v>16236167.45091304</v>
      </c>
      <c r="Z30" s="258">
        <v>480</v>
      </c>
      <c r="AA30" s="258">
        <f t="shared" ca="1" si="13"/>
        <v>12988.933960730432</v>
      </c>
      <c r="AB30" s="259">
        <f t="shared" ca="1" si="14"/>
        <v>1459262.8986518846</v>
      </c>
      <c r="AC30" s="374"/>
      <c r="AG30" s="374"/>
      <c r="AH30" s="374"/>
      <c r="AI30" s="374"/>
      <c r="AJ30" s="374"/>
      <c r="AL30" s="264"/>
    </row>
    <row r="31" spans="2:38" ht="16">
      <c r="B31" s="255">
        <f t="shared" si="1"/>
        <v>14</v>
      </c>
      <c r="C31" s="258">
        <f t="shared" ca="1" si="2"/>
        <v>4216378.8581734663</v>
      </c>
      <c r="D31" s="258">
        <f t="shared" ca="1" si="3"/>
        <v>2515086.4796698652</v>
      </c>
      <c r="E31" s="258">
        <f t="shared" ca="1" si="4"/>
        <v>1701292.3785036011</v>
      </c>
      <c r="F31" s="242">
        <f t="shared" ca="1" si="5"/>
        <v>44799586.354820728</v>
      </c>
      <c r="G31" s="242"/>
      <c r="H31" s="259">
        <f t="shared" ca="1" si="6"/>
        <v>4216378.8581734663</v>
      </c>
      <c r="J31" s="255">
        <f t="shared" si="7"/>
        <v>27</v>
      </c>
      <c r="K31" s="235">
        <f t="shared" si="7"/>
        <v>28</v>
      </c>
      <c r="L31" s="256">
        <f t="shared" si="17"/>
        <v>157</v>
      </c>
      <c r="M31" s="257">
        <f t="shared" si="17"/>
        <v>168</v>
      </c>
      <c r="O31"/>
      <c r="P31"/>
      <c r="Q31"/>
      <c r="R31" s="374"/>
      <c r="S31" s="374"/>
      <c r="T31" s="374"/>
      <c r="U31" s="255">
        <f t="shared" si="8"/>
        <v>14</v>
      </c>
      <c r="V31" s="258">
        <f t="shared" ca="1" si="9"/>
        <v>1445793.9646911542</v>
      </c>
      <c r="W31" s="258">
        <f t="shared" ca="1" si="10"/>
        <v>837909.92646679282</v>
      </c>
      <c r="X31" s="258">
        <f t="shared" ca="1" si="11"/>
        <v>607884.03822436137</v>
      </c>
      <c r="Y31" s="242">
        <f t="shared" ca="1" si="18"/>
        <v>15628283.412688678</v>
      </c>
      <c r="Z31" s="258">
        <v>480</v>
      </c>
      <c r="AA31" s="258">
        <f t="shared" ca="1" si="13"/>
        <v>12502.626730150943</v>
      </c>
      <c r="AB31" s="259">
        <f t="shared" ca="1" si="14"/>
        <v>1458776.5914213052</v>
      </c>
      <c r="AC31" s="374"/>
      <c r="AD31" s="374"/>
      <c r="AE31" s="374"/>
      <c r="AF31" s="374"/>
      <c r="AG31" s="374"/>
      <c r="AH31" s="374"/>
      <c r="AI31" s="374"/>
      <c r="AJ31" s="374"/>
      <c r="AL31" s="264"/>
    </row>
    <row r="32" spans="2:38" ht="16">
      <c r="B32" s="255">
        <f t="shared" si="1"/>
        <v>15</v>
      </c>
      <c r="C32" s="258">
        <f t="shared" ca="1" si="2"/>
        <v>4216378.8581734663</v>
      </c>
      <c r="D32" s="258">
        <f t="shared" ca="1" si="3"/>
        <v>2419120.2167082587</v>
      </c>
      <c r="E32" s="258">
        <f t="shared" ca="1" si="4"/>
        <v>1797258.6414652076</v>
      </c>
      <c r="F32" s="242">
        <f t="shared" ca="1" si="5"/>
        <v>43002327.713355519</v>
      </c>
      <c r="G32" s="242"/>
      <c r="H32" s="259">
        <f t="shared" ca="1" si="6"/>
        <v>4216378.8581734663</v>
      </c>
      <c r="J32" s="255">
        <f t="shared" si="7"/>
        <v>29</v>
      </c>
      <c r="K32" s="235">
        <f t="shared" si="7"/>
        <v>30</v>
      </c>
      <c r="L32" s="256">
        <f t="shared" si="17"/>
        <v>169</v>
      </c>
      <c r="M32" s="257">
        <f t="shared" si="17"/>
        <v>180</v>
      </c>
      <c r="O32"/>
      <c r="P32"/>
      <c r="Q32"/>
      <c r="R32" s="374"/>
      <c r="S32" s="374"/>
      <c r="T32" s="374"/>
      <c r="U32" s="255">
        <f t="shared" si="8"/>
        <v>15</v>
      </c>
      <c r="V32" s="258">
        <f t="shared" ca="1" si="9"/>
        <v>1445793.9646911542</v>
      </c>
      <c r="W32" s="258">
        <f t="shared" ca="1" si="10"/>
        <v>805216.7759795785</v>
      </c>
      <c r="X32" s="258">
        <f t="shared" ca="1" si="11"/>
        <v>640577.1887115757</v>
      </c>
      <c r="Y32" s="242">
        <f t="shared" ca="1" si="18"/>
        <v>14987706.223977102</v>
      </c>
      <c r="Z32" s="258">
        <v>480</v>
      </c>
      <c r="AA32" s="258">
        <f t="shared" ca="1" si="13"/>
        <v>11990.164979181682</v>
      </c>
      <c r="AB32" s="259">
        <f t="shared" ca="1" si="14"/>
        <v>1458264.1296703359</v>
      </c>
      <c r="AC32" s="374"/>
      <c r="AD32" s="374"/>
      <c r="AE32" s="374"/>
      <c r="AF32" s="374"/>
      <c r="AG32" s="374"/>
      <c r="AH32" s="374"/>
      <c r="AI32" s="374"/>
      <c r="AJ32" s="374"/>
      <c r="AL32" s="264"/>
    </row>
    <row r="33" spans="2:38" ht="16">
      <c r="B33" s="255">
        <f t="shared" si="1"/>
        <v>16</v>
      </c>
      <c r="C33" s="258">
        <f t="shared" ca="1" si="2"/>
        <v>4216378.8581734663</v>
      </c>
      <c r="D33" s="258">
        <f t="shared" ca="1" si="3"/>
        <v>2317740.7021837924</v>
      </c>
      <c r="E33" s="258">
        <f t="shared" ca="1" si="4"/>
        <v>1898638.1559896739</v>
      </c>
      <c r="F33" s="242">
        <f t="shared" ca="1" si="5"/>
        <v>41103689.557365842</v>
      </c>
      <c r="G33" s="242"/>
      <c r="H33" s="259">
        <f t="shared" ca="1" si="6"/>
        <v>4216378.8581734663</v>
      </c>
      <c r="J33" s="255">
        <f t="shared" si="7"/>
        <v>31</v>
      </c>
      <c r="K33" s="235">
        <f t="shared" si="7"/>
        <v>32</v>
      </c>
      <c r="L33" s="256">
        <f t="shared" si="17"/>
        <v>181</v>
      </c>
      <c r="M33" s="257">
        <f t="shared" si="17"/>
        <v>192</v>
      </c>
      <c r="O33"/>
      <c r="P33"/>
      <c r="Q33"/>
      <c r="R33" s="374"/>
      <c r="S33" s="374"/>
      <c r="T33" s="374"/>
      <c r="U33" s="255">
        <f t="shared" si="8"/>
        <v>16</v>
      </c>
      <c r="V33" s="258">
        <f t="shared" ca="1" si="9"/>
        <v>1445793.9646911542</v>
      </c>
      <c r="W33" s="258">
        <f t="shared" ca="1" si="10"/>
        <v>770765.32617609715</v>
      </c>
      <c r="X33" s="258">
        <f t="shared" ca="1" si="11"/>
        <v>675028.63851505704</v>
      </c>
      <c r="Y33" s="242">
        <f t="shared" ca="1" si="18"/>
        <v>14312677.585462045</v>
      </c>
      <c r="Z33" s="258">
        <v>480</v>
      </c>
      <c r="AA33" s="258">
        <f t="shared" ca="1" si="13"/>
        <v>11450.142068369636</v>
      </c>
      <c r="AB33" s="259">
        <f t="shared" ca="1" si="14"/>
        <v>1457724.1067595237</v>
      </c>
      <c r="AC33" s="374"/>
      <c r="AD33" s="374"/>
      <c r="AE33" s="374"/>
      <c r="AF33" s="374"/>
      <c r="AG33" s="374"/>
      <c r="AH33" s="374"/>
      <c r="AI33" s="374"/>
      <c r="AJ33" s="374"/>
      <c r="AL33" s="264"/>
    </row>
    <row r="34" spans="2:38" ht="16">
      <c r="B34" s="255">
        <f t="shared" si="1"/>
        <v>17</v>
      </c>
      <c r="C34" s="258">
        <f t="shared" ca="1" si="2"/>
        <v>4216378.8581734663</v>
      </c>
      <c r="D34" s="258">
        <f t="shared" ca="1" si="3"/>
        <v>2210642.5861580763</v>
      </c>
      <c r="E34" s="258">
        <f t="shared" ca="1" si="4"/>
        <v>2005736.27201539</v>
      </c>
      <c r="F34" s="242">
        <f t="shared" ca="1" si="5"/>
        <v>39097953.285350449</v>
      </c>
      <c r="G34" s="242"/>
      <c r="H34" s="259">
        <f t="shared" ca="1" si="6"/>
        <v>4216378.8581734663</v>
      </c>
      <c r="J34" s="255">
        <f t="shared" si="7"/>
        <v>33</v>
      </c>
      <c r="K34" s="235">
        <f t="shared" si="7"/>
        <v>34</v>
      </c>
      <c r="L34" s="256">
        <f t="shared" si="17"/>
        <v>193</v>
      </c>
      <c r="M34" s="257">
        <f t="shared" si="17"/>
        <v>204</v>
      </c>
      <c r="O34"/>
      <c r="P34"/>
      <c r="Q34"/>
      <c r="R34" s="374"/>
      <c r="S34" s="374"/>
      <c r="T34" s="374"/>
      <c r="U34" s="255">
        <f t="shared" si="8"/>
        <v>17</v>
      </c>
      <c r="V34" s="258">
        <f t="shared" ca="1" si="9"/>
        <v>1445793.9646911542</v>
      </c>
      <c r="W34" s="258">
        <f t="shared" ca="1" si="10"/>
        <v>734461.01240168791</v>
      </c>
      <c r="X34" s="258">
        <f t="shared" ca="1" si="11"/>
        <v>711332.95228946628</v>
      </c>
      <c r="Y34" s="242">
        <f t="shared" ca="1" si="18"/>
        <v>13601344.633172579</v>
      </c>
      <c r="Z34" s="258">
        <v>480</v>
      </c>
      <c r="AA34" s="258">
        <f t="shared" ca="1" si="13"/>
        <v>10881.075706538064</v>
      </c>
      <c r="AB34" s="259">
        <f t="shared" ca="1" si="14"/>
        <v>1457155.0403976922</v>
      </c>
      <c r="AC34" s="374"/>
      <c r="AD34" s="374"/>
      <c r="AE34" s="374"/>
      <c r="AF34" s="374"/>
      <c r="AG34" s="374"/>
      <c r="AH34" s="374"/>
      <c r="AI34" s="374"/>
      <c r="AJ34" s="374"/>
      <c r="AL34" s="264"/>
    </row>
    <row r="35" spans="2:38" ht="16">
      <c r="B35" s="255">
        <f t="shared" si="1"/>
        <v>18</v>
      </c>
      <c r="C35" s="258">
        <f t="shared" ca="1" si="2"/>
        <v>4216378.8581734663</v>
      </c>
      <c r="D35" s="258">
        <f t="shared" ca="1" si="3"/>
        <v>2097503.2945560277</v>
      </c>
      <c r="E35" s="258">
        <f t="shared" ca="1" si="4"/>
        <v>2118875.5636174385</v>
      </c>
      <c r="F35" s="242">
        <f t="shared" ca="1" si="5"/>
        <v>36979077.721733011</v>
      </c>
      <c r="G35" s="242"/>
      <c r="H35" s="259">
        <f t="shared" ca="1" si="6"/>
        <v>4216378.8581734663</v>
      </c>
      <c r="J35" s="255">
        <f t="shared" ref="J35:K50" si="19">+J34+2</f>
        <v>35</v>
      </c>
      <c r="K35" s="235">
        <f t="shared" si="19"/>
        <v>36</v>
      </c>
      <c r="L35" s="256">
        <f t="shared" ref="L35:M50" si="20">+L34+12</f>
        <v>205</v>
      </c>
      <c r="M35" s="257">
        <f t="shared" si="20"/>
        <v>216</v>
      </c>
      <c r="O35"/>
      <c r="P35"/>
      <c r="Q35"/>
      <c r="R35" s="374"/>
      <c r="S35" s="374"/>
      <c r="T35" s="374"/>
      <c r="U35" s="255">
        <f t="shared" si="8"/>
        <v>18</v>
      </c>
      <c r="V35" s="258">
        <f t="shared" ca="1" si="9"/>
        <v>1445793.9646911542</v>
      </c>
      <c r="W35" s="258">
        <f t="shared" ca="1" si="10"/>
        <v>696204.18413614552</v>
      </c>
      <c r="X35" s="258">
        <f t="shared" ca="1" si="11"/>
        <v>749589.78055500868</v>
      </c>
      <c r="Y35" s="242">
        <f t="shared" ca="1" si="18"/>
        <v>12851754.852617571</v>
      </c>
      <c r="Z35" s="258">
        <v>480</v>
      </c>
      <c r="AA35" s="258">
        <f t="shared" ca="1" si="13"/>
        <v>10281.403882094057</v>
      </c>
      <c r="AB35" s="259">
        <f t="shared" ca="1" si="14"/>
        <v>1456555.3685732482</v>
      </c>
      <c r="AC35" s="374"/>
      <c r="AD35" s="374"/>
      <c r="AE35" s="374"/>
      <c r="AF35" s="374"/>
      <c r="AG35" s="374"/>
      <c r="AH35" s="374"/>
      <c r="AI35" s="374"/>
      <c r="AJ35" s="374"/>
      <c r="AL35" s="264"/>
    </row>
    <row r="36" spans="2:38" ht="16">
      <c r="B36" s="255">
        <f t="shared" si="1"/>
        <v>19</v>
      </c>
      <c r="C36" s="258">
        <f t="shared" ca="1" si="2"/>
        <v>4216378.8581734663</v>
      </c>
      <c r="D36" s="258">
        <f t="shared" ca="1" si="3"/>
        <v>1977982.0575891729</v>
      </c>
      <c r="E36" s="258">
        <f t="shared" ca="1" si="4"/>
        <v>2238396.8005842934</v>
      </c>
      <c r="F36" s="242">
        <f t="shared" ca="1" si="5"/>
        <v>34740680.921148717</v>
      </c>
      <c r="G36" s="242"/>
      <c r="H36" s="259">
        <f t="shared" ca="1" si="6"/>
        <v>4216378.8581734663</v>
      </c>
      <c r="J36" s="255">
        <f t="shared" si="19"/>
        <v>37</v>
      </c>
      <c r="K36" s="235">
        <f t="shared" si="19"/>
        <v>38</v>
      </c>
      <c r="L36" s="256">
        <f t="shared" si="20"/>
        <v>217</v>
      </c>
      <c r="M36" s="257">
        <f t="shared" si="20"/>
        <v>228</v>
      </c>
      <c r="O36"/>
      <c r="P36"/>
      <c r="Q36"/>
      <c r="R36" s="413"/>
      <c r="S36" s="413"/>
      <c r="T36" s="413"/>
      <c r="U36" s="255">
        <f t="shared" si="8"/>
        <v>19</v>
      </c>
      <c r="V36" s="258">
        <f t="shared" ca="1" si="9"/>
        <v>1445793.9646911542</v>
      </c>
      <c r="W36" s="258">
        <f t="shared" ca="1" si="10"/>
        <v>655889.83146627375</v>
      </c>
      <c r="X36" s="258">
        <f t="shared" ca="1" si="11"/>
        <v>789904.13322488044</v>
      </c>
      <c r="Y36" s="242">
        <f t="shared" ca="1" si="18"/>
        <v>12061850.719392691</v>
      </c>
      <c r="Z36" s="258">
        <v>480</v>
      </c>
      <c r="AA36" s="258">
        <f t="shared" ca="1" si="13"/>
        <v>9649.4805755141533</v>
      </c>
      <c r="AB36" s="259">
        <f t="shared" ca="1" si="14"/>
        <v>1455923.4452666685</v>
      </c>
      <c r="AC36" s="413"/>
      <c r="AD36" s="374"/>
      <c r="AE36" s="374"/>
      <c r="AF36" s="374"/>
      <c r="AG36" s="413"/>
      <c r="AH36" s="413"/>
      <c r="AI36" s="413"/>
      <c r="AJ36" s="413"/>
      <c r="AL36" s="264"/>
    </row>
    <row r="37" spans="2:38" ht="16">
      <c r="B37" s="255">
        <f t="shared" si="1"/>
        <v>20</v>
      </c>
      <c r="C37" s="258">
        <f t="shared" ca="1" si="2"/>
        <v>4216378.8581734663</v>
      </c>
      <c r="D37" s="258">
        <f t="shared" ca="1" si="3"/>
        <v>1851718.8833743851</v>
      </c>
      <c r="E37" s="258">
        <f t="shared" ca="1" si="4"/>
        <v>2364659.9747990812</v>
      </c>
      <c r="F37" s="242">
        <f t="shared" ca="1" si="5"/>
        <v>32376020.946349636</v>
      </c>
      <c r="G37" s="242"/>
      <c r="H37" s="259">
        <f t="shared" ca="1" si="6"/>
        <v>4216378.8581734663</v>
      </c>
      <c r="J37" s="255">
        <f t="shared" si="19"/>
        <v>39</v>
      </c>
      <c r="K37" s="235">
        <f t="shared" si="19"/>
        <v>40</v>
      </c>
      <c r="L37" s="256">
        <f t="shared" si="20"/>
        <v>229</v>
      </c>
      <c r="M37" s="257">
        <f t="shared" si="20"/>
        <v>240</v>
      </c>
      <c r="O37"/>
      <c r="P37"/>
      <c r="Q37"/>
      <c r="U37" s="255">
        <f t="shared" si="8"/>
        <v>20</v>
      </c>
      <c r="V37" s="258">
        <f t="shared" ca="1" si="9"/>
        <v>1445793.9646911542</v>
      </c>
      <c r="W37" s="258">
        <f t="shared" ca="1" si="10"/>
        <v>613407.29684761981</v>
      </c>
      <c r="X37" s="258">
        <f t="shared" ca="1" si="11"/>
        <v>832386.66784353438</v>
      </c>
      <c r="Y37" s="242">
        <f t="shared" ca="1" si="18"/>
        <v>11229464.051549157</v>
      </c>
      <c r="Z37" s="258">
        <v>480</v>
      </c>
      <c r="AA37" s="258">
        <f t="shared" ca="1" si="13"/>
        <v>8983.5712412393259</v>
      </c>
      <c r="AB37" s="259">
        <f t="shared" ca="1" si="14"/>
        <v>1455257.5359323935</v>
      </c>
      <c r="AD37" s="413"/>
      <c r="AE37" s="413"/>
      <c r="AF37" s="413"/>
      <c r="AL37" s="264"/>
    </row>
    <row r="38" spans="2:38" ht="16">
      <c r="B38" s="255">
        <f t="shared" si="1"/>
        <v>21</v>
      </c>
      <c r="C38" s="258">
        <f t="shared" ca="1" si="2"/>
        <v>4216378.8581734663</v>
      </c>
      <c r="D38" s="258">
        <f t="shared" ca="1" si="3"/>
        <v>1718333.4736566548</v>
      </c>
      <c r="E38" s="258">
        <f t="shared" ca="1" si="4"/>
        <v>2498045.3845168115</v>
      </c>
      <c r="F38" s="242">
        <f t="shared" ca="1" si="5"/>
        <v>29877975.561832823</v>
      </c>
      <c r="G38" s="242"/>
      <c r="H38" s="259">
        <f t="shared" ca="1" si="6"/>
        <v>4216378.8581734663</v>
      </c>
      <c r="J38" s="255">
        <f t="shared" si="19"/>
        <v>41</v>
      </c>
      <c r="K38" s="235">
        <f t="shared" si="19"/>
        <v>42</v>
      </c>
      <c r="L38" s="256">
        <f t="shared" si="20"/>
        <v>241</v>
      </c>
      <c r="M38" s="257">
        <f t="shared" si="20"/>
        <v>252</v>
      </c>
      <c r="O38"/>
      <c r="P38"/>
      <c r="Q38"/>
      <c r="U38" s="255">
        <f t="shared" si="8"/>
        <v>21</v>
      </c>
      <c r="V38" s="258">
        <f t="shared" ca="1" si="9"/>
        <v>1445793.9646911542</v>
      </c>
      <c r="W38" s="258">
        <f t="shared" ca="1" si="10"/>
        <v>568639.97136421001</v>
      </c>
      <c r="X38" s="258">
        <f t="shared" ca="1" si="11"/>
        <v>877153.99332694418</v>
      </c>
      <c r="Y38" s="242">
        <f t="shared" ca="1" si="18"/>
        <v>10352310.058222214</v>
      </c>
      <c r="Z38" s="258">
        <v>480</v>
      </c>
      <c r="AA38" s="258">
        <f t="shared" ca="1" si="13"/>
        <v>8281.848046577772</v>
      </c>
      <c r="AB38" s="259">
        <f t="shared" ca="1" si="14"/>
        <v>1454555.812737732</v>
      </c>
      <c r="AL38" s="264"/>
    </row>
    <row r="39" spans="2:38" ht="16">
      <c r="B39" s="255">
        <f t="shared" si="1"/>
        <v>22</v>
      </c>
      <c r="C39" s="258">
        <f t="shared" ca="1" si="2"/>
        <v>4216378.8581734663</v>
      </c>
      <c r="D39" s="258">
        <f t="shared" ca="1" si="3"/>
        <v>1577424.0783700994</v>
      </c>
      <c r="E39" s="258">
        <f t="shared" ca="1" si="4"/>
        <v>2638954.7798033669</v>
      </c>
      <c r="F39" s="242">
        <f t="shared" ca="1" si="5"/>
        <v>27239020.782029457</v>
      </c>
      <c r="G39" s="242"/>
      <c r="H39" s="259">
        <f t="shared" ca="1" si="6"/>
        <v>4216378.8581734663</v>
      </c>
      <c r="J39" s="255">
        <f t="shared" si="19"/>
        <v>43</v>
      </c>
      <c r="K39" s="235">
        <f t="shared" si="19"/>
        <v>44</v>
      </c>
      <c r="L39" s="256">
        <f t="shared" si="20"/>
        <v>253</v>
      </c>
      <c r="M39" s="257">
        <f t="shared" si="20"/>
        <v>264</v>
      </c>
      <c r="O39"/>
      <c r="P39"/>
      <c r="Q39"/>
      <c r="U39" s="255">
        <f t="shared" si="8"/>
        <v>22</v>
      </c>
      <c r="V39" s="258">
        <f t="shared" ca="1" si="9"/>
        <v>1445793.9646911542</v>
      </c>
      <c r="W39" s="258">
        <f t="shared" ca="1" si="10"/>
        <v>521464.97465256031</v>
      </c>
      <c r="X39" s="258">
        <f t="shared" ca="1" si="11"/>
        <v>924328.99003859388</v>
      </c>
      <c r="Y39" s="242">
        <f t="shared" ca="1" si="18"/>
        <v>9427981.0681836195</v>
      </c>
      <c r="Z39" s="258">
        <v>480</v>
      </c>
      <c r="AA39" s="258">
        <f t="shared" ca="1" si="13"/>
        <v>7542.3848545468963</v>
      </c>
      <c r="AB39" s="259">
        <f t="shared" ca="1" si="14"/>
        <v>1453816.3495457012</v>
      </c>
      <c r="AL39" s="264"/>
    </row>
    <row r="40" spans="2:38" ht="16">
      <c r="B40" s="255">
        <f t="shared" si="1"/>
        <v>23</v>
      </c>
      <c r="C40" s="258">
        <f t="shared" ca="1" si="2"/>
        <v>4216378.8581734663</v>
      </c>
      <c r="D40" s="258">
        <f t="shared" ca="1" si="3"/>
        <v>1428566.2855872102</v>
      </c>
      <c r="E40" s="258">
        <f t="shared" ca="1" si="4"/>
        <v>2787812.5725862561</v>
      </c>
      <c r="F40" s="242">
        <f t="shared" ca="1" si="5"/>
        <v>24451208.2094432</v>
      </c>
      <c r="G40" s="242"/>
      <c r="H40" s="259">
        <f t="shared" ca="1" si="6"/>
        <v>4216378.8581734663</v>
      </c>
      <c r="J40" s="255">
        <f t="shared" si="19"/>
        <v>45</v>
      </c>
      <c r="K40" s="235">
        <f t="shared" si="19"/>
        <v>46</v>
      </c>
      <c r="L40" s="256">
        <f t="shared" si="20"/>
        <v>265</v>
      </c>
      <c r="M40" s="257">
        <f t="shared" si="20"/>
        <v>276</v>
      </c>
      <c r="O40"/>
      <c r="P40"/>
      <c r="Q40"/>
      <c r="U40" s="255">
        <f t="shared" si="8"/>
        <v>23</v>
      </c>
      <c r="V40" s="258">
        <f t="shared" ca="1" si="9"/>
        <v>1445793.9646911542</v>
      </c>
      <c r="W40" s="258">
        <f t="shared" ca="1" si="10"/>
        <v>471752.81761139631</v>
      </c>
      <c r="X40" s="258">
        <f t="shared" ca="1" si="11"/>
        <v>974041.14707975788</v>
      </c>
      <c r="Y40" s="242">
        <f t="shared" ca="1" si="18"/>
        <v>8453939.9211038612</v>
      </c>
      <c r="Z40" s="258">
        <v>480</v>
      </c>
      <c r="AA40" s="258">
        <f t="shared" ca="1" si="13"/>
        <v>6763.1519368830895</v>
      </c>
      <c r="AB40" s="259">
        <f t="shared" ca="1" si="14"/>
        <v>1453037.1166280373</v>
      </c>
      <c r="AL40" s="264"/>
    </row>
    <row r="41" spans="2:38" ht="14" thickBot="1">
      <c r="B41" s="255">
        <f t="shared" si="1"/>
        <v>24</v>
      </c>
      <c r="C41" s="258">
        <f t="shared" ca="1" si="2"/>
        <v>4216378.8581734663</v>
      </c>
      <c r="D41" s="258">
        <f t="shared" ca="1" si="3"/>
        <v>1271311.7432117243</v>
      </c>
      <c r="E41" s="258">
        <f t="shared" ca="1" si="4"/>
        <v>2945067.114961742</v>
      </c>
      <c r="F41" s="242">
        <f t="shared" ca="1" si="5"/>
        <v>21506141.094481457</v>
      </c>
      <c r="G41" s="242"/>
      <c r="H41" s="259">
        <f t="shared" ca="1" si="6"/>
        <v>4216378.8581734663</v>
      </c>
      <c r="J41" s="255">
        <f t="shared" si="19"/>
        <v>47</v>
      </c>
      <c r="K41" s="235">
        <f t="shared" si="19"/>
        <v>48</v>
      </c>
      <c r="L41" s="256">
        <f t="shared" si="20"/>
        <v>277</v>
      </c>
      <c r="M41" s="257">
        <f t="shared" si="20"/>
        <v>288</v>
      </c>
      <c r="U41" s="261">
        <v>24</v>
      </c>
      <c r="V41" s="265">
        <f t="shared" ca="1" si="9"/>
        <v>1445793.9646911542</v>
      </c>
      <c r="W41" s="265">
        <f t="shared" ca="1" si="10"/>
        <v>419367.04697126651</v>
      </c>
      <c r="X41" s="265">
        <f t="shared" ca="1" si="11"/>
        <v>1026426.9177198877</v>
      </c>
      <c r="Y41" s="247">
        <f ca="1">Y40-X41</f>
        <v>7427513.0033839736</v>
      </c>
      <c r="Z41" s="265">
        <v>480</v>
      </c>
      <c r="AA41" s="265">
        <f t="shared" ca="1" si="13"/>
        <v>5942.0104027071793</v>
      </c>
      <c r="AB41" s="263">
        <f t="shared" ca="1" si="14"/>
        <v>1452215.9750938613</v>
      </c>
      <c r="AL41" s="264"/>
    </row>
    <row r="42" spans="2:38">
      <c r="B42" s="255">
        <f t="shared" si="1"/>
        <v>25</v>
      </c>
      <c r="C42" s="258">
        <f t="shared" ca="1" si="2"/>
        <v>4216378.8581734663</v>
      </c>
      <c r="D42" s="258">
        <f t="shared" ca="1" si="3"/>
        <v>1105186.8085649312</v>
      </c>
      <c r="E42" s="258">
        <f t="shared" ca="1" si="4"/>
        <v>3111192.0496085351</v>
      </c>
      <c r="F42" s="242">
        <f t="shared" ca="1" si="5"/>
        <v>18394949.044872921</v>
      </c>
      <c r="G42" s="242"/>
      <c r="H42" s="259">
        <f t="shared" ca="1" si="6"/>
        <v>4216378.8581734663</v>
      </c>
      <c r="J42" s="255">
        <f t="shared" si="19"/>
        <v>49</v>
      </c>
      <c r="K42" s="235">
        <f t="shared" si="19"/>
        <v>50</v>
      </c>
      <c r="L42" s="256">
        <f t="shared" si="20"/>
        <v>289</v>
      </c>
      <c r="M42" s="257">
        <f t="shared" si="20"/>
        <v>300</v>
      </c>
      <c r="AL42" s="264"/>
    </row>
    <row r="43" spans="2:38">
      <c r="B43" s="255">
        <f t="shared" si="1"/>
        <v>26</v>
      </c>
      <c r="C43" s="258">
        <f t="shared" ca="1" si="2"/>
        <v>4216378.8581734663</v>
      </c>
      <c r="D43" s="258">
        <f t="shared" ca="1" si="3"/>
        <v>929691.12179802544</v>
      </c>
      <c r="E43" s="258">
        <f t="shared" ca="1" si="4"/>
        <v>3286687.7363754408</v>
      </c>
      <c r="F43" s="242">
        <f t="shared" ca="1" si="5"/>
        <v>15108261.308497481</v>
      </c>
      <c r="G43" s="242"/>
      <c r="H43" s="259">
        <f t="shared" ca="1" si="6"/>
        <v>4216378.8581734663</v>
      </c>
      <c r="J43" s="255">
        <f t="shared" si="19"/>
        <v>51</v>
      </c>
      <c r="K43" s="235">
        <f t="shared" si="19"/>
        <v>52</v>
      </c>
      <c r="L43" s="256">
        <f t="shared" si="20"/>
        <v>301</v>
      </c>
      <c r="M43" s="257">
        <f t="shared" si="20"/>
        <v>312</v>
      </c>
      <c r="AL43" s="264"/>
    </row>
    <row r="44" spans="2:38">
      <c r="B44" s="255">
        <f t="shared" si="1"/>
        <v>27</v>
      </c>
      <c r="C44" s="258">
        <f t="shared" ca="1" si="2"/>
        <v>4216378.8581734663</v>
      </c>
      <c r="D44" s="258">
        <f t="shared" ca="1" si="3"/>
        <v>744296.09883370856</v>
      </c>
      <c r="E44" s="258">
        <f t="shared" ca="1" si="4"/>
        <v>3472082.7593397577</v>
      </c>
      <c r="F44" s="242">
        <f t="shared" ca="1" si="5"/>
        <v>11636178.549157724</v>
      </c>
      <c r="G44" s="242"/>
      <c r="H44" s="259">
        <f t="shared" ca="1" si="6"/>
        <v>4216378.8581734663</v>
      </c>
      <c r="J44" s="255">
        <f t="shared" si="19"/>
        <v>53</v>
      </c>
      <c r="K44" s="235">
        <f t="shared" si="19"/>
        <v>54</v>
      </c>
      <c r="L44" s="256">
        <f t="shared" si="20"/>
        <v>313</v>
      </c>
      <c r="M44" s="257">
        <f t="shared" si="20"/>
        <v>324</v>
      </c>
      <c r="AL44" s="264"/>
    </row>
    <row r="45" spans="2:38">
      <c r="B45" s="255">
        <f t="shared" si="1"/>
        <v>28</v>
      </c>
      <c r="C45" s="258">
        <f t="shared" ca="1" si="2"/>
        <v>4216378.8581734663</v>
      </c>
      <c r="D45" s="258">
        <f t="shared" ca="1" si="3"/>
        <v>548443.33929784643</v>
      </c>
      <c r="E45" s="258">
        <f t="shared" ca="1" si="4"/>
        <v>3667935.5188756199</v>
      </c>
      <c r="F45" s="242">
        <f t="shared" ca="1" si="5"/>
        <v>7968243.0302821044</v>
      </c>
      <c r="G45" s="242"/>
      <c r="H45" s="259">
        <f t="shared" ca="1" si="6"/>
        <v>4216378.8581734663</v>
      </c>
      <c r="J45" s="255">
        <f t="shared" si="19"/>
        <v>55</v>
      </c>
      <c r="K45" s="235">
        <f t="shared" si="19"/>
        <v>56</v>
      </c>
      <c r="L45" s="256">
        <f t="shared" si="20"/>
        <v>325</v>
      </c>
      <c r="M45" s="257">
        <f t="shared" si="20"/>
        <v>336</v>
      </c>
      <c r="AL45" s="264"/>
    </row>
    <row r="46" spans="2:38">
      <c r="B46" s="255">
        <f t="shared" si="1"/>
        <v>29</v>
      </c>
      <c r="C46" s="258">
        <f t="shared" ca="1" si="2"/>
        <v>4216378.8581734663</v>
      </c>
      <c r="D46" s="258">
        <f t="shared" ca="1" si="3"/>
        <v>341542.94464596454</v>
      </c>
      <c r="E46" s="258">
        <f t="shared" ca="1" si="4"/>
        <v>3874835.9135275017</v>
      </c>
      <c r="F46" s="242">
        <f t="shared" ca="1" si="5"/>
        <v>4093407.1167546026</v>
      </c>
      <c r="G46" s="242"/>
      <c r="H46" s="259">
        <f t="shared" ca="1" si="6"/>
        <v>4216378.8581734663</v>
      </c>
      <c r="J46" s="255">
        <f t="shared" si="19"/>
        <v>57</v>
      </c>
      <c r="K46" s="235">
        <f t="shared" si="19"/>
        <v>58</v>
      </c>
      <c r="L46" s="256">
        <f t="shared" si="20"/>
        <v>337</v>
      </c>
      <c r="M46" s="257">
        <f t="shared" si="20"/>
        <v>348</v>
      </c>
      <c r="AL46" s="264"/>
    </row>
    <row r="47" spans="2:38">
      <c r="B47" s="255">
        <f t="shared" si="1"/>
        <v>30</v>
      </c>
      <c r="C47" s="258">
        <f t="shared" ca="1" si="2"/>
        <v>4216378.8581734663</v>
      </c>
      <c r="D47" s="258">
        <f t="shared" ca="1" si="3"/>
        <v>122971.74141884688</v>
      </c>
      <c r="E47" s="258">
        <f t="shared" ca="1" si="4"/>
        <v>4093407.1167546194</v>
      </c>
      <c r="F47" s="242">
        <f t="shared" ca="1" si="5"/>
        <v>-1.6763806343078613E-8</v>
      </c>
      <c r="G47" s="242"/>
      <c r="H47" s="259">
        <f t="shared" ca="1" si="6"/>
        <v>4216378.8581734663</v>
      </c>
      <c r="J47" s="255">
        <f t="shared" si="19"/>
        <v>59</v>
      </c>
      <c r="K47" s="235">
        <f t="shared" si="19"/>
        <v>60</v>
      </c>
      <c r="L47" s="256">
        <f t="shared" si="20"/>
        <v>349</v>
      </c>
      <c r="M47" s="257">
        <f t="shared" si="20"/>
        <v>360</v>
      </c>
      <c r="AL47" s="264"/>
    </row>
    <row r="48" spans="2:38">
      <c r="B48" s="255">
        <f t="shared" si="1"/>
        <v>31</v>
      </c>
      <c r="C48" s="258">
        <f t="shared" si="2"/>
        <v>0</v>
      </c>
      <c r="D48" s="258">
        <f t="shared" ca="1" si="3"/>
        <v>-9.7567126864478707E-10</v>
      </c>
      <c r="E48" s="258">
        <f t="shared" ca="1" si="4"/>
        <v>9.7567126864478707E-10</v>
      </c>
      <c r="F48" s="242">
        <f t="shared" ca="1" si="5"/>
        <v>-1.77394776117234E-8</v>
      </c>
      <c r="G48" s="242"/>
      <c r="H48" s="259">
        <f t="shared" ca="1" si="6"/>
        <v>0</v>
      </c>
      <c r="J48" s="255">
        <f t="shared" si="19"/>
        <v>61</v>
      </c>
      <c r="K48" s="235">
        <f t="shared" si="19"/>
        <v>62</v>
      </c>
      <c r="L48" s="256">
        <f t="shared" si="20"/>
        <v>361</v>
      </c>
      <c r="M48" s="257">
        <f t="shared" si="20"/>
        <v>372</v>
      </c>
      <c r="AL48" s="264"/>
    </row>
    <row r="49" spans="2:51">
      <c r="B49" s="255">
        <f t="shared" si="1"/>
        <v>32</v>
      </c>
      <c r="C49" s="258">
        <f t="shared" si="2"/>
        <v>0</v>
      </c>
      <c r="D49" s="258">
        <f t="shared" ca="1" si="3"/>
        <v>-1.0324563689362827E-9</v>
      </c>
      <c r="E49" s="258">
        <f t="shared" ca="1" si="4"/>
        <v>1.0324563689362827E-9</v>
      </c>
      <c r="F49" s="242">
        <f t="shared" ca="1" si="5"/>
        <v>-1.8771933980659683E-8</v>
      </c>
      <c r="G49" s="242"/>
      <c r="H49" s="259">
        <f t="shared" ca="1" si="6"/>
        <v>0</v>
      </c>
      <c r="J49" s="255">
        <f t="shared" si="19"/>
        <v>63</v>
      </c>
      <c r="K49" s="235">
        <f t="shared" si="19"/>
        <v>64</v>
      </c>
      <c r="L49" s="256">
        <f t="shared" si="20"/>
        <v>373</v>
      </c>
      <c r="M49" s="257">
        <f t="shared" si="20"/>
        <v>384</v>
      </c>
      <c r="AL49" s="264"/>
    </row>
    <row r="50" spans="2:51">
      <c r="B50" s="255">
        <f t="shared" si="1"/>
        <v>33</v>
      </c>
      <c r="C50" s="258">
        <f t="shared" si="2"/>
        <v>0</v>
      </c>
      <c r="D50" s="258">
        <f t="shared" ca="1" si="3"/>
        <v>-1.0925464221547963E-9</v>
      </c>
      <c r="E50" s="258">
        <f t="shared" ca="1" si="4"/>
        <v>1.0925464221547963E-9</v>
      </c>
      <c r="F50" s="242">
        <f t="shared" ca="1" si="5"/>
        <v>-1.9864480402814478E-8</v>
      </c>
      <c r="G50" s="242"/>
      <c r="H50" s="259">
        <f t="shared" ca="1" si="6"/>
        <v>0</v>
      </c>
      <c r="J50" s="255">
        <f t="shared" si="19"/>
        <v>65</v>
      </c>
      <c r="K50" s="235">
        <f t="shared" si="19"/>
        <v>66</v>
      </c>
      <c r="L50" s="256">
        <f t="shared" si="20"/>
        <v>385</v>
      </c>
      <c r="M50" s="257">
        <f t="shared" si="20"/>
        <v>396</v>
      </c>
      <c r="AL50" s="264"/>
    </row>
    <row r="51" spans="2:51">
      <c r="B51" s="255">
        <f t="shared" si="1"/>
        <v>34</v>
      </c>
      <c r="C51" s="258">
        <f t="shared" si="2"/>
        <v>0</v>
      </c>
      <c r="D51" s="258">
        <f t="shared" ca="1" si="3"/>
        <v>-1.1561337800579855E-9</v>
      </c>
      <c r="E51" s="258">
        <f t="shared" ca="1" si="4"/>
        <v>1.1561337800579855E-9</v>
      </c>
      <c r="F51" s="242">
        <f t="shared" ca="1" si="5"/>
        <v>-2.1020614182872464E-8</v>
      </c>
      <c r="G51" s="242"/>
      <c r="H51" s="259">
        <f t="shared" ca="1" si="6"/>
        <v>0</v>
      </c>
      <c r="J51" s="255">
        <f t="shared" ref="J51:K57" si="21">+J50+2</f>
        <v>67</v>
      </c>
      <c r="K51" s="235">
        <f t="shared" si="21"/>
        <v>68</v>
      </c>
      <c r="L51" s="256">
        <f t="shared" ref="L51:M57" si="22">+L50+12</f>
        <v>397</v>
      </c>
      <c r="M51" s="257">
        <f t="shared" si="22"/>
        <v>408</v>
      </c>
      <c r="AL51" s="264"/>
    </row>
    <row r="52" spans="2:51">
      <c r="B52" s="255">
        <f t="shared" si="1"/>
        <v>35</v>
      </c>
      <c r="C52" s="258">
        <f t="shared" si="2"/>
        <v>0</v>
      </c>
      <c r="D52" s="258">
        <f t="shared" ca="1" si="3"/>
        <v>-1.2234219894793499E-9</v>
      </c>
      <c r="E52" s="258">
        <f t="shared" ca="1" si="4"/>
        <v>1.2234219894793499E-9</v>
      </c>
      <c r="F52" s="242">
        <f t="shared" ca="1" si="5"/>
        <v>-2.2244036172351814E-8</v>
      </c>
      <c r="G52" s="242"/>
      <c r="H52" s="259">
        <f t="shared" ca="1" si="6"/>
        <v>0</v>
      </c>
      <c r="J52" s="255">
        <f t="shared" si="21"/>
        <v>69</v>
      </c>
      <c r="K52" s="235">
        <f t="shared" si="21"/>
        <v>70</v>
      </c>
      <c r="L52" s="256">
        <f t="shared" si="22"/>
        <v>409</v>
      </c>
      <c r="M52" s="257">
        <f t="shared" si="22"/>
        <v>420</v>
      </c>
      <c r="AL52" s="264"/>
    </row>
    <row r="53" spans="2:51">
      <c r="B53" s="255">
        <f t="shared" si="1"/>
        <v>36</v>
      </c>
      <c r="C53" s="258">
        <f t="shared" si="2"/>
        <v>0</v>
      </c>
      <c r="D53" s="258">
        <f t="shared" ca="1" si="3"/>
        <v>-1.2946264438934918E-9</v>
      </c>
      <c r="E53" s="258">
        <f t="shared" ca="1" si="4"/>
        <v>1.2946264438934918E-9</v>
      </c>
      <c r="F53" s="242">
        <f t="shared" ca="1" si="5"/>
        <v>-2.3538662616245306E-8</v>
      </c>
      <c r="G53" s="242"/>
      <c r="H53" s="259">
        <f t="shared" ca="1" si="6"/>
        <v>0</v>
      </c>
      <c r="J53" s="255">
        <f t="shared" si="21"/>
        <v>71</v>
      </c>
      <c r="K53" s="235">
        <f t="shared" si="21"/>
        <v>72</v>
      </c>
      <c r="L53" s="256">
        <f t="shared" si="22"/>
        <v>421</v>
      </c>
      <c r="M53" s="257">
        <f t="shared" si="22"/>
        <v>432</v>
      </c>
      <c r="AL53" s="264"/>
    </row>
    <row r="54" spans="2:51">
      <c r="B54" s="255">
        <f t="shared" si="1"/>
        <v>37</v>
      </c>
      <c r="C54" s="258">
        <f t="shared" si="2"/>
        <v>0</v>
      </c>
      <c r="D54" s="258">
        <f t="shared" ca="1" si="3"/>
        <v>-1.3699750729031659E-9</v>
      </c>
      <c r="E54" s="258">
        <f t="shared" ca="1" si="4"/>
        <v>1.3699750729031659E-9</v>
      </c>
      <c r="F54" s="242">
        <f t="shared" ca="1" si="5"/>
        <v>-2.4908637689148473E-8</v>
      </c>
      <c r="G54" s="242"/>
      <c r="H54" s="259">
        <f t="shared" ca="1" si="6"/>
        <v>0</v>
      </c>
      <c r="J54" s="255">
        <f t="shared" si="21"/>
        <v>73</v>
      </c>
      <c r="K54" s="235">
        <f t="shared" si="21"/>
        <v>74</v>
      </c>
      <c r="L54" s="256">
        <f t="shared" si="22"/>
        <v>433</v>
      </c>
      <c r="M54" s="257">
        <f t="shared" si="22"/>
        <v>444</v>
      </c>
      <c r="AL54" s="264"/>
    </row>
    <row r="55" spans="2:51">
      <c r="B55" s="255">
        <f t="shared" si="1"/>
        <v>38</v>
      </c>
      <c r="C55" s="258">
        <f t="shared" si="2"/>
        <v>0</v>
      </c>
      <c r="D55" s="258">
        <f t="shared" ca="1" si="3"/>
        <v>-1.4497090718552021E-9</v>
      </c>
      <c r="E55" s="258">
        <f t="shared" ca="1" si="4"/>
        <v>1.4497090718552021E-9</v>
      </c>
      <c r="F55" s="242">
        <f t="shared" ca="1" si="5"/>
        <v>-2.6358346761003673E-8</v>
      </c>
      <c r="G55" s="242"/>
      <c r="H55" s="259">
        <f t="shared" ca="1" si="6"/>
        <v>0</v>
      </c>
      <c r="J55" s="255">
        <f t="shared" si="21"/>
        <v>75</v>
      </c>
      <c r="K55" s="235">
        <f t="shared" si="21"/>
        <v>76</v>
      </c>
      <c r="L55" s="256">
        <f t="shared" si="22"/>
        <v>445</v>
      </c>
      <c r="M55" s="257">
        <f t="shared" si="22"/>
        <v>456</v>
      </c>
      <c r="AL55" s="264"/>
    </row>
    <row r="56" spans="2:51">
      <c r="B56" s="255">
        <f t="shared" si="1"/>
        <v>39</v>
      </c>
      <c r="C56" s="258">
        <f t="shared" si="2"/>
        <v>0</v>
      </c>
      <c r="D56" s="258">
        <f t="shared" ca="1" si="3"/>
        <v>-1.5340836739208487E-9</v>
      </c>
      <c r="E56" s="258">
        <f t="shared" ca="1" si="4"/>
        <v>1.5340836739208487E-9</v>
      </c>
      <c r="F56" s="242">
        <f t="shared" ca="1" si="5"/>
        <v>-2.7892430434924522E-8</v>
      </c>
      <c r="G56" s="242"/>
      <c r="H56" s="259">
        <f t="shared" ca="1" si="6"/>
        <v>0</v>
      </c>
      <c r="J56" s="255">
        <f t="shared" si="21"/>
        <v>77</v>
      </c>
      <c r="K56" s="235">
        <f t="shared" si="21"/>
        <v>78</v>
      </c>
      <c r="L56" s="256">
        <f t="shared" si="22"/>
        <v>457</v>
      </c>
      <c r="M56" s="257">
        <f t="shared" si="22"/>
        <v>468</v>
      </c>
      <c r="AL56" s="264"/>
    </row>
    <row r="57" spans="2:51" ht="14" thickBot="1">
      <c r="B57" s="261">
        <f t="shared" si="1"/>
        <v>40</v>
      </c>
      <c r="C57" s="265">
        <f t="shared" si="2"/>
        <v>0</v>
      </c>
      <c r="D57" s="265">
        <f t="shared" ca="1" si="3"/>
        <v>-1.6233689671120092E-9</v>
      </c>
      <c r="E57" s="265">
        <f t="shared" ca="1" si="4"/>
        <v>1.6233689671120092E-9</v>
      </c>
      <c r="F57" s="247">
        <f t="shared" ca="1" si="5"/>
        <v>-2.9515799402036532E-8</v>
      </c>
      <c r="G57" s="247"/>
      <c r="H57" s="263">
        <f t="shared" ca="1" si="6"/>
        <v>0</v>
      </c>
      <c r="J57" s="261">
        <f t="shared" si="21"/>
        <v>79</v>
      </c>
      <c r="K57" s="265">
        <f t="shared" si="21"/>
        <v>80</v>
      </c>
      <c r="L57" s="266">
        <f t="shared" si="22"/>
        <v>469</v>
      </c>
      <c r="M57" s="263">
        <f t="shared" si="22"/>
        <v>480</v>
      </c>
      <c r="AL57" s="264"/>
    </row>
    <row r="58" spans="2:51">
      <c r="AL58" s="264"/>
    </row>
    <row r="59" spans="2:51">
      <c r="AL59" s="264"/>
    </row>
    <row r="60" spans="2:51" ht="16">
      <c r="B60"/>
      <c r="C60"/>
      <c r="D60"/>
      <c r="E60"/>
      <c r="F60"/>
      <c r="G60"/>
      <c r="AL60" s="264"/>
      <c r="AX60" s="264"/>
      <c r="AY60" s="267"/>
    </row>
    <row r="61" spans="2:51" ht="16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G61"/>
      <c r="AH61"/>
      <c r="AI61"/>
      <c r="AJ61"/>
      <c r="AK61"/>
      <c r="AL61"/>
      <c r="AX61" s="264"/>
      <c r="AY61" s="267"/>
    </row>
    <row r="62" spans="2:51" ht="16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X62" s="264"/>
      <c r="AY62" s="267"/>
    </row>
    <row r="63" spans="2:51" ht="16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X63" s="264"/>
      <c r="AY63" s="267"/>
    </row>
    <row r="64" spans="2:51" ht="16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X64" s="264"/>
      <c r="AY64" s="267"/>
    </row>
    <row r="65" spans="2:51" ht="16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X65" s="264"/>
      <c r="AY65" s="267"/>
    </row>
    <row r="66" spans="2:51" ht="16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X66" s="264"/>
      <c r="AY66" s="267"/>
    </row>
    <row r="67" spans="2:51" ht="16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X67" s="264"/>
      <c r="AY67" s="267"/>
    </row>
    <row r="68" spans="2:51" ht="16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X68" s="264"/>
      <c r="AY68" s="267"/>
    </row>
    <row r="69" spans="2:51" ht="16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X69" s="264"/>
      <c r="AY69" s="267"/>
    </row>
    <row r="70" spans="2:51" ht="16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X70" s="264"/>
      <c r="AY70" s="267"/>
    </row>
    <row r="71" spans="2:51" ht="16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X71" s="264"/>
      <c r="AY71" s="267"/>
    </row>
    <row r="72" spans="2:51" ht="16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X72" s="264"/>
      <c r="AY72" s="267"/>
    </row>
    <row r="73" spans="2:51" ht="16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X73" s="264"/>
      <c r="AY73" s="267"/>
    </row>
    <row r="74" spans="2:51" ht="16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X74" s="264"/>
      <c r="AY74" s="267"/>
    </row>
    <row r="75" spans="2:51" ht="16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X75" s="264"/>
      <c r="AY75" s="267"/>
    </row>
    <row r="76" spans="2:51" ht="16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X76" s="264"/>
      <c r="AY76" s="267"/>
    </row>
    <row r="77" spans="2:51" ht="16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X77" s="264"/>
      <c r="AY77" s="267"/>
    </row>
    <row r="78" spans="2:51" ht="16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X78" s="264"/>
      <c r="AY78" s="267"/>
    </row>
    <row r="79" spans="2:51" ht="16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X79" s="264"/>
      <c r="AY79" s="267"/>
    </row>
    <row r="80" spans="2:51" ht="16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X80" s="264"/>
      <c r="AY80" s="267"/>
    </row>
    <row r="81" spans="2:51" ht="16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X81" s="264"/>
      <c r="AY81" s="267"/>
    </row>
    <row r="82" spans="2:51" ht="16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X82" s="264"/>
      <c r="AY82" s="267"/>
    </row>
    <row r="83" spans="2:51" ht="16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X83" s="264"/>
      <c r="AY83" s="267"/>
    </row>
    <row r="84" spans="2:51" ht="16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X84" s="264"/>
      <c r="AY84" s="267"/>
    </row>
    <row r="85" spans="2:51" ht="16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X85" s="264"/>
      <c r="AY85" s="267"/>
    </row>
    <row r="86" spans="2:51" ht="16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X86" s="264"/>
      <c r="AY86" s="267"/>
    </row>
    <row r="87" spans="2:51" ht="16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X87" s="264"/>
      <c r="AY87" s="267"/>
    </row>
    <row r="88" spans="2:51" ht="16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X88" s="264"/>
      <c r="AY88" s="267"/>
    </row>
    <row r="89" spans="2:51" ht="16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X89" s="264"/>
      <c r="AY89" s="267"/>
    </row>
    <row r="90" spans="2:51" ht="16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X90" s="264"/>
      <c r="AY90" s="267"/>
    </row>
    <row r="91" spans="2:51" ht="16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X91" s="264"/>
      <c r="AY91" s="267"/>
    </row>
    <row r="92" spans="2:51" ht="16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X92" s="264"/>
      <c r="AY92" s="267"/>
    </row>
    <row r="93" spans="2:51" ht="16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X93" s="264"/>
      <c r="AY93" s="267"/>
    </row>
    <row r="94" spans="2:51" ht="16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X94" s="264"/>
      <c r="AY94" s="267"/>
    </row>
    <row r="95" spans="2:51" ht="16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X95" s="264"/>
      <c r="AY95" s="267"/>
    </row>
    <row r="96" spans="2:51" ht="16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X96" s="264"/>
      <c r="AY96" s="267"/>
    </row>
    <row r="97" spans="2:51" ht="16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X97" s="264"/>
      <c r="AY97" s="267"/>
    </row>
    <row r="98" spans="2:51" ht="16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X98" s="264"/>
      <c r="AY98" s="267"/>
    </row>
    <row r="99" spans="2:51" ht="16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X99" s="264"/>
      <c r="AY99" s="267"/>
    </row>
    <row r="100" spans="2:51" ht="16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X100" s="264"/>
      <c r="AY100" s="267"/>
    </row>
    <row r="101" spans="2:51" ht="16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X101" s="264"/>
      <c r="AY101" s="267"/>
    </row>
    <row r="102" spans="2:51" ht="16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X102" s="264"/>
      <c r="AY102" s="267"/>
    </row>
    <row r="103" spans="2:51" ht="16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X103" s="264"/>
      <c r="AY103" s="267"/>
    </row>
    <row r="104" spans="2:51" ht="16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X104" s="264"/>
      <c r="AY104" s="267"/>
    </row>
    <row r="105" spans="2:51" ht="16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X105" s="264"/>
      <c r="AY105" s="267"/>
    </row>
    <row r="106" spans="2:51" ht="16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X106" s="264"/>
      <c r="AY106" s="267"/>
    </row>
    <row r="107" spans="2:51" ht="16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X107" s="264"/>
      <c r="AY107" s="267"/>
    </row>
    <row r="108" spans="2:51" ht="16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X108" s="264"/>
      <c r="AY108" s="267"/>
    </row>
    <row r="109" spans="2:51" ht="16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X109" s="264"/>
      <c r="AY109" s="267"/>
    </row>
    <row r="110" spans="2:51" ht="16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X110" s="264"/>
      <c r="AY110" s="267"/>
    </row>
    <row r="111" spans="2:51" ht="16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X111" s="264"/>
      <c r="AY111" s="267"/>
    </row>
    <row r="112" spans="2:51" ht="16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X112" s="264"/>
      <c r="AY112" s="267"/>
    </row>
    <row r="113" spans="2:51" ht="16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X113" s="264"/>
      <c r="AY113" s="267"/>
    </row>
    <row r="114" spans="2:51" ht="16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X114" s="264"/>
      <c r="AY114" s="267"/>
    </row>
    <row r="115" spans="2:51" ht="16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X115" s="264"/>
      <c r="AY115" s="267"/>
    </row>
    <row r="116" spans="2:51" ht="16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X116" s="264"/>
      <c r="AY116" s="267"/>
    </row>
    <row r="117" spans="2:51" ht="16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X117" s="264"/>
      <c r="AY117" s="267"/>
    </row>
    <row r="118" spans="2:51" ht="16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X118" s="264"/>
      <c r="AY118" s="267"/>
    </row>
    <row r="119" spans="2:51" ht="16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X119" s="264"/>
      <c r="AY119" s="267"/>
    </row>
    <row r="120" spans="2:51" ht="16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X120" s="264"/>
      <c r="AY120" s="267"/>
    </row>
    <row r="121" spans="2:51" ht="16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X121" s="264"/>
      <c r="AY121" s="267"/>
    </row>
    <row r="122" spans="2:51" ht="16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X122" s="264"/>
      <c r="AY122" s="267"/>
    </row>
    <row r="123" spans="2:51" ht="16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X123" s="264"/>
      <c r="AY123" s="267"/>
    </row>
    <row r="124" spans="2:51" ht="16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X124" s="264"/>
      <c r="AY124" s="267"/>
    </row>
    <row r="125" spans="2:51" ht="16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X125" s="264"/>
      <c r="AY125" s="267"/>
    </row>
    <row r="126" spans="2:51" ht="16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X126" s="264"/>
      <c r="AY126" s="267"/>
    </row>
    <row r="127" spans="2:51" ht="16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X127" s="264"/>
      <c r="AY127" s="267"/>
    </row>
    <row r="128" spans="2:51" ht="16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X128" s="264"/>
      <c r="AY128" s="267"/>
    </row>
    <row r="129" spans="2:51" ht="16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X129" s="264"/>
      <c r="AY129" s="267"/>
    </row>
    <row r="130" spans="2:51" ht="16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X130" s="264"/>
      <c r="AY130" s="267"/>
    </row>
    <row r="131" spans="2:51" ht="16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X131" s="264"/>
      <c r="AY131" s="267"/>
    </row>
    <row r="132" spans="2:51" ht="16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X132" s="264"/>
      <c r="AY132" s="267"/>
    </row>
    <row r="133" spans="2:51" ht="16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X133" s="264"/>
      <c r="AY133" s="267"/>
    </row>
    <row r="134" spans="2:51" ht="16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X134" s="264"/>
      <c r="AY134" s="267"/>
    </row>
    <row r="135" spans="2:51" ht="16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X135" s="264"/>
      <c r="AY135" s="267"/>
    </row>
    <row r="136" spans="2:51" ht="16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X136" s="264"/>
      <c r="AY136" s="267"/>
    </row>
    <row r="137" spans="2:51" ht="16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X137" s="264"/>
      <c r="AY137" s="267"/>
    </row>
    <row r="138" spans="2:51" ht="16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X138" s="264"/>
      <c r="AY138" s="267"/>
    </row>
    <row r="139" spans="2:51" ht="16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X139" s="264"/>
      <c r="AY139" s="267"/>
    </row>
    <row r="140" spans="2:51" ht="16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X140" s="264"/>
      <c r="AY140" s="267"/>
    </row>
    <row r="141" spans="2:51" ht="16">
      <c r="C141" s="451"/>
      <c r="AD141"/>
      <c r="AE141"/>
      <c r="AF141"/>
      <c r="AX141" s="264"/>
      <c r="AY141" s="267"/>
    </row>
    <row r="142" spans="2:51" ht="16">
      <c r="C142" s="452"/>
      <c r="AX142" s="264"/>
      <c r="AY142" s="267"/>
    </row>
    <row r="143" spans="2:51" ht="16">
      <c r="C143"/>
      <c r="AX143" s="264"/>
      <c r="AY143" s="267"/>
    </row>
    <row r="144" spans="2:51" ht="16">
      <c r="C144" s="451"/>
      <c r="AX144" s="264"/>
      <c r="AY144" s="267"/>
    </row>
    <row r="145" spans="3:51" ht="16">
      <c r="C145" s="452"/>
      <c r="AX145" s="264"/>
      <c r="AY145" s="267"/>
    </row>
    <row r="146" spans="3:51" ht="16">
      <c r="C146"/>
      <c r="AX146" s="264"/>
      <c r="AY146" s="267"/>
    </row>
    <row r="147" spans="3:51" ht="16">
      <c r="C147" s="451"/>
      <c r="AX147" s="264"/>
      <c r="AY147" s="267"/>
    </row>
    <row r="148" spans="3:51" ht="16">
      <c r="C148" s="452"/>
      <c r="AX148" s="264"/>
      <c r="AY148" s="267"/>
    </row>
    <row r="149" spans="3:51">
      <c r="AX149" s="264"/>
      <c r="AY149" s="267"/>
    </row>
    <row r="150" spans="3:51">
      <c r="AY150" s="267"/>
    </row>
    <row r="151" spans="3:51">
      <c r="AY151" s="267"/>
    </row>
    <row r="153" spans="3:51">
      <c r="AY153" s="267"/>
    </row>
  </sheetData>
  <pageMargins left="0.75" right="0.75" top="1" bottom="1" header="0.5" footer="0.5"/>
  <pageSetup scale="85" orientation="portrait" horizontalDpi="4294967293" verticalDpi="12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99272-317C-9B46-B7A8-63E4BD425103}">
  <sheetPr codeName="Sheet6">
    <tabColor rgb="FF92D050"/>
    <pageSetUpPr fitToPage="1"/>
  </sheetPr>
  <dimension ref="B1:AN50"/>
  <sheetViews>
    <sheetView zoomScale="125" workbookViewId="0">
      <selection activeCell="G26" sqref="G26"/>
    </sheetView>
  </sheetViews>
  <sheetFormatPr baseColWidth="10" defaultColWidth="11.6640625" defaultRowHeight="13"/>
  <cols>
    <col min="1" max="1" width="11.6640625" style="125"/>
    <col min="2" max="2" width="31.1640625" style="125" customWidth="1"/>
    <col min="3" max="3" width="7.1640625" style="125" customWidth="1"/>
    <col min="4" max="4" width="13.83203125" style="125" bestFit="1" customWidth="1"/>
    <col min="5" max="5" width="6" style="125" customWidth="1"/>
    <col min="6" max="6" width="31.33203125" style="125" customWidth="1"/>
    <col min="7" max="7" width="13" style="125" customWidth="1"/>
    <col min="8" max="8" width="12.5" style="125" customWidth="1"/>
    <col min="9" max="16384" width="11.6640625" style="125"/>
  </cols>
  <sheetData>
    <row r="1" spans="2:40">
      <c r="B1" s="124" t="str">
        <f>'Grand Prairie- Exec Summary (1)'!B2</f>
        <v xml:space="preserve">Lofts at Grand prairie </v>
      </c>
    </row>
    <row r="3" spans="2:40">
      <c r="B3" s="124" t="s">
        <v>191</v>
      </c>
      <c r="F3" s="124" t="s">
        <v>192</v>
      </c>
      <c r="H3" s="125">
        <v>1</v>
      </c>
      <c r="I3" s="125">
        <f>H3+1</f>
        <v>2</v>
      </c>
      <c r="J3" s="125">
        <f>I3+1</f>
        <v>3</v>
      </c>
      <c r="K3" s="125">
        <f t="shared" ref="K3:W3" si="0">J3+1</f>
        <v>4</v>
      </c>
      <c r="L3" s="125">
        <f t="shared" si="0"/>
        <v>5</v>
      </c>
      <c r="M3" s="125">
        <f t="shared" si="0"/>
        <v>6</v>
      </c>
      <c r="N3" s="125">
        <f t="shared" si="0"/>
        <v>7</v>
      </c>
      <c r="O3" s="125">
        <f t="shared" si="0"/>
        <v>8</v>
      </c>
      <c r="P3" s="125">
        <f t="shared" si="0"/>
        <v>9</v>
      </c>
      <c r="Q3" s="125">
        <f t="shared" si="0"/>
        <v>10</v>
      </c>
      <c r="R3" s="125">
        <f t="shared" si="0"/>
        <v>11</v>
      </c>
      <c r="S3" s="125">
        <f t="shared" si="0"/>
        <v>12</v>
      </c>
      <c r="T3" s="125">
        <f t="shared" si="0"/>
        <v>13</v>
      </c>
      <c r="U3" s="125">
        <f t="shared" si="0"/>
        <v>14</v>
      </c>
      <c r="V3" s="125">
        <f t="shared" si="0"/>
        <v>15</v>
      </c>
      <c r="W3" s="125">
        <f t="shared" si="0"/>
        <v>16</v>
      </c>
    </row>
    <row r="4" spans="2:40">
      <c r="F4" s="268"/>
      <c r="G4" s="269">
        <f>'Grand Prairie- Exec Summary (1)'!C9</f>
        <v>44805</v>
      </c>
      <c r="H4" s="269">
        <f>'Grand Prairie- Exec Summary (1)'!C12</f>
        <v>45536</v>
      </c>
      <c r="I4" s="269">
        <f>EDATE(H4,12)</f>
        <v>45901</v>
      </c>
      <c r="J4" s="269">
        <f t="shared" ref="J4:W4" si="1">EDATE(I4,12)</f>
        <v>46266</v>
      </c>
      <c r="K4" s="269">
        <f t="shared" si="1"/>
        <v>46631</v>
      </c>
      <c r="L4" s="269">
        <f t="shared" si="1"/>
        <v>46997</v>
      </c>
      <c r="M4" s="269">
        <f t="shared" si="1"/>
        <v>47362</v>
      </c>
      <c r="N4" s="269">
        <f t="shared" si="1"/>
        <v>47727</v>
      </c>
      <c r="O4" s="269">
        <f t="shared" si="1"/>
        <v>48092</v>
      </c>
      <c r="P4" s="269">
        <f t="shared" si="1"/>
        <v>48458</v>
      </c>
      <c r="Q4" s="269">
        <f t="shared" si="1"/>
        <v>48823</v>
      </c>
      <c r="R4" s="269">
        <f t="shared" si="1"/>
        <v>49188</v>
      </c>
      <c r="S4" s="269">
        <f t="shared" si="1"/>
        <v>49553</v>
      </c>
      <c r="T4" s="269">
        <f t="shared" si="1"/>
        <v>49919</v>
      </c>
      <c r="U4" s="269">
        <f t="shared" si="1"/>
        <v>50284</v>
      </c>
      <c r="V4" s="269">
        <f t="shared" si="1"/>
        <v>50649</v>
      </c>
      <c r="W4" s="269">
        <f t="shared" si="1"/>
        <v>51014</v>
      </c>
    </row>
    <row r="5" spans="2:40">
      <c r="B5" s="270" t="s">
        <v>368</v>
      </c>
      <c r="C5" s="270"/>
      <c r="D5" s="270">
        <f ca="1">'Grand Prairie- Exec Summary (1)'!R13</f>
        <v>13204015.686719578</v>
      </c>
      <c r="F5" s="128" t="s">
        <v>121</v>
      </c>
      <c r="G5" s="128">
        <f ca="1">-D6</f>
        <v>-13204015.686719578</v>
      </c>
      <c r="H5" s="128">
        <f>-D7</f>
        <v>0</v>
      </c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</row>
    <row r="6" spans="2:40">
      <c r="B6" s="268" t="s">
        <v>193</v>
      </c>
      <c r="C6" s="268"/>
      <c r="D6" s="268">
        <f ca="1">D5</f>
        <v>13204015.686719578</v>
      </c>
      <c r="F6" s="128" t="s">
        <v>160</v>
      </c>
      <c r="G6" s="128">
        <v>0</v>
      </c>
      <c r="H6" s="128">
        <f ca="1">IF($D$17&gt;=H3,'Grand Prairie- Pro Forma (3)'!F43,0)</f>
        <v>1458261.894578503</v>
      </c>
      <c r="I6" s="128">
        <f ca="1">IF($D$17&gt;=I3,'Grand Prairie- Pro Forma (3)'!G43,0)</f>
        <v>1590228.1742271739</v>
      </c>
      <c r="J6" s="128">
        <f ca="1">IF($D$17&gt;=J3,'Grand Prairie- Pro Forma (3)'!H43,0)</f>
        <v>1935990.2747931755</v>
      </c>
      <c r="K6" s="128">
        <f ca="1">IF($D$17&gt;=K3,'Grand Prairie- Pro Forma (3)'!I43,0)</f>
        <v>841351.68576418422</v>
      </c>
      <c r="L6" s="128">
        <f ca="1">IF($D$17&gt;=L3,'Grand Prairie- Pro Forma (3)'!J43,0)</f>
        <v>1226341.9668775126</v>
      </c>
      <c r="M6" s="128">
        <f>IF($D$17&gt;=M3,'Grand Prairie- Pro Forma (3)'!K43,0)</f>
        <v>0</v>
      </c>
      <c r="N6" s="128">
        <f>IF($D$17&gt;=N3,'Grand Prairie- Pro Forma (3)'!#REF!,0)</f>
        <v>0</v>
      </c>
      <c r="O6" s="128">
        <f>IF($D$17&gt;=O3,'Grand Prairie- Pro Forma (3)'!#REF!,0)</f>
        <v>0</v>
      </c>
      <c r="P6" s="128">
        <f>IF($D$17&gt;=P3,'Grand Prairie- Pro Forma (3)'!#REF!,0)</f>
        <v>0</v>
      </c>
      <c r="Q6" s="128">
        <f>IF($D$17&gt;=Q3,'Grand Prairie- Pro Forma (3)'!#REF!,0)</f>
        <v>0</v>
      </c>
      <c r="R6" s="128">
        <f>IF($D$17&gt;=R3,'Grand Prairie- Pro Forma (3)'!#REF!,0)</f>
        <v>0</v>
      </c>
      <c r="S6" s="128">
        <f>IF($D$17&gt;=S3,'Grand Prairie- Pro Forma (3)'!#REF!,0)</f>
        <v>0</v>
      </c>
      <c r="T6" s="128">
        <f>IF($D$17&gt;=T3,'Grand Prairie- Pro Forma (3)'!#REF!,0)</f>
        <v>0</v>
      </c>
      <c r="U6" s="128">
        <f>IF($D$17&gt;=U3,'Grand Prairie- Pro Forma (3)'!#REF!,0)</f>
        <v>0</v>
      </c>
      <c r="V6" s="128">
        <f>IF($D$17&gt;=V3,'Grand Prairie- Pro Forma (3)'!#REF!,0)</f>
        <v>0</v>
      </c>
      <c r="W6" s="128">
        <f>IF($D$17&gt;=W3,'Grand Prairie- Pro Forma (3)'!#REF!,0)</f>
        <v>0</v>
      </c>
    </row>
    <row r="7" spans="2:40">
      <c r="B7" s="125" t="s">
        <v>194</v>
      </c>
      <c r="D7" s="271">
        <v>0</v>
      </c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>
        <v>0</v>
      </c>
    </row>
    <row r="8" spans="2:40" ht="16">
      <c r="D8" s="272"/>
      <c r="E8" s="273"/>
      <c r="F8" s="128" t="s">
        <v>195</v>
      </c>
      <c r="G8" s="128"/>
      <c r="H8" s="128"/>
      <c r="I8" s="128">
        <f>I17</f>
        <v>0</v>
      </c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</row>
    <row r="9" spans="2:40" ht="16">
      <c r="B9" s="481"/>
      <c r="C9" s="481"/>
      <c r="D9" s="482"/>
      <c r="E9" s="273"/>
      <c r="F9" s="128" t="s">
        <v>369</v>
      </c>
      <c r="G9" s="128">
        <v>0</v>
      </c>
      <c r="H9" s="128">
        <f>J30</f>
        <v>0</v>
      </c>
      <c r="I9" s="128">
        <f>IF($D$17=I3,$D$29,0)</f>
        <v>0</v>
      </c>
      <c r="J9" s="128">
        <f>IF($D$17=J3,$D$29,0)</f>
        <v>0</v>
      </c>
      <c r="K9" s="128">
        <f t="shared" ref="K9:W9" si="2">IF($D$17=K3,$D$29,0)</f>
        <v>0</v>
      </c>
      <c r="L9" s="128">
        <f ca="1">IF($D$17=L3,$D$29,0)</f>
        <v>62190764.86147026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0</v>
      </c>
      <c r="R9" s="128">
        <f t="shared" si="2"/>
        <v>0</v>
      </c>
      <c r="S9" s="128">
        <f t="shared" si="2"/>
        <v>0</v>
      </c>
      <c r="T9" s="128">
        <f t="shared" si="2"/>
        <v>0</v>
      </c>
      <c r="U9" s="128">
        <f t="shared" si="2"/>
        <v>0</v>
      </c>
      <c r="V9" s="128">
        <f t="shared" si="2"/>
        <v>0</v>
      </c>
      <c r="W9" s="128">
        <f t="shared" si="2"/>
        <v>0</v>
      </c>
    </row>
    <row r="10" spans="2:40" ht="16">
      <c r="B10" s="481"/>
      <c r="C10" s="481"/>
      <c r="D10" s="482"/>
      <c r="E10" s="275"/>
      <c r="F10" s="126" t="s">
        <v>197</v>
      </c>
      <c r="G10" s="126">
        <f t="shared" ref="G10:W10" ca="1" si="3">SUM(G5:G9)</f>
        <v>-13204015.686719578</v>
      </c>
      <c r="H10" s="126">
        <f t="shared" ca="1" si="3"/>
        <v>1458261.894578503</v>
      </c>
      <c r="I10" s="126">
        <f t="shared" ca="1" si="3"/>
        <v>1590228.1742271739</v>
      </c>
      <c r="J10" s="126">
        <f t="shared" ca="1" si="3"/>
        <v>1935990.2747931755</v>
      </c>
      <c r="K10" s="126">
        <f t="shared" ca="1" si="3"/>
        <v>841351.68576418422</v>
      </c>
      <c r="L10" s="126">
        <f t="shared" ca="1" si="3"/>
        <v>63417106.828347772</v>
      </c>
      <c r="M10" s="126">
        <f t="shared" si="3"/>
        <v>0</v>
      </c>
      <c r="N10" s="126">
        <f t="shared" si="3"/>
        <v>0</v>
      </c>
      <c r="O10" s="126">
        <f t="shared" si="3"/>
        <v>0</v>
      </c>
      <c r="P10" s="126">
        <f t="shared" si="3"/>
        <v>0</v>
      </c>
      <c r="Q10" s="126">
        <f t="shared" si="3"/>
        <v>0</v>
      </c>
      <c r="R10" s="126">
        <f t="shared" si="3"/>
        <v>0</v>
      </c>
      <c r="S10" s="126">
        <f t="shared" si="3"/>
        <v>0</v>
      </c>
      <c r="T10" s="126">
        <f t="shared" si="3"/>
        <v>0</v>
      </c>
      <c r="U10" s="126">
        <f t="shared" si="3"/>
        <v>0</v>
      </c>
      <c r="V10" s="126">
        <f t="shared" si="3"/>
        <v>0</v>
      </c>
      <c r="W10" s="126">
        <f t="shared" si="3"/>
        <v>0</v>
      </c>
    </row>
    <row r="11" spans="2:40" ht="16">
      <c r="B11" s="126"/>
      <c r="D11" s="276"/>
      <c r="E11" s="275"/>
    </row>
    <row r="12" spans="2:40" ht="16">
      <c r="B12" s="277"/>
      <c r="C12" s="126"/>
      <c r="D12" s="278"/>
      <c r="E12" s="275"/>
      <c r="F12" s="126"/>
      <c r="G12" s="276"/>
    </row>
    <row r="13" spans="2:40" ht="16">
      <c r="B13" s="277"/>
      <c r="C13" s="126"/>
      <c r="D13" s="278"/>
      <c r="E13" s="273"/>
    </row>
    <row r="14" spans="2:40">
      <c r="F14" s="268"/>
      <c r="G14" s="269">
        <f t="shared" ref="G14:W14" si="4">G4</f>
        <v>44805</v>
      </c>
      <c r="H14" s="269">
        <f t="shared" si="4"/>
        <v>45536</v>
      </c>
      <c r="I14" s="269">
        <f t="shared" si="4"/>
        <v>45901</v>
      </c>
      <c r="J14" s="269">
        <f t="shared" si="4"/>
        <v>46266</v>
      </c>
      <c r="K14" s="269">
        <f t="shared" si="4"/>
        <v>46631</v>
      </c>
      <c r="L14" s="269">
        <f t="shared" si="4"/>
        <v>46997</v>
      </c>
      <c r="M14" s="269">
        <f t="shared" si="4"/>
        <v>47362</v>
      </c>
      <c r="N14" s="269">
        <f t="shared" si="4"/>
        <v>47727</v>
      </c>
      <c r="O14" s="269">
        <f t="shared" si="4"/>
        <v>48092</v>
      </c>
      <c r="P14" s="269">
        <f t="shared" si="4"/>
        <v>48458</v>
      </c>
      <c r="Q14" s="269">
        <f t="shared" si="4"/>
        <v>48823</v>
      </c>
      <c r="R14" s="269">
        <f t="shared" si="4"/>
        <v>49188</v>
      </c>
      <c r="S14" s="269">
        <f t="shared" si="4"/>
        <v>49553</v>
      </c>
      <c r="T14" s="269">
        <f t="shared" si="4"/>
        <v>49919</v>
      </c>
      <c r="U14" s="269">
        <f t="shared" si="4"/>
        <v>50284</v>
      </c>
      <c r="V14" s="269">
        <f t="shared" si="4"/>
        <v>50649</v>
      </c>
      <c r="W14" s="269">
        <f t="shared" si="4"/>
        <v>51014</v>
      </c>
      <c r="X14" s="279"/>
      <c r="Y14" s="279"/>
      <c r="Z14" s="279"/>
      <c r="AA14" s="279"/>
      <c r="AB14" s="279"/>
      <c r="AC14" s="279"/>
      <c r="AD14" s="279"/>
      <c r="AE14" s="279"/>
      <c r="AF14" s="279"/>
      <c r="AG14" s="279"/>
      <c r="AH14" s="279"/>
      <c r="AI14" s="279"/>
      <c r="AJ14" s="279"/>
      <c r="AK14" s="279"/>
      <c r="AL14" s="279"/>
      <c r="AM14" s="279"/>
      <c r="AN14" s="279"/>
    </row>
    <row r="15" spans="2:40">
      <c r="B15" s="124" t="s">
        <v>198</v>
      </c>
      <c r="F15" s="280" t="s">
        <v>199</v>
      </c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</row>
    <row r="16" spans="2:40">
      <c r="F16" s="128" t="s">
        <v>121</v>
      </c>
      <c r="G16" s="128">
        <f ca="1">-D5</f>
        <v>-13204015.686719578</v>
      </c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</row>
    <row r="17" spans="2:23">
      <c r="B17" s="270" t="s">
        <v>200</v>
      </c>
      <c r="C17" s="270"/>
      <c r="D17" s="438">
        <f>'Grand Prairie- Exec Summary (1)'!C15</f>
        <v>5</v>
      </c>
      <c r="F17" s="128" t="s">
        <v>201</v>
      </c>
      <c r="G17" s="153"/>
      <c r="H17" s="153"/>
      <c r="I17" s="153">
        <f>50%*'Grand Prairie- Exec Summary (1)'!O17</f>
        <v>0</v>
      </c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28"/>
      <c r="U17" s="128"/>
      <c r="V17" s="128"/>
      <c r="W17" s="128"/>
    </row>
    <row r="18" spans="2:23">
      <c r="B18" s="153" t="s">
        <v>202</v>
      </c>
      <c r="C18" s="153"/>
      <c r="D18" s="153">
        <f ca="1">LOOKUP(D17,'Grand Prairie- Pro Forma (3)'!D3:U3,'Grand Prairie- Pro Forma (3)'!D33:U33)+LOOKUP(D17,'Grand Prairie- Pro Forma (3)'!D3:U3,'Grand Prairie- Pro Forma (3)'!D27:U27)</f>
        <v>6155060.1118860012</v>
      </c>
      <c r="F18" s="125" t="s">
        <v>203</v>
      </c>
      <c r="H18" s="126">
        <f>H9</f>
        <v>0</v>
      </c>
      <c r="I18" s="126">
        <f>I9</f>
        <v>0</v>
      </c>
      <c r="J18" s="126">
        <f>J9</f>
        <v>0</v>
      </c>
      <c r="K18" s="126">
        <f>K9</f>
        <v>0</v>
      </c>
      <c r="L18" s="126">
        <v>0</v>
      </c>
      <c r="M18" s="126">
        <v>0</v>
      </c>
      <c r="N18" s="126">
        <f>N9</f>
        <v>0</v>
      </c>
      <c r="O18" s="126">
        <f>O9</f>
        <v>0</v>
      </c>
      <c r="P18" s="126">
        <f>P9</f>
        <v>0</v>
      </c>
      <c r="Q18" s="126">
        <f>Q9</f>
        <v>0</v>
      </c>
      <c r="R18" s="126">
        <f>R9</f>
        <v>0</v>
      </c>
    </row>
    <row r="19" spans="2:23">
      <c r="B19" s="153" t="s">
        <v>204</v>
      </c>
      <c r="C19" s="153"/>
      <c r="D19" s="274">
        <v>0.05</v>
      </c>
      <c r="F19" s="153" t="s">
        <v>160</v>
      </c>
      <c r="G19" s="153">
        <f>G6</f>
        <v>0</v>
      </c>
      <c r="H19" s="153">
        <f t="shared" ref="H19:W19" ca="1" si="5">H6</f>
        <v>1458261.894578503</v>
      </c>
      <c r="I19" s="153">
        <f t="shared" ca="1" si="5"/>
        <v>1590228.1742271739</v>
      </c>
      <c r="J19" s="153">
        <f t="shared" ca="1" si="5"/>
        <v>1935990.2747931755</v>
      </c>
      <c r="K19" s="153">
        <f t="shared" ca="1" si="5"/>
        <v>841351.68576418422</v>
      </c>
      <c r="L19" s="153">
        <f t="shared" ca="1" si="5"/>
        <v>1226341.9668775126</v>
      </c>
      <c r="M19" s="153">
        <f t="shared" si="5"/>
        <v>0</v>
      </c>
      <c r="N19" s="153">
        <f t="shared" si="5"/>
        <v>0</v>
      </c>
      <c r="O19" s="153">
        <f t="shared" si="5"/>
        <v>0</v>
      </c>
      <c r="P19" s="153">
        <f t="shared" si="5"/>
        <v>0</v>
      </c>
      <c r="Q19" s="153">
        <f t="shared" si="5"/>
        <v>0</v>
      </c>
      <c r="R19" s="153">
        <f t="shared" si="5"/>
        <v>0</v>
      </c>
      <c r="S19" s="153">
        <f t="shared" si="5"/>
        <v>0</v>
      </c>
      <c r="T19" s="153">
        <f t="shared" si="5"/>
        <v>0</v>
      </c>
      <c r="U19" s="153">
        <f t="shared" si="5"/>
        <v>0</v>
      </c>
      <c r="V19" s="153">
        <f t="shared" si="5"/>
        <v>0</v>
      </c>
      <c r="W19" s="153">
        <f t="shared" si="5"/>
        <v>0</v>
      </c>
    </row>
    <row r="20" spans="2:23">
      <c r="B20" s="153"/>
      <c r="C20" s="153"/>
      <c r="D20" s="153"/>
      <c r="F20" s="153" t="s">
        <v>346</v>
      </c>
      <c r="G20" s="128">
        <f>G9</f>
        <v>0</v>
      </c>
      <c r="H20" s="128">
        <f t="shared" ref="H20:W20" si="6">H9</f>
        <v>0</v>
      </c>
      <c r="I20" s="128">
        <f t="shared" si="6"/>
        <v>0</v>
      </c>
      <c r="J20" s="128">
        <f t="shared" si="6"/>
        <v>0</v>
      </c>
      <c r="K20" s="128">
        <f t="shared" si="6"/>
        <v>0</v>
      </c>
      <c r="L20" s="128">
        <f t="shared" ca="1" si="6"/>
        <v>62190764.86147026</v>
      </c>
      <c r="M20" s="128">
        <f t="shared" si="6"/>
        <v>0</v>
      </c>
      <c r="N20" s="128">
        <f t="shared" si="6"/>
        <v>0</v>
      </c>
      <c r="O20" s="128">
        <f t="shared" si="6"/>
        <v>0</v>
      </c>
      <c r="P20" s="128">
        <f t="shared" si="6"/>
        <v>0</v>
      </c>
      <c r="Q20" s="128">
        <f t="shared" si="6"/>
        <v>0</v>
      </c>
      <c r="R20" s="128">
        <f t="shared" si="6"/>
        <v>0</v>
      </c>
      <c r="S20" s="128">
        <f t="shared" si="6"/>
        <v>0</v>
      </c>
      <c r="T20" s="128">
        <f t="shared" si="6"/>
        <v>0</v>
      </c>
      <c r="U20" s="128">
        <f t="shared" si="6"/>
        <v>0</v>
      </c>
      <c r="V20" s="128">
        <f t="shared" si="6"/>
        <v>0</v>
      </c>
      <c r="W20" s="128">
        <f t="shared" si="6"/>
        <v>0</v>
      </c>
    </row>
    <row r="21" spans="2:23" ht="16">
      <c r="B21" s="153"/>
      <c r="C21" s="153"/>
      <c r="D21" s="154"/>
      <c r="E21" s="281"/>
      <c r="F21" s="153" t="s">
        <v>205</v>
      </c>
      <c r="G21" s="128">
        <f t="shared" ref="G21:W21" ca="1" si="7">SUM(G16:G20)</f>
        <v>-13204015.686719578</v>
      </c>
      <c r="H21" s="128">
        <f t="shared" ca="1" si="7"/>
        <v>1458261.894578503</v>
      </c>
      <c r="I21" s="128">
        <f t="shared" ca="1" si="7"/>
        <v>1590228.1742271739</v>
      </c>
      <c r="J21" s="128">
        <f t="shared" ca="1" si="7"/>
        <v>1935990.2747931755</v>
      </c>
      <c r="K21" s="128">
        <f t="shared" ca="1" si="7"/>
        <v>841351.68576418422</v>
      </c>
      <c r="L21" s="128">
        <f t="shared" ca="1" si="7"/>
        <v>63417106.828347772</v>
      </c>
      <c r="M21" s="128">
        <f t="shared" si="7"/>
        <v>0</v>
      </c>
      <c r="N21" s="128">
        <f t="shared" si="7"/>
        <v>0</v>
      </c>
      <c r="O21" s="128">
        <f t="shared" si="7"/>
        <v>0</v>
      </c>
      <c r="P21" s="128">
        <f t="shared" si="7"/>
        <v>0</v>
      </c>
      <c r="Q21" s="128">
        <f t="shared" si="7"/>
        <v>0</v>
      </c>
      <c r="R21" s="128">
        <f t="shared" si="7"/>
        <v>0</v>
      </c>
      <c r="S21" s="128">
        <f t="shared" si="7"/>
        <v>0</v>
      </c>
      <c r="T21" s="128">
        <f t="shared" si="7"/>
        <v>0</v>
      </c>
      <c r="U21" s="128">
        <f t="shared" si="7"/>
        <v>0</v>
      </c>
      <c r="V21" s="128">
        <f t="shared" si="7"/>
        <v>0</v>
      </c>
      <c r="W21" s="128">
        <f t="shared" si="7"/>
        <v>0</v>
      </c>
    </row>
    <row r="22" spans="2:23">
      <c r="B22" s="153"/>
      <c r="C22" s="153"/>
      <c r="D22" s="153"/>
      <c r="F22" s="380" t="s">
        <v>318</v>
      </c>
      <c r="G22" s="128"/>
      <c r="H22" s="381">
        <f t="shared" ref="H22:M22" ca="1" si="8">H21/-$G$21</f>
        <v>0.11044078780103263</v>
      </c>
      <c r="I22" s="381">
        <f t="shared" ca="1" si="8"/>
        <v>0.12043519274417434</v>
      </c>
      <c r="J22" s="381">
        <f t="shared" ca="1" si="8"/>
        <v>0.14662132496103958</v>
      </c>
      <c r="K22" s="381">
        <f t="shared" ca="1" si="8"/>
        <v>6.3719379446845442E-2</v>
      </c>
      <c r="L22" s="381">
        <f t="shared" ca="1" si="8"/>
        <v>4.8028651535253664</v>
      </c>
      <c r="M22" s="381">
        <f t="shared" ca="1" si="8"/>
        <v>0</v>
      </c>
      <c r="N22" s="128"/>
      <c r="O22" s="128"/>
      <c r="P22" s="128"/>
      <c r="Q22" s="128"/>
      <c r="R22" s="128"/>
      <c r="S22" s="128"/>
      <c r="T22" s="128"/>
      <c r="U22" s="128"/>
      <c r="V22" s="128"/>
      <c r="W22" s="128"/>
    </row>
    <row r="23" spans="2:23">
      <c r="B23" s="153" t="s">
        <v>206</v>
      </c>
      <c r="C23" s="153"/>
      <c r="D23" s="153">
        <f ca="1">D18/D19</f>
        <v>123101202.23772001</v>
      </c>
      <c r="E23" s="134"/>
      <c r="F23" s="282" t="s">
        <v>207</v>
      </c>
      <c r="G23" s="283">
        <f ca="1">XIRR(G21:W21,G14:W14)</f>
        <v>0.33998121619224553</v>
      </c>
      <c r="H23" s="173"/>
      <c r="I23" s="173"/>
      <c r="J23" s="17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  <c r="W23" s="173"/>
    </row>
    <row r="24" spans="2:23">
      <c r="B24" s="153" t="s">
        <v>208</v>
      </c>
      <c r="C24" s="284">
        <v>0.03</v>
      </c>
      <c r="D24" s="153">
        <f ca="1">-C24*D23</f>
        <v>-3693036.0671316003</v>
      </c>
      <c r="F24" s="126" t="s">
        <v>317</v>
      </c>
      <c r="G24" s="379">
        <f ca="1">SUMIF(G21:M21,"&gt;0")/-SUMIF(G21:M21,"&lt;0")</f>
        <v>5.2440818384784587</v>
      </c>
      <c r="S24" s="286"/>
    </row>
    <row r="25" spans="2:23">
      <c r="B25" s="153" t="s">
        <v>209</v>
      </c>
      <c r="C25" s="153"/>
      <c r="D25" s="153">
        <f ca="1">D23+D24</f>
        <v>119408166.17058842</v>
      </c>
      <c r="F25" s="285"/>
      <c r="S25" s="286"/>
    </row>
    <row r="26" spans="2:23" ht="16">
      <c r="B26" s="153" t="s">
        <v>210</v>
      </c>
      <c r="C26" s="153"/>
      <c r="D26" s="153">
        <f ca="1">-LOOKUP(D17,'Grand Prairie- Loan Amort (4)'!B18:B32,'Grand Prairie- Loan Amort (4)'!F18:F32)</f>
        <v>-57217401.309118159</v>
      </c>
      <c r="F26" s="550" t="s">
        <v>475</v>
      </c>
      <c r="G26" s="558">
        <f ca="1">SUM('Grand Prairie- Loan Amort (4)'!Y6+'Grand Prairie- Exec Summary (1)'!O9)/'Grand Prairi-IRRWorksht10Yr (5)'!D23</f>
        <v>0.62812612955241254</v>
      </c>
      <c r="H26"/>
      <c r="I26"/>
      <c r="J26"/>
      <c r="S26" s="286"/>
    </row>
    <row r="27" spans="2:23" ht="16">
      <c r="B27" s="153" t="s">
        <v>211</v>
      </c>
      <c r="C27" s="153"/>
      <c r="D27" s="153">
        <v>0</v>
      </c>
      <c r="F27" s="575"/>
      <c r="G27"/>
      <c r="H27"/>
      <c r="I27"/>
      <c r="J27"/>
      <c r="K27" s="288"/>
      <c r="L27" s="288"/>
      <c r="M27" s="288"/>
      <c r="N27" s="288"/>
      <c r="O27" s="288"/>
      <c r="P27" s="288"/>
      <c r="Q27" s="288"/>
      <c r="R27" s="288"/>
      <c r="S27" s="286"/>
    </row>
    <row r="28" spans="2:23" ht="16">
      <c r="B28" s="153"/>
      <c r="C28" s="153"/>
      <c r="D28" s="153"/>
      <c r="G28"/>
      <c r="H28"/>
      <c r="I28"/>
      <c r="J28"/>
      <c r="K28" s="288"/>
      <c r="L28" s="288"/>
      <c r="M28" s="288"/>
      <c r="N28" s="288"/>
      <c r="O28" s="288"/>
      <c r="P28" s="288"/>
      <c r="Q28" s="288"/>
      <c r="R28" s="288"/>
    </row>
    <row r="29" spans="2:23" ht="16">
      <c r="B29" s="153" t="s">
        <v>212</v>
      </c>
      <c r="C29" s="153"/>
      <c r="D29" s="153">
        <f ca="1">SUM(D25:D27)</f>
        <v>62190764.86147026</v>
      </c>
      <c r="G29"/>
      <c r="H29"/>
      <c r="I29"/>
      <c r="J29"/>
      <c r="K29" s="287"/>
      <c r="L29" s="287"/>
      <c r="M29" s="287"/>
      <c r="N29" s="287"/>
      <c r="O29" s="287"/>
      <c r="P29" s="287"/>
      <c r="Q29" s="287"/>
      <c r="R29" s="287"/>
    </row>
    <row r="30" spans="2:23" ht="16">
      <c r="B30" s="153"/>
      <c r="C30" s="153"/>
      <c r="D30" s="153"/>
      <c r="G30"/>
      <c r="H30"/>
      <c r="I30"/>
      <c r="J30"/>
      <c r="K30" s="287"/>
      <c r="L30" s="287"/>
      <c r="M30" s="287"/>
      <c r="N30" s="287"/>
      <c r="O30" s="287"/>
      <c r="P30" s="287"/>
      <c r="Q30" s="287"/>
      <c r="R30" s="287"/>
    </row>
    <row r="31" spans="2:23">
      <c r="B31" s="126" t="s">
        <v>186</v>
      </c>
      <c r="C31" s="126"/>
      <c r="D31" s="126">
        <f ca="1">D29+D30</f>
        <v>62190764.86147026</v>
      </c>
    </row>
    <row r="32" spans="2:23">
      <c r="B32" s="126" t="s">
        <v>213</v>
      </c>
      <c r="D32" s="125">
        <f ca="1">D5</f>
        <v>13204015.686719578</v>
      </c>
      <c r="F32" s="126"/>
      <c r="G32" s="175"/>
    </row>
    <row r="33" spans="2:8">
      <c r="B33" s="268" t="s">
        <v>214</v>
      </c>
      <c r="C33" s="289"/>
      <c r="D33" s="268">
        <f ca="1">D31-D32</f>
        <v>48986749.174750686</v>
      </c>
      <c r="E33" s="171"/>
    </row>
    <row r="34" spans="2:8">
      <c r="F34" s="126"/>
      <c r="G34" s="290"/>
    </row>
    <row r="35" spans="2:8">
      <c r="C35" s="272"/>
    </row>
    <row r="36" spans="2:8">
      <c r="C36" s="272"/>
    </row>
    <row r="47" spans="2:8">
      <c r="G47" s="126" t="s">
        <v>196</v>
      </c>
    </row>
    <row r="48" spans="2:8">
      <c r="G48" s="268" t="s">
        <v>215</v>
      </c>
      <c r="H48" s="291">
        <v>0</v>
      </c>
    </row>
    <row r="49" spans="7:8">
      <c r="G49" s="125" t="s">
        <v>216</v>
      </c>
      <c r="H49" s="125">
        <f ca="1">'Grand Prairie- Exec Summary (1)'!O52*H48</f>
        <v>0</v>
      </c>
    </row>
    <row r="50" spans="7:8" ht="16">
      <c r="G50" s="125" t="s">
        <v>217</v>
      </c>
      <c r="H50" s="281">
        <v>0</v>
      </c>
    </row>
  </sheetData>
  <pageMargins left="0.7" right="0.7" top="0.75" bottom="0.75" header="0.3" footer="0.3"/>
  <pageSetup scale="52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7CFD-7DEA-164F-BAD3-D68DD12086AF}">
  <dimension ref="D3:N119"/>
  <sheetViews>
    <sheetView tabSelected="1" workbookViewId="0">
      <selection activeCell="N10" sqref="N10"/>
    </sheetView>
  </sheetViews>
  <sheetFormatPr baseColWidth="10" defaultRowHeight="16"/>
  <cols>
    <col min="8" max="8" width="16.83203125" customWidth="1"/>
    <col min="9" max="9" width="17" customWidth="1"/>
    <col min="10" max="10" width="12.6640625" customWidth="1"/>
    <col min="11" max="11" width="13.83203125" customWidth="1"/>
    <col min="12" max="12" width="17.33203125" bestFit="1" customWidth="1"/>
    <col min="13" max="13" width="20.6640625" bestFit="1" customWidth="1"/>
    <col min="14" max="14" width="19.1640625" bestFit="1" customWidth="1"/>
  </cols>
  <sheetData>
    <row r="3" spans="4:13">
      <c r="D3" s="292" t="s">
        <v>428</v>
      </c>
    </row>
    <row r="4" spans="4:13" ht="17" thickBot="1"/>
    <row r="5" spans="4:13">
      <c r="D5" s="521" t="s">
        <v>30</v>
      </c>
      <c r="E5" s="522" t="s">
        <v>334</v>
      </c>
      <c r="F5" s="522" t="s">
        <v>417</v>
      </c>
      <c r="G5" s="522" t="s">
        <v>418</v>
      </c>
      <c r="H5" s="522" t="s">
        <v>419</v>
      </c>
      <c r="I5" s="522" t="s">
        <v>420</v>
      </c>
      <c r="J5" s="522" t="s">
        <v>421</v>
      </c>
      <c r="K5" s="522" t="s">
        <v>422</v>
      </c>
      <c r="L5" s="522" t="s">
        <v>423</v>
      </c>
      <c r="M5" s="523" t="s">
        <v>424</v>
      </c>
    </row>
    <row r="6" spans="4:13">
      <c r="D6" s="524" t="str">
        <f>'Grand Prairie- Exec Summary (1)'!B26</f>
        <v>A-1: 1BR</v>
      </c>
      <c r="E6" s="525">
        <f>'Grand Prairie- Exec Summary (1)'!D26</f>
        <v>725</v>
      </c>
      <c r="F6" s="525">
        <f>'Grand Prairie- Exec Summary (1)'!F26</f>
        <v>1550</v>
      </c>
      <c r="G6" s="513" t="s">
        <v>425</v>
      </c>
      <c r="H6" s="508">
        <f>F52</f>
        <v>745</v>
      </c>
      <c r="I6" s="508">
        <v>1723</v>
      </c>
      <c r="J6" s="525">
        <f>E6-H6</f>
        <v>-20</v>
      </c>
      <c r="K6" s="525">
        <f>F6-I6</f>
        <v>-173</v>
      </c>
      <c r="L6" s="526">
        <f>I6/H6</f>
        <v>2.3127516778523489</v>
      </c>
      <c r="M6" s="527">
        <f>F6/E6</f>
        <v>2.1379310344827585</v>
      </c>
    </row>
    <row r="7" spans="4:13">
      <c r="D7" s="524" t="str">
        <f>'Grand Prairie- Exec Summary (1)'!B27</f>
        <v>A-2: 1BR</v>
      </c>
      <c r="E7" s="525">
        <f>'Grand Prairie- Exec Summary (1)'!D27</f>
        <v>762</v>
      </c>
      <c r="F7" s="525">
        <f>'Grand Prairie- Exec Summary (1)'!F27</f>
        <v>1620</v>
      </c>
      <c r="G7" s="513" t="str">
        <f>G6</f>
        <v>Reveal</v>
      </c>
      <c r="H7" s="508">
        <f>H6</f>
        <v>745</v>
      </c>
      <c r="I7" s="508">
        <f>I6</f>
        <v>1723</v>
      </c>
      <c r="J7" s="525">
        <f t="shared" ref="J7:K13" si="0">E7-H7</f>
        <v>17</v>
      </c>
      <c r="K7" s="525">
        <f t="shared" si="0"/>
        <v>-103</v>
      </c>
      <c r="L7" s="526">
        <f t="shared" ref="L7:L13" si="1">I7/H7</f>
        <v>2.3127516778523489</v>
      </c>
      <c r="M7" s="527">
        <f t="shared" ref="M7:M13" si="2">F7/E7</f>
        <v>2.1259842519685042</v>
      </c>
    </row>
    <row r="8" spans="4:13">
      <c r="D8" s="524" t="str">
        <f>'Grand Prairie- Exec Summary (1)'!B28</f>
        <v>A-3: 1BR</v>
      </c>
      <c r="E8" s="525">
        <f>'Grand Prairie- Exec Summary (1)'!D28</f>
        <v>803</v>
      </c>
      <c r="F8" s="525">
        <f>'Grand Prairie- Exec Summary (1)'!F28</f>
        <v>1725</v>
      </c>
      <c r="G8" s="513" t="s">
        <v>426</v>
      </c>
      <c r="H8" s="508">
        <f>F77</f>
        <v>803</v>
      </c>
      <c r="I8" s="508">
        <v>1619</v>
      </c>
      <c r="J8" s="525">
        <f t="shared" si="0"/>
        <v>0</v>
      </c>
      <c r="K8" s="525">
        <f t="shared" si="0"/>
        <v>106</v>
      </c>
      <c r="L8" s="526">
        <f t="shared" si="1"/>
        <v>2.016189290161893</v>
      </c>
      <c r="M8" s="527">
        <f t="shared" si="2"/>
        <v>2.1481942714819429</v>
      </c>
    </row>
    <row r="9" spans="4:13">
      <c r="D9" s="524" t="str">
        <f>'Grand Prairie- Exec Summary (1)'!B29</f>
        <v>A-4: 1BR</v>
      </c>
      <c r="E9" s="525">
        <f>'Grand Prairie- Exec Summary (1)'!D29</f>
        <v>874</v>
      </c>
      <c r="F9" s="525">
        <f>'Grand Prairie- Exec Summary (1)'!F29</f>
        <v>1900</v>
      </c>
      <c r="G9" s="513" t="s">
        <v>425</v>
      </c>
      <c r="H9" s="508">
        <f>F54</f>
        <v>894</v>
      </c>
      <c r="I9" s="508">
        <v>1834</v>
      </c>
      <c r="J9" s="525">
        <f t="shared" si="0"/>
        <v>-20</v>
      </c>
      <c r="K9" s="525">
        <f t="shared" si="0"/>
        <v>66</v>
      </c>
      <c r="L9" s="526">
        <f t="shared" si="1"/>
        <v>2.0514541387024607</v>
      </c>
      <c r="M9" s="527">
        <f t="shared" si="2"/>
        <v>2.1739130434782608</v>
      </c>
    </row>
    <row r="10" spans="4:13">
      <c r="D10" s="524" t="str">
        <f>'Grand Prairie- Exec Summary (1)'!B30</f>
        <v>A-5: 1BR</v>
      </c>
      <c r="E10" s="525">
        <f>'Grand Prairie- Exec Summary (1)'!D30</f>
        <v>930</v>
      </c>
      <c r="F10" s="525">
        <f>'Grand Prairie- Exec Summary (1)'!F30</f>
        <v>2000</v>
      </c>
      <c r="G10" s="513" t="s">
        <v>426</v>
      </c>
      <c r="H10" s="508">
        <f>F81</f>
        <v>941</v>
      </c>
      <c r="I10" s="508">
        <v>1883</v>
      </c>
      <c r="J10" s="525">
        <f t="shared" si="0"/>
        <v>-11</v>
      </c>
      <c r="K10" s="525">
        <f t="shared" si="0"/>
        <v>117</v>
      </c>
      <c r="L10" s="526">
        <f t="shared" si="1"/>
        <v>2.0010626992561105</v>
      </c>
      <c r="M10" s="527">
        <f t="shared" si="2"/>
        <v>2.150537634408602</v>
      </c>
    </row>
    <row r="11" spans="4:13">
      <c r="D11" s="524" t="str">
        <f>'Grand Prairie- Exec Summary (1)'!B31</f>
        <v>B-1: 2BR</v>
      </c>
      <c r="E11" s="525">
        <f>'Grand Prairie- Exec Summary (1)'!D31</f>
        <v>1060</v>
      </c>
      <c r="F11" s="525">
        <f>'Grand Prairie- Exec Summary (1)'!F31</f>
        <v>2400</v>
      </c>
      <c r="G11" s="513" t="str">
        <f>G12</f>
        <v>Reveal</v>
      </c>
      <c r="H11" s="508">
        <f>H12</f>
        <v>1098</v>
      </c>
      <c r="I11" s="508">
        <f>I12</f>
        <v>2491</v>
      </c>
      <c r="J11" s="525">
        <f t="shared" si="0"/>
        <v>-38</v>
      </c>
      <c r="K11" s="525">
        <f t="shared" si="0"/>
        <v>-91</v>
      </c>
      <c r="L11" s="526">
        <f t="shared" si="1"/>
        <v>2.268670309653916</v>
      </c>
      <c r="M11" s="527">
        <f t="shared" si="2"/>
        <v>2.2641509433962264</v>
      </c>
    </row>
    <row r="12" spans="4:13">
      <c r="D12" s="524" t="str">
        <f>'Grand Prairie- Exec Summary (1)'!B32</f>
        <v>B-2: 2BR</v>
      </c>
      <c r="E12" s="525">
        <f>'Grand Prairie- Exec Summary (1)'!D32</f>
        <v>1120</v>
      </c>
      <c r="F12" s="525">
        <f>'Grand Prairie- Exec Summary (1)'!F32</f>
        <v>2580</v>
      </c>
      <c r="G12" s="513" t="s">
        <v>425</v>
      </c>
      <c r="H12" s="508">
        <f>F56</f>
        <v>1098</v>
      </c>
      <c r="I12" s="508">
        <v>2491</v>
      </c>
      <c r="J12" s="525">
        <f t="shared" si="0"/>
        <v>22</v>
      </c>
      <c r="K12" s="525">
        <f t="shared" si="0"/>
        <v>89</v>
      </c>
      <c r="L12" s="526">
        <f t="shared" si="1"/>
        <v>2.268670309653916</v>
      </c>
      <c r="M12" s="527">
        <f t="shared" si="2"/>
        <v>2.3035714285714284</v>
      </c>
    </row>
    <row r="13" spans="4:13" ht="17" thickBot="1">
      <c r="D13" s="528" t="str">
        <f>'Grand Prairie- Exec Summary (1)'!B33</f>
        <v>B-3: 2BR</v>
      </c>
      <c r="E13" s="529">
        <f>'Grand Prairie- Exec Summary (1)'!D33</f>
        <v>1213</v>
      </c>
      <c r="F13" s="529">
        <f>'Grand Prairie- Exec Summary (1)'!F33</f>
        <v>2835</v>
      </c>
      <c r="G13" s="530" t="s">
        <v>427</v>
      </c>
      <c r="H13" s="531">
        <f>F21</f>
        <v>1236</v>
      </c>
      <c r="I13" s="531">
        <v>2568</v>
      </c>
      <c r="J13" s="529">
        <f t="shared" si="0"/>
        <v>-23</v>
      </c>
      <c r="K13" s="529">
        <f t="shared" si="0"/>
        <v>267</v>
      </c>
      <c r="L13" s="532">
        <f t="shared" si="1"/>
        <v>2.0776699029126213</v>
      </c>
      <c r="M13" s="533">
        <f t="shared" si="2"/>
        <v>2.3371805441055233</v>
      </c>
    </row>
    <row r="14" spans="4:13">
      <c r="D14" s="229"/>
    </row>
    <row r="15" spans="4:13">
      <c r="D15" s="229"/>
    </row>
    <row r="16" spans="4:13">
      <c r="D16" s="292" t="s">
        <v>386</v>
      </c>
    </row>
    <row r="18" spans="4:14">
      <c r="D18" s="483" t="s">
        <v>387</v>
      </c>
      <c r="E18" s="484" t="s">
        <v>388</v>
      </c>
      <c r="F18" s="484" t="s">
        <v>389</v>
      </c>
      <c r="G18" s="484" t="s">
        <v>390</v>
      </c>
      <c r="H18" s="484" t="s">
        <v>391</v>
      </c>
      <c r="I18" s="484" t="s">
        <v>392</v>
      </c>
      <c r="J18" s="484" t="s">
        <v>393</v>
      </c>
      <c r="K18" s="484" t="s">
        <v>394</v>
      </c>
      <c r="L18" s="484" t="s">
        <v>395</v>
      </c>
      <c r="M18" s="484" t="s">
        <v>396</v>
      </c>
      <c r="N18" s="485" t="s">
        <v>397</v>
      </c>
    </row>
    <row r="19" spans="4:14">
      <c r="D19" s="486">
        <v>1</v>
      </c>
      <c r="E19" s="487">
        <v>1</v>
      </c>
      <c r="F19" s="488">
        <v>936</v>
      </c>
      <c r="G19" s="488">
        <v>44</v>
      </c>
      <c r="H19" s="489">
        <v>0.25900000000000001</v>
      </c>
      <c r="I19" s="490"/>
      <c r="J19" s="490"/>
      <c r="K19" s="491" t="s">
        <v>398</v>
      </c>
      <c r="L19" s="492" t="s">
        <v>399</v>
      </c>
      <c r="M19" s="491" t="s">
        <v>398</v>
      </c>
      <c r="N19" s="493" t="s">
        <v>399</v>
      </c>
    </row>
    <row r="20" spans="4:14">
      <c r="D20" s="486">
        <v>2</v>
      </c>
      <c r="E20" s="487">
        <v>2</v>
      </c>
      <c r="F20" s="488">
        <v>960</v>
      </c>
      <c r="G20" s="488">
        <v>72</v>
      </c>
      <c r="H20" s="489">
        <v>0.42399999999999999</v>
      </c>
      <c r="I20" s="490"/>
      <c r="J20" s="490"/>
      <c r="K20" s="491" t="s">
        <v>400</v>
      </c>
      <c r="L20" s="492" t="s">
        <v>401</v>
      </c>
      <c r="M20" s="491" t="s">
        <v>400</v>
      </c>
      <c r="N20" s="493" t="s">
        <v>401</v>
      </c>
    </row>
    <row r="21" spans="4:14">
      <c r="D21" s="486">
        <v>3</v>
      </c>
      <c r="E21" s="487">
        <v>2</v>
      </c>
      <c r="F21" s="488">
        <v>1236</v>
      </c>
      <c r="G21" s="488">
        <v>54</v>
      </c>
      <c r="H21" s="489">
        <v>0.318</v>
      </c>
      <c r="I21" s="490"/>
      <c r="J21" s="490"/>
      <c r="K21" s="491" t="s">
        <v>402</v>
      </c>
      <c r="L21" s="492" t="s">
        <v>403</v>
      </c>
      <c r="M21" s="491" t="s">
        <v>402</v>
      </c>
      <c r="N21" s="493" t="s">
        <v>403</v>
      </c>
    </row>
    <row r="22" spans="4:14">
      <c r="D22" s="486"/>
      <c r="E22" s="490"/>
      <c r="F22" s="490"/>
      <c r="G22" s="490"/>
      <c r="H22" s="490"/>
      <c r="I22" s="490"/>
      <c r="J22" s="490"/>
      <c r="K22" s="490"/>
      <c r="L22" s="490"/>
      <c r="M22" s="490"/>
      <c r="N22" s="494"/>
    </row>
    <row r="23" spans="4:14">
      <c r="D23" s="486" t="s">
        <v>404</v>
      </c>
      <c r="E23" s="490"/>
      <c r="F23" s="488">
        <v>936</v>
      </c>
      <c r="G23" s="488">
        <v>44</v>
      </c>
      <c r="H23" s="489">
        <v>0.25900000000000001</v>
      </c>
      <c r="I23" s="490"/>
      <c r="J23" s="490"/>
      <c r="K23" s="491" t="s">
        <v>398</v>
      </c>
      <c r="L23" s="492" t="s">
        <v>399</v>
      </c>
      <c r="M23" s="491" t="s">
        <v>398</v>
      </c>
      <c r="N23" s="493" t="s">
        <v>399</v>
      </c>
    </row>
    <row r="24" spans="4:14">
      <c r="D24" s="486" t="s">
        <v>405</v>
      </c>
      <c r="E24" s="490"/>
      <c r="F24" s="488">
        <v>960</v>
      </c>
      <c r="G24" s="488">
        <v>72</v>
      </c>
      <c r="H24" s="489">
        <v>0.42399999999999999</v>
      </c>
      <c r="I24" s="490"/>
      <c r="J24" s="490"/>
      <c r="K24" s="491" t="s">
        <v>400</v>
      </c>
      <c r="L24" s="492" t="s">
        <v>401</v>
      </c>
      <c r="M24" s="491" t="s">
        <v>400</v>
      </c>
      <c r="N24" s="493" t="s">
        <v>401</v>
      </c>
    </row>
    <row r="25" spans="4:14">
      <c r="D25" s="486" t="s">
        <v>406</v>
      </c>
      <c r="E25" s="490"/>
      <c r="F25" s="488">
        <v>1236</v>
      </c>
      <c r="G25" s="488">
        <v>54</v>
      </c>
      <c r="H25" s="489">
        <v>0.318</v>
      </c>
      <c r="I25" s="490"/>
      <c r="J25" s="490"/>
      <c r="K25" s="491" t="s">
        <v>402</v>
      </c>
      <c r="L25" s="492" t="s">
        <v>403</v>
      </c>
      <c r="M25" s="491" t="s">
        <v>402</v>
      </c>
      <c r="N25" s="493" t="s">
        <v>403</v>
      </c>
    </row>
    <row r="26" spans="4:14">
      <c r="D26" s="495" t="s">
        <v>407</v>
      </c>
      <c r="E26" s="496"/>
      <c r="F26" s="497">
        <v>1041</v>
      </c>
      <c r="G26" s="497">
        <v>170</v>
      </c>
      <c r="H26" s="498">
        <v>1</v>
      </c>
      <c r="I26" s="496"/>
      <c r="J26" s="496"/>
      <c r="K26" s="499" t="s">
        <v>408</v>
      </c>
      <c r="L26" s="500" t="s">
        <v>409</v>
      </c>
      <c r="M26" s="499" t="s">
        <v>408</v>
      </c>
      <c r="N26" s="501" t="s">
        <v>409</v>
      </c>
    </row>
    <row r="29" spans="4:14">
      <c r="D29" s="502" t="s">
        <v>410</v>
      </c>
    </row>
    <row r="31" spans="4:14">
      <c r="D31" s="503" t="s">
        <v>387</v>
      </c>
      <c r="E31" s="504" t="s">
        <v>388</v>
      </c>
      <c r="F31" s="504" t="s">
        <v>389</v>
      </c>
      <c r="G31" s="504" t="s">
        <v>390</v>
      </c>
      <c r="H31" s="504" t="s">
        <v>391</v>
      </c>
      <c r="I31" s="504" t="s">
        <v>392</v>
      </c>
      <c r="J31" s="504" t="s">
        <v>393</v>
      </c>
      <c r="K31" s="504" t="s">
        <v>394</v>
      </c>
      <c r="L31" s="504" t="s">
        <v>395</v>
      </c>
      <c r="M31" s="504" t="s">
        <v>396</v>
      </c>
      <c r="N31" s="505" t="s">
        <v>397</v>
      </c>
    </row>
    <row r="32" spans="4:14">
      <c r="D32" s="506" t="s">
        <v>411</v>
      </c>
      <c r="E32" s="507">
        <v>1</v>
      </c>
      <c r="F32" s="508">
        <v>750</v>
      </c>
      <c r="G32" s="508">
        <v>28</v>
      </c>
      <c r="H32" s="509">
        <v>8.5000000000000006E-2</v>
      </c>
      <c r="I32" s="508">
        <v>6</v>
      </c>
      <c r="J32" s="509">
        <v>0.21429999999999999</v>
      </c>
      <c r="K32" s="510">
        <v>1470</v>
      </c>
      <c r="L32" s="511">
        <v>1.96</v>
      </c>
      <c r="M32" s="510">
        <v>1409</v>
      </c>
      <c r="N32" s="512">
        <v>1.88</v>
      </c>
    </row>
    <row r="33" spans="4:14">
      <c r="D33" s="506" t="s">
        <v>411</v>
      </c>
      <c r="E33" s="507">
        <v>1</v>
      </c>
      <c r="F33" s="508">
        <v>769</v>
      </c>
      <c r="G33" s="508">
        <v>45</v>
      </c>
      <c r="H33" s="509">
        <v>0.13600000000000001</v>
      </c>
      <c r="I33" s="508">
        <v>8</v>
      </c>
      <c r="J33" s="509">
        <v>0.17780000000000001</v>
      </c>
      <c r="K33" s="510">
        <v>1455</v>
      </c>
      <c r="L33" s="511">
        <v>1.89</v>
      </c>
      <c r="M33" s="510">
        <v>1394</v>
      </c>
      <c r="N33" s="512">
        <v>1.81</v>
      </c>
    </row>
    <row r="34" spans="4:14">
      <c r="D34" s="506" t="s">
        <v>411</v>
      </c>
      <c r="E34" s="507">
        <v>1</v>
      </c>
      <c r="F34" s="508">
        <v>811</v>
      </c>
      <c r="G34" s="508">
        <v>64</v>
      </c>
      <c r="H34" s="509">
        <v>0.193</v>
      </c>
      <c r="I34" s="508">
        <v>28</v>
      </c>
      <c r="J34" s="509">
        <v>0.4375</v>
      </c>
      <c r="K34" s="510">
        <v>1520</v>
      </c>
      <c r="L34" s="511">
        <v>1.87</v>
      </c>
      <c r="M34" s="510">
        <v>1457</v>
      </c>
      <c r="N34" s="512">
        <v>1.8</v>
      </c>
    </row>
    <row r="35" spans="4:14">
      <c r="D35" s="506" t="s">
        <v>411</v>
      </c>
      <c r="E35" s="507">
        <v>1</v>
      </c>
      <c r="F35" s="508">
        <v>866</v>
      </c>
      <c r="G35" s="508">
        <v>69</v>
      </c>
      <c r="H35" s="509">
        <v>0.20799999999999999</v>
      </c>
      <c r="I35" s="508">
        <v>44</v>
      </c>
      <c r="J35" s="509">
        <v>0.63770000000000004</v>
      </c>
      <c r="K35" s="510">
        <v>1555</v>
      </c>
      <c r="L35" s="511">
        <v>1.8</v>
      </c>
      <c r="M35" s="510">
        <v>1490</v>
      </c>
      <c r="N35" s="512">
        <v>1.72</v>
      </c>
    </row>
    <row r="36" spans="4:14">
      <c r="D36" s="506" t="s">
        <v>411</v>
      </c>
      <c r="E36" s="507">
        <v>1</v>
      </c>
      <c r="F36" s="508">
        <v>895</v>
      </c>
      <c r="G36" s="508">
        <v>26</v>
      </c>
      <c r="H36" s="509">
        <v>7.9000000000000001E-2</v>
      </c>
      <c r="I36" s="508">
        <v>11</v>
      </c>
      <c r="J36" s="509">
        <v>0.42309999999999998</v>
      </c>
      <c r="K36" s="510">
        <v>1680</v>
      </c>
      <c r="L36" s="511">
        <v>1.88</v>
      </c>
      <c r="M36" s="510">
        <v>1610</v>
      </c>
      <c r="N36" s="512">
        <v>1.8</v>
      </c>
    </row>
    <row r="37" spans="4:14">
      <c r="D37" s="506" t="s">
        <v>412</v>
      </c>
      <c r="E37" s="507">
        <v>2</v>
      </c>
      <c r="F37" s="508">
        <v>970</v>
      </c>
      <c r="G37" s="508">
        <v>56</v>
      </c>
      <c r="H37" s="509">
        <v>0.16900000000000001</v>
      </c>
      <c r="I37" s="508">
        <v>7</v>
      </c>
      <c r="J37" s="509">
        <v>0.125</v>
      </c>
      <c r="K37" s="510">
        <v>1865</v>
      </c>
      <c r="L37" s="511">
        <v>1.92</v>
      </c>
      <c r="M37" s="510">
        <v>1787</v>
      </c>
      <c r="N37" s="512">
        <v>1.84</v>
      </c>
    </row>
    <row r="38" spans="4:14">
      <c r="D38" s="506" t="s">
        <v>412</v>
      </c>
      <c r="E38" s="507">
        <v>2</v>
      </c>
      <c r="F38" s="508">
        <v>1098</v>
      </c>
      <c r="G38" s="508">
        <v>24</v>
      </c>
      <c r="H38" s="509">
        <v>7.2999999999999995E-2</v>
      </c>
      <c r="I38" s="508">
        <v>4</v>
      </c>
      <c r="J38" s="509">
        <v>0.16669999999999999</v>
      </c>
      <c r="K38" s="510">
        <v>2060</v>
      </c>
      <c r="L38" s="511">
        <v>1.88</v>
      </c>
      <c r="M38" s="510">
        <v>1974</v>
      </c>
      <c r="N38" s="512">
        <v>1.8</v>
      </c>
    </row>
    <row r="39" spans="4:14">
      <c r="D39" s="506" t="s">
        <v>413</v>
      </c>
      <c r="E39" s="507">
        <v>2</v>
      </c>
      <c r="F39" s="508">
        <v>1344</v>
      </c>
      <c r="G39" s="508">
        <v>1</v>
      </c>
      <c r="H39" s="509">
        <v>3.0000000000000001E-3</v>
      </c>
      <c r="I39" s="508">
        <v>0</v>
      </c>
      <c r="J39" s="509">
        <v>0</v>
      </c>
      <c r="K39" s="510">
        <v>2610</v>
      </c>
      <c r="L39" s="511">
        <v>1.94</v>
      </c>
      <c r="M39" s="510">
        <v>2501</v>
      </c>
      <c r="N39" s="512">
        <v>1.86</v>
      </c>
    </row>
    <row r="40" spans="4:14">
      <c r="D40" s="506" t="s">
        <v>413</v>
      </c>
      <c r="E40" s="507">
        <v>2</v>
      </c>
      <c r="F40" s="508">
        <v>1352</v>
      </c>
      <c r="G40" s="508">
        <v>18</v>
      </c>
      <c r="H40" s="509">
        <v>5.3999999999999999E-2</v>
      </c>
      <c r="I40" s="508">
        <v>10</v>
      </c>
      <c r="J40" s="509">
        <v>0.55559999999999998</v>
      </c>
      <c r="K40" s="510">
        <v>2585</v>
      </c>
      <c r="L40" s="511">
        <v>1.91</v>
      </c>
      <c r="M40" s="510">
        <v>2477</v>
      </c>
      <c r="N40" s="512">
        <v>1.83</v>
      </c>
    </row>
    <row r="41" spans="4:14">
      <c r="D41" s="506"/>
      <c r="E41" s="513"/>
      <c r="F41" s="513"/>
      <c r="G41" s="513"/>
      <c r="H41" s="513"/>
      <c r="I41" s="513"/>
      <c r="J41" s="513"/>
      <c r="K41" s="513"/>
      <c r="L41" s="513"/>
      <c r="M41" s="513"/>
      <c r="N41" s="514"/>
    </row>
    <row r="42" spans="4:14">
      <c r="D42" s="506" t="s">
        <v>404</v>
      </c>
      <c r="E42" s="513"/>
      <c r="F42" s="508">
        <v>821</v>
      </c>
      <c r="G42" s="508">
        <v>232</v>
      </c>
      <c r="H42" s="509">
        <v>0.70099999999999996</v>
      </c>
      <c r="I42" s="508">
        <v>97</v>
      </c>
      <c r="J42" s="509">
        <v>0.41810000000000003</v>
      </c>
      <c r="K42" s="510">
        <v>1530</v>
      </c>
      <c r="L42" s="511">
        <v>1.86</v>
      </c>
      <c r="M42" s="510">
        <v>1466</v>
      </c>
      <c r="N42" s="512">
        <v>1.78</v>
      </c>
    </row>
    <row r="43" spans="4:14">
      <c r="D43" s="506" t="s">
        <v>405</v>
      </c>
      <c r="E43" s="513"/>
      <c r="F43" s="508">
        <v>1008</v>
      </c>
      <c r="G43" s="508">
        <v>80</v>
      </c>
      <c r="H43" s="509">
        <v>0.24199999999999999</v>
      </c>
      <c r="I43" s="508">
        <v>11</v>
      </c>
      <c r="J43" s="509">
        <v>0.13750000000000001</v>
      </c>
      <c r="K43" s="510">
        <v>1924</v>
      </c>
      <c r="L43" s="511">
        <v>1.91</v>
      </c>
      <c r="M43" s="510">
        <v>1843</v>
      </c>
      <c r="N43" s="512">
        <v>1.83</v>
      </c>
    </row>
    <row r="44" spans="4:14">
      <c r="D44" s="506" t="s">
        <v>406</v>
      </c>
      <c r="E44" s="513"/>
      <c r="F44" s="508">
        <v>1352</v>
      </c>
      <c r="G44" s="508">
        <v>19</v>
      </c>
      <c r="H44" s="509">
        <v>5.7000000000000002E-2</v>
      </c>
      <c r="I44" s="508">
        <v>10</v>
      </c>
      <c r="J44" s="509">
        <v>0.52629999999999999</v>
      </c>
      <c r="K44" s="510">
        <v>2586</v>
      </c>
      <c r="L44" s="511">
        <v>1.91</v>
      </c>
      <c r="M44" s="510">
        <v>2478</v>
      </c>
      <c r="N44" s="512">
        <v>1.83</v>
      </c>
    </row>
    <row r="45" spans="4:14">
      <c r="D45" s="515" t="s">
        <v>407</v>
      </c>
      <c r="E45" s="336"/>
      <c r="F45" s="516">
        <v>897</v>
      </c>
      <c r="G45" s="516">
        <v>331</v>
      </c>
      <c r="H45" s="517">
        <v>1</v>
      </c>
      <c r="I45" s="516">
        <v>118</v>
      </c>
      <c r="J45" s="517">
        <v>0.35649999999999998</v>
      </c>
      <c r="K45" s="518">
        <v>1686</v>
      </c>
      <c r="L45" s="519">
        <v>1.88</v>
      </c>
      <c r="M45" s="518">
        <v>1615</v>
      </c>
      <c r="N45" s="520">
        <v>1.8</v>
      </c>
    </row>
    <row r="48" spans="4:14">
      <c r="D48" s="292" t="s">
        <v>414</v>
      </c>
    </row>
    <row r="50" spans="4:14">
      <c r="D50" s="503" t="s">
        <v>387</v>
      </c>
      <c r="E50" s="504" t="s">
        <v>388</v>
      </c>
      <c r="F50" s="504" t="s">
        <v>389</v>
      </c>
      <c r="G50" s="504" t="s">
        <v>390</v>
      </c>
      <c r="H50" s="504" t="s">
        <v>391</v>
      </c>
      <c r="I50" s="504" t="s">
        <v>392</v>
      </c>
      <c r="J50" s="504" t="s">
        <v>393</v>
      </c>
      <c r="K50" s="504" t="s">
        <v>394</v>
      </c>
      <c r="L50" s="504" t="s">
        <v>395</v>
      </c>
      <c r="M50" s="504" t="s">
        <v>396</v>
      </c>
      <c r="N50" s="505" t="s">
        <v>397</v>
      </c>
    </row>
    <row r="51" spans="4:14">
      <c r="D51" s="506" t="s">
        <v>411</v>
      </c>
      <c r="E51" s="507">
        <v>1</v>
      </c>
      <c r="F51" s="508">
        <v>700</v>
      </c>
      <c r="G51" s="508">
        <v>88</v>
      </c>
      <c r="H51" s="509">
        <v>0.20200000000000001</v>
      </c>
      <c r="I51" s="508">
        <v>4</v>
      </c>
      <c r="J51" s="509">
        <v>4.5499999999999999E-2</v>
      </c>
      <c r="K51" s="510">
        <v>1642</v>
      </c>
      <c r="L51" s="511">
        <v>2.35</v>
      </c>
      <c r="M51" s="510">
        <v>1516</v>
      </c>
      <c r="N51" s="512">
        <v>2.17</v>
      </c>
    </row>
    <row r="52" spans="4:14">
      <c r="D52" s="506" t="s">
        <v>411</v>
      </c>
      <c r="E52" s="507">
        <v>1</v>
      </c>
      <c r="F52" s="508">
        <v>745</v>
      </c>
      <c r="G52" s="508">
        <v>40</v>
      </c>
      <c r="H52" s="509">
        <v>9.1999999999999998E-2</v>
      </c>
      <c r="I52" s="508">
        <v>2</v>
      </c>
      <c r="J52" s="509">
        <v>0.05</v>
      </c>
      <c r="K52" s="510">
        <v>1723</v>
      </c>
      <c r="L52" s="511">
        <v>2.31</v>
      </c>
      <c r="M52" s="510">
        <v>1591</v>
      </c>
      <c r="N52" s="512">
        <v>2.14</v>
      </c>
    </row>
    <row r="53" spans="4:14">
      <c r="D53" s="506" t="s">
        <v>411</v>
      </c>
      <c r="E53" s="507">
        <v>1</v>
      </c>
      <c r="F53" s="508">
        <v>770</v>
      </c>
      <c r="G53" s="508">
        <v>112</v>
      </c>
      <c r="H53" s="509">
        <v>0.25700000000000001</v>
      </c>
      <c r="I53" s="508">
        <v>7</v>
      </c>
      <c r="J53" s="509">
        <v>6.25E-2</v>
      </c>
      <c r="K53" s="510">
        <v>1593</v>
      </c>
      <c r="L53" s="511">
        <v>2.0699999999999998</v>
      </c>
      <c r="M53" s="510">
        <v>1471</v>
      </c>
      <c r="N53" s="512">
        <v>1.91</v>
      </c>
    </row>
    <row r="54" spans="4:14">
      <c r="D54" s="506" t="s">
        <v>411</v>
      </c>
      <c r="E54" s="507">
        <v>1</v>
      </c>
      <c r="F54" s="508">
        <v>894</v>
      </c>
      <c r="G54" s="508">
        <v>1</v>
      </c>
      <c r="H54" s="509">
        <v>2E-3</v>
      </c>
      <c r="I54" s="508">
        <v>0</v>
      </c>
      <c r="J54" s="509">
        <v>0</v>
      </c>
      <c r="K54" s="510">
        <v>1830</v>
      </c>
      <c r="L54" s="511">
        <v>2.0499999999999998</v>
      </c>
      <c r="M54" s="510">
        <v>1690</v>
      </c>
      <c r="N54" s="512">
        <v>1.89</v>
      </c>
    </row>
    <row r="55" spans="4:14">
      <c r="D55" s="506" t="s">
        <v>412</v>
      </c>
      <c r="E55" s="507">
        <v>2</v>
      </c>
      <c r="F55" s="508">
        <v>1080</v>
      </c>
      <c r="G55" s="508">
        <v>71</v>
      </c>
      <c r="H55" s="509">
        <v>0.16300000000000001</v>
      </c>
      <c r="I55" s="508">
        <v>7</v>
      </c>
      <c r="J55" s="509">
        <v>9.8599999999999993E-2</v>
      </c>
      <c r="K55" s="510">
        <v>1914</v>
      </c>
      <c r="L55" s="511">
        <v>1.77</v>
      </c>
      <c r="M55" s="510">
        <v>1767</v>
      </c>
      <c r="N55" s="512">
        <v>1.64</v>
      </c>
    </row>
    <row r="56" spans="4:14">
      <c r="D56" s="506" t="s">
        <v>412</v>
      </c>
      <c r="E56" s="507">
        <v>2</v>
      </c>
      <c r="F56" s="508">
        <v>1098</v>
      </c>
      <c r="G56" s="508">
        <v>30</v>
      </c>
      <c r="H56" s="509">
        <v>6.9000000000000006E-2</v>
      </c>
      <c r="I56" s="508">
        <v>0</v>
      </c>
      <c r="J56" s="509">
        <v>0</v>
      </c>
      <c r="K56" s="510">
        <v>2491</v>
      </c>
      <c r="L56" s="511">
        <v>2.27</v>
      </c>
      <c r="M56" s="510">
        <v>2300</v>
      </c>
      <c r="N56" s="512">
        <v>2.09</v>
      </c>
    </row>
    <row r="57" spans="4:14">
      <c r="D57" s="506" t="s">
        <v>412</v>
      </c>
      <c r="E57" s="507">
        <v>2</v>
      </c>
      <c r="F57" s="508">
        <v>1261</v>
      </c>
      <c r="G57" s="508">
        <v>32</v>
      </c>
      <c r="H57" s="509">
        <v>7.2999999999999995E-2</v>
      </c>
      <c r="I57" s="508">
        <v>3</v>
      </c>
      <c r="J57" s="509">
        <v>9.3799999999999994E-2</v>
      </c>
      <c r="K57" s="510">
        <v>2166</v>
      </c>
      <c r="L57" s="511">
        <v>1.72</v>
      </c>
      <c r="M57" s="510">
        <v>2000</v>
      </c>
      <c r="N57" s="512">
        <v>1.59</v>
      </c>
    </row>
    <row r="58" spans="4:14">
      <c r="D58" s="506" t="s">
        <v>412</v>
      </c>
      <c r="E58" s="507">
        <v>2</v>
      </c>
      <c r="F58" s="508">
        <v>1313</v>
      </c>
      <c r="G58" s="508">
        <v>22</v>
      </c>
      <c r="H58" s="509">
        <v>0.05</v>
      </c>
      <c r="I58" s="508">
        <v>3</v>
      </c>
      <c r="J58" s="509">
        <v>0.13639999999999999</v>
      </c>
      <c r="K58" s="510">
        <v>2322</v>
      </c>
      <c r="L58" s="511">
        <v>1.77</v>
      </c>
      <c r="M58" s="510">
        <v>2144</v>
      </c>
      <c r="N58" s="512">
        <v>1.63</v>
      </c>
    </row>
    <row r="59" spans="4:14">
      <c r="D59" s="506" t="s">
        <v>412</v>
      </c>
      <c r="E59" s="507">
        <v>2</v>
      </c>
      <c r="F59" s="508">
        <v>1320</v>
      </c>
      <c r="G59" s="508">
        <v>4</v>
      </c>
      <c r="H59" s="509">
        <v>8.9999999999999993E-3</v>
      </c>
      <c r="I59" s="508">
        <v>0</v>
      </c>
      <c r="J59" s="509">
        <v>0</v>
      </c>
      <c r="K59" s="510">
        <v>2924</v>
      </c>
      <c r="L59" s="511">
        <v>2.21</v>
      </c>
      <c r="M59" s="510">
        <v>2699</v>
      </c>
      <c r="N59" s="512">
        <v>2.04</v>
      </c>
    </row>
    <row r="60" spans="4:14">
      <c r="D60" s="506" t="s">
        <v>412</v>
      </c>
      <c r="E60" s="507">
        <v>2</v>
      </c>
      <c r="F60" s="508">
        <v>1331</v>
      </c>
      <c r="G60" s="508">
        <v>7</v>
      </c>
      <c r="H60" s="509">
        <v>1.6E-2</v>
      </c>
      <c r="I60" s="508">
        <v>0</v>
      </c>
      <c r="J60" s="509">
        <v>0</v>
      </c>
      <c r="K60" s="510">
        <v>3177</v>
      </c>
      <c r="L60" s="511">
        <v>2.39</v>
      </c>
      <c r="M60" s="510">
        <v>2934</v>
      </c>
      <c r="N60" s="512">
        <v>2.2000000000000002</v>
      </c>
    </row>
    <row r="61" spans="4:14">
      <c r="D61" s="506" t="s">
        <v>412</v>
      </c>
      <c r="E61" s="507">
        <v>2</v>
      </c>
      <c r="F61" s="508">
        <v>1356</v>
      </c>
      <c r="G61" s="508">
        <v>5</v>
      </c>
      <c r="H61" s="509">
        <v>1.0999999999999999E-2</v>
      </c>
      <c r="I61" s="508">
        <v>0</v>
      </c>
      <c r="J61" s="509">
        <v>0</v>
      </c>
      <c r="K61" s="510">
        <v>2524</v>
      </c>
      <c r="L61" s="511">
        <v>1.86</v>
      </c>
      <c r="M61" s="510">
        <v>2330</v>
      </c>
      <c r="N61" s="512">
        <v>1.72</v>
      </c>
    </row>
    <row r="62" spans="4:14">
      <c r="D62" s="506" t="s">
        <v>413</v>
      </c>
      <c r="E62" s="507">
        <v>3</v>
      </c>
      <c r="F62" s="508">
        <v>1451</v>
      </c>
      <c r="G62" s="508">
        <v>18</v>
      </c>
      <c r="H62" s="509">
        <v>4.1000000000000002E-2</v>
      </c>
      <c r="I62" s="508">
        <v>3</v>
      </c>
      <c r="J62" s="509">
        <v>0.16669999999999999</v>
      </c>
      <c r="K62" s="510">
        <v>3253</v>
      </c>
      <c r="L62" s="511">
        <v>2.2400000000000002</v>
      </c>
      <c r="M62" s="510">
        <v>3222</v>
      </c>
      <c r="N62" s="512">
        <v>2.2200000000000002</v>
      </c>
    </row>
    <row r="63" spans="4:14">
      <c r="D63" s="506" t="s">
        <v>413</v>
      </c>
      <c r="E63" s="507">
        <v>3</v>
      </c>
      <c r="F63" s="508">
        <v>1566</v>
      </c>
      <c r="G63" s="508">
        <v>6</v>
      </c>
      <c r="H63" s="509">
        <v>1.4E-2</v>
      </c>
      <c r="I63" s="508">
        <v>0</v>
      </c>
      <c r="J63" s="509">
        <v>0</v>
      </c>
      <c r="K63" s="510">
        <v>3539</v>
      </c>
      <c r="L63" s="511">
        <v>2.2599999999999998</v>
      </c>
      <c r="M63" s="510">
        <v>3505</v>
      </c>
      <c r="N63" s="512">
        <v>2.2400000000000002</v>
      </c>
    </row>
    <row r="64" spans="4:14">
      <c r="D64" s="506"/>
      <c r="E64" s="513"/>
      <c r="F64" s="513"/>
      <c r="G64" s="513"/>
      <c r="H64" s="513"/>
      <c r="I64" s="513"/>
      <c r="J64" s="513"/>
      <c r="K64" s="513"/>
      <c r="L64" s="513"/>
      <c r="M64" s="513"/>
      <c r="N64" s="514"/>
    </row>
    <row r="65" spans="4:14">
      <c r="D65" s="506" t="s">
        <v>404</v>
      </c>
      <c r="E65" s="513"/>
      <c r="F65" s="508">
        <v>741</v>
      </c>
      <c r="G65" s="508">
        <v>241</v>
      </c>
      <c r="H65" s="509">
        <v>0.55300000000000005</v>
      </c>
      <c r="I65" s="508">
        <v>13</v>
      </c>
      <c r="J65" s="509">
        <v>5.3900000000000003E-2</v>
      </c>
      <c r="K65" s="510">
        <v>1633</v>
      </c>
      <c r="L65" s="511">
        <v>2.2000000000000002</v>
      </c>
      <c r="M65" s="510">
        <v>1508</v>
      </c>
      <c r="N65" s="512">
        <v>2.04</v>
      </c>
    </row>
    <row r="66" spans="4:14">
      <c r="D66" s="506" t="s">
        <v>405</v>
      </c>
      <c r="E66" s="513"/>
      <c r="F66" s="508">
        <v>1171</v>
      </c>
      <c r="G66" s="508">
        <v>171</v>
      </c>
      <c r="H66" s="509">
        <v>0.39200000000000002</v>
      </c>
      <c r="I66" s="508">
        <v>13</v>
      </c>
      <c r="J66" s="509">
        <v>7.5999999999999998E-2</v>
      </c>
      <c r="K66" s="510">
        <v>2208</v>
      </c>
      <c r="L66" s="511">
        <v>1.89</v>
      </c>
      <c r="M66" s="510">
        <v>2039</v>
      </c>
      <c r="N66" s="512">
        <v>1.74</v>
      </c>
    </row>
    <row r="67" spans="4:14">
      <c r="D67" s="506" t="s">
        <v>406</v>
      </c>
      <c r="E67" s="513"/>
      <c r="F67" s="508">
        <v>1480</v>
      </c>
      <c r="G67" s="508">
        <v>24</v>
      </c>
      <c r="H67" s="509">
        <v>5.5E-2</v>
      </c>
      <c r="I67" s="508">
        <v>3</v>
      </c>
      <c r="J67" s="509">
        <v>0.125</v>
      </c>
      <c r="K67" s="510">
        <v>3324</v>
      </c>
      <c r="L67" s="511">
        <v>2.25</v>
      </c>
      <c r="M67" s="510">
        <v>3292</v>
      </c>
      <c r="N67" s="512">
        <v>2.2200000000000002</v>
      </c>
    </row>
    <row r="68" spans="4:14">
      <c r="D68" s="515" t="s">
        <v>407</v>
      </c>
      <c r="E68" s="336"/>
      <c r="F68" s="516">
        <v>950</v>
      </c>
      <c r="G68" s="516">
        <v>436</v>
      </c>
      <c r="H68" s="517">
        <v>1</v>
      </c>
      <c r="I68" s="516">
        <v>29</v>
      </c>
      <c r="J68" s="517">
        <v>6.6500000000000004E-2</v>
      </c>
      <c r="K68" s="518">
        <v>1952</v>
      </c>
      <c r="L68" s="519">
        <v>2.0499999999999998</v>
      </c>
      <c r="M68" s="518">
        <v>1814</v>
      </c>
      <c r="N68" s="520">
        <v>1.91</v>
      </c>
    </row>
    <row r="71" spans="4:14">
      <c r="D71" s="292" t="s">
        <v>415</v>
      </c>
    </row>
    <row r="73" spans="4:14">
      <c r="D73" s="503" t="s">
        <v>387</v>
      </c>
      <c r="E73" s="504" t="s">
        <v>388</v>
      </c>
      <c r="F73" s="504" t="s">
        <v>389</v>
      </c>
      <c r="G73" s="504" t="s">
        <v>390</v>
      </c>
      <c r="H73" s="504" t="s">
        <v>391</v>
      </c>
      <c r="I73" s="504" t="s">
        <v>392</v>
      </c>
      <c r="J73" s="504" t="s">
        <v>393</v>
      </c>
      <c r="K73" s="504" t="s">
        <v>394</v>
      </c>
      <c r="L73" s="504" t="s">
        <v>395</v>
      </c>
      <c r="M73" s="504" t="s">
        <v>396</v>
      </c>
      <c r="N73" s="505" t="s">
        <v>397</v>
      </c>
    </row>
    <row r="74" spans="4:14">
      <c r="D74" s="506" t="s">
        <v>411</v>
      </c>
      <c r="E74" s="507">
        <v>1</v>
      </c>
      <c r="F74" s="508">
        <v>719</v>
      </c>
      <c r="G74" s="508">
        <v>59</v>
      </c>
      <c r="H74" s="509">
        <v>0.16800000000000001</v>
      </c>
      <c r="I74" s="508">
        <v>9</v>
      </c>
      <c r="J74" s="509">
        <v>0.1525</v>
      </c>
      <c r="K74" s="510">
        <v>1474</v>
      </c>
      <c r="L74" s="511">
        <v>2.0499999999999998</v>
      </c>
      <c r="M74" s="510">
        <v>1474</v>
      </c>
      <c r="N74" s="512">
        <v>2.0499999999999998</v>
      </c>
    </row>
    <row r="75" spans="4:14">
      <c r="D75" s="506" t="s">
        <v>411</v>
      </c>
      <c r="E75" s="507">
        <v>1</v>
      </c>
      <c r="F75" s="508">
        <v>736</v>
      </c>
      <c r="G75" s="508">
        <v>30</v>
      </c>
      <c r="H75" s="509">
        <v>8.5000000000000006E-2</v>
      </c>
      <c r="I75" s="508">
        <v>3</v>
      </c>
      <c r="J75" s="509">
        <v>0.1</v>
      </c>
      <c r="K75" s="510">
        <v>1509</v>
      </c>
      <c r="L75" s="511">
        <v>2.0499999999999998</v>
      </c>
      <c r="M75" s="510">
        <v>1509</v>
      </c>
      <c r="N75" s="512">
        <v>2.0499999999999998</v>
      </c>
    </row>
    <row r="76" spans="4:14">
      <c r="D76" s="506" t="s">
        <v>411</v>
      </c>
      <c r="E76" s="507">
        <v>1</v>
      </c>
      <c r="F76" s="508">
        <v>762</v>
      </c>
      <c r="G76" s="508">
        <v>60</v>
      </c>
      <c r="H76" s="509">
        <v>0.17100000000000001</v>
      </c>
      <c r="I76" s="508">
        <v>2</v>
      </c>
      <c r="J76" s="509">
        <v>3.3300000000000003E-2</v>
      </c>
      <c r="K76" s="510">
        <v>1604</v>
      </c>
      <c r="L76" s="511">
        <v>2.1</v>
      </c>
      <c r="M76" s="510">
        <v>1604</v>
      </c>
      <c r="N76" s="512">
        <v>2.1</v>
      </c>
    </row>
    <row r="77" spans="4:14">
      <c r="D77" s="506" t="s">
        <v>411</v>
      </c>
      <c r="E77" s="507">
        <v>1</v>
      </c>
      <c r="F77" s="508">
        <v>803</v>
      </c>
      <c r="G77" s="508">
        <v>26</v>
      </c>
      <c r="H77" s="509">
        <v>7.3999999999999996E-2</v>
      </c>
      <c r="I77" s="508">
        <v>1</v>
      </c>
      <c r="J77" s="509">
        <v>3.85E-2</v>
      </c>
      <c r="K77" s="510">
        <v>1619</v>
      </c>
      <c r="L77" s="511">
        <v>2.02</v>
      </c>
      <c r="M77" s="510">
        <v>1619</v>
      </c>
      <c r="N77" s="512">
        <v>2.02</v>
      </c>
    </row>
    <row r="78" spans="4:14">
      <c r="D78" s="506" t="s">
        <v>411</v>
      </c>
      <c r="E78" s="507">
        <v>1</v>
      </c>
      <c r="F78" s="508">
        <v>826</v>
      </c>
      <c r="G78" s="508">
        <v>12</v>
      </c>
      <c r="H78" s="509">
        <v>3.4000000000000002E-2</v>
      </c>
      <c r="I78" s="508">
        <v>1</v>
      </c>
      <c r="J78" s="509">
        <v>8.3299999999999999E-2</v>
      </c>
      <c r="K78" s="510">
        <v>1692</v>
      </c>
      <c r="L78" s="511">
        <v>2.0499999999999998</v>
      </c>
      <c r="M78" s="510">
        <v>1692</v>
      </c>
      <c r="N78" s="512">
        <v>2.0499999999999998</v>
      </c>
    </row>
    <row r="79" spans="4:14">
      <c r="D79" s="506" t="s">
        <v>411</v>
      </c>
      <c r="E79" s="507">
        <v>1</v>
      </c>
      <c r="F79" s="508">
        <v>874</v>
      </c>
      <c r="G79" s="508">
        <v>2</v>
      </c>
      <c r="H79" s="509">
        <v>6.0000000000000001E-3</v>
      </c>
      <c r="I79" s="508">
        <v>0</v>
      </c>
      <c r="J79" s="509">
        <v>0</v>
      </c>
      <c r="K79" s="510">
        <v>1775</v>
      </c>
      <c r="L79" s="511">
        <v>2.0299999999999998</v>
      </c>
      <c r="M79" s="510">
        <v>1775</v>
      </c>
      <c r="N79" s="512">
        <v>2.0299999999999998</v>
      </c>
    </row>
    <row r="80" spans="4:14">
      <c r="D80" s="506" t="s">
        <v>411</v>
      </c>
      <c r="E80" s="507">
        <v>1</v>
      </c>
      <c r="F80" s="508">
        <v>876</v>
      </c>
      <c r="G80" s="508">
        <v>18</v>
      </c>
      <c r="H80" s="509">
        <v>5.0999999999999997E-2</v>
      </c>
      <c r="I80" s="508">
        <v>0</v>
      </c>
      <c r="J80" s="509">
        <v>0</v>
      </c>
      <c r="K80" s="510">
        <v>1649</v>
      </c>
      <c r="L80" s="511">
        <v>1.88</v>
      </c>
      <c r="M80" s="510">
        <v>1649</v>
      </c>
      <c r="N80" s="512">
        <v>1.88</v>
      </c>
    </row>
    <row r="81" spans="4:14">
      <c r="D81" s="506" t="s">
        <v>411</v>
      </c>
      <c r="E81" s="507">
        <v>1</v>
      </c>
      <c r="F81" s="508">
        <v>941</v>
      </c>
      <c r="G81" s="508">
        <v>21</v>
      </c>
      <c r="H81" s="509">
        <v>0.06</v>
      </c>
      <c r="I81" s="508">
        <v>0</v>
      </c>
      <c r="J81" s="509">
        <v>0</v>
      </c>
      <c r="K81" s="510">
        <v>1883</v>
      </c>
      <c r="L81" s="511">
        <v>2</v>
      </c>
      <c r="M81" s="510">
        <v>1883</v>
      </c>
      <c r="N81" s="512">
        <v>2</v>
      </c>
    </row>
    <row r="82" spans="4:14">
      <c r="D82" s="506" t="s">
        <v>412</v>
      </c>
      <c r="E82" s="507">
        <v>2</v>
      </c>
      <c r="F82" s="508">
        <v>1082</v>
      </c>
      <c r="G82" s="508">
        <v>36</v>
      </c>
      <c r="H82" s="509">
        <v>0.10299999999999999</v>
      </c>
      <c r="I82" s="508">
        <v>2</v>
      </c>
      <c r="J82" s="509">
        <v>5.5599999999999997E-2</v>
      </c>
      <c r="K82" s="510">
        <v>2067</v>
      </c>
      <c r="L82" s="511">
        <v>1.91</v>
      </c>
      <c r="M82" s="510">
        <v>2067</v>
      </c>
      <c r="N82" s="512">
        <v>1.91</v>
      </c>
    </row>
    <row r="83" spans="4:14">
      <c r="D83" s="506" t="s">
        <v>412</v>
      </c>
      <c r="E83" s="507">
        <v>2</v>
      </c>
      <c r="F83" s="508">
        <v>1109</v>
      </c>
      <c r="G83" s="508">
        <v>26</v>
      </c>
      <c r="H83" s="509">
        <v>7.3999999999999996E-2</v>
      </c>
      <c r="I83" s="508">
        <v>1</v>
      </c>
      <c r="J83" s="509">
        <v>3.85E-2</v>
      </c>
      <c r="K83" s="510">
        <v>2114</v>
      </c>
      <c r="L83" s="511">
        <v>1.91</v>
      </c>
      <c r="M83" s="510">
        <v>2114</v>
      </c>
      <c r="N83" s="512">
        <v>1.91</v>
      </c>
    </row>
    <row r="84" spans="4:14">
      <c r="D84" s="506" t="s">
        <v>412</v>
      </c>
      <c r="E84" s="507">
        <v>2</v>
      </c>
      <c r="F84" s="508">
        <v>1189</v>
      </c>
      <c r="G84" s="508">
        <v>15</v>
      </c>
      <c r="H84" s="509">
        <v>4.2999999999999997E-2</v>
      </c>
      <c r="I84" s="508">
        <v>0</v>
      </c>
      <c r="J84" s="509">
        <v>0</v>
      </c>
      <c r="K84" s="510">
        <v>2190</v>
      </c>
      <c r="L84" s="511">
        <v>1.84</v>
      </c>
      <c r="M84" s="510">
        <v>2190</v>
      </c>
      <c r="N84" s="512">
        <v>1.84</v>
      </c>
    </row>
    <row r="85" spans="4:14">
      <c r="D85" s="506" t="s">
        <v>412</v>
      </c>
      <c r="E85" s="507">
        <v>2</v>
      </c>
      <c r="F85" s="508">
        <v>1213</v>
      </c>
      <c r="G85" s="508">
        <v>24</v>
      </c>
      <c r="H85" s="509">
        <v>6.8000000000000005E-2</v>
      </c>
      <c r="I85" s="508">
        <v>5</v>
      </c>
      <c r="J85" s="509">
        <v>0.20830000000000001</v>
      </c>
      <c r="K85" s="510">
        <v>2282</v>
      </c>
      <c r="L85" s="511">
        <v>1.88</v>
      </c>
      <c r="M85" s="510">
        <v>2282</v>
      </c>
      <c r="N85" s="512">
        <v>1.88</v>
      </c>
    </row>
    <row r="86" spans="4:14">
      <c r="D86" s="506" t="s">
        <v>412</v>
      </c>
      <c r="E86" s="507">
        <v>2</v>
      </c>
      <c r="F86" s="508">
        <v>1270</v>
      </c>
      <c r="G86" s="508">
        <v>4</v>
      </c>
      <c r="H86" s="509">
        <v>1.0999999999999999E-2</v>
      </c>
      <c r="I86" s="508">
        <v>0</v>
      </c>
      <c r="J86" s="509">
        <v>0</v>
      </c>
      <c r="K86" s="510">
        <v>2105</v>
      </c>
      <c r="L86" s="511">
        <v>1.66</v>
      </c>
      <c r="M86" s="510">
        <v>2105</v>
      </c>
      <c r="N86" s="512">
        <v>1.66</v>
      </c>
    </row>
    <row r="87" spans="4:14">
      <c r="D87" s="506" t="s">
        <v>413</v>
      </c>
      <c r="E87" s="507">
        <v>2</v>
      </c>
      <c r="F87" s="508">
        <v>1486</v>
      </c>
      <c r="G87" s="508">
        <v>18</v>
      </c>
      <c r="H87" s="509">
        <v>5.0999999999999997E-2</v>
      </c>
      <c r="I87" s="508">
        <v>3</v>
      </c>
      <c r="J87" s="509">
        <v>0.16669999999999999</v>
      </c>
      <c r="K87" s="510">
        <v>2721</v>
      </c>
      <c r="L87" s="511">
        <v>1.83</v>
      </c>
      <c r="M87" s="510">
        <v>2721</v>
      </c>
      <c r="N87" s="512">
        <v>1.83</v>
      </c>
    </row>
    <row r="88" spans="4:14">
      <c r="D88" s="506"/>
      <c r="E88" s="513"/>
      <c r="F88" s="513"/>
      <c r="G88" s="513"/>
      <c r="H88" s="513"/>
      <c r="I88" s="513"/>
      <c r="J88" s="513"/>
      <c r="K88" s="513"/>
      <c r="L88" s="513"/>
      <c r="M88" s="513"/>
      <c r="N88" s="514"/>
    </row>
    <row r="89" spans="4:14">
      <c r="D89" s="506" t="s">
        <v>404</v>
      </c>
      <c r="E89" s="513"/>
      <c r="F89" s="508">
        <v>782</v>
      </c>
      <c r="G89" s="508">
        <v>228</v>
      </c>
      <c r="H89" s="509">
        <v>0.65</v>
      </c>
      <c r="I89" s="508">
        <v>16</v>
      </c>
      <c r="J89" s="509">
        <v>7.0199999999999999E-2</v>
      </c>
      <c r="K89" s="510">
        <v>1595</v>
      </c>
      <c r="L89" s="511">
        <v>2.04</v>
      </c>
      <c r="M89" s="510">
        <v>1595</v>
      </c>
      <c r="N89" s="512">
        <v>2.04</v>
      </c>
    </row>
    <row r="90" spans="4:14">
      <c r="D90" s="506" t="s">
        <v>405</v>
      </c>
      <c r="E90" s="513"/>
      <c r="F90" s="508">
        <v>1141</v>
      </c>
      <c r="G90" s="508">
        <v>105</v>
      </c>
      <c r="H90" s="509">
        <v>0.29899999999999999</v>
      </c>
      <c r="I90" s="508">
        <v>8</v>
      </c>
      <c r="J90" s="509">
        <v>7.6200000000000004E-2</v>
      </c>
      <c r="K90" s="510">
        <v>2147</v>
      </c>
      <c r="L90" s="511">
        <v>1.88</v>
      </c>
      <c r="M90" s="510">
        <v>2147</v>
      </c>
      <c r="N90" s="512">
        <v>1.88</v>
      </c>
    </row>
    <row r="91" spans="4:14">
      <c r="D91" s="506" t="s">
        <v>406</v>
      </c>
      <c r="E91" s="513"/>
      <c r="F91" s="508">
        <v>1486</v>
      </c>
      <c r="G91" s="508">
        <v>18</v>
      </c>
      <c r="H91" s="509">
        <v>5.0999999999999997E-2</v>
      </c>
      <c r="I91" s="508">
        <v>3</v>
      </c>
      <c r="J91" s="509">
        <v>0.16669999999999999</v>
      </c>
      <c r="K91" s="510">
        <v>2721</v>
      </c>
      <c r="L91" s="511">
        <v>1.83</v>
      </c>
      <c r="M91" s="510">
        <v>2721</v>
      </c>
      <c r="N91" s="512">
        <v>1.83</v>
      </c>
    </row>
    <row r="92" spans="4:14">
      <c r="D92" s="515" t="s">
        <v>407</v>
      </c>
      <c r="E92" s="336"/>
      <c r="F92" s="516">
        <v>925</v>
      </c>
      <c r="G92" s="516">
        <v>351</v>
      </c>
      <c r="H92" s="517">
        <v>1</v>
      </c>
      <c r="I92" s="516">
        <v>27</v>
      </c>
      <c r="J92" s="517">
        <v>7.6899999999999996E-2</v>
      </c>
      <c r="K92" s="518">
        <v>1818</v>
      </c>
      <c r="L92" s="519">
        <v>1.96</v>
      </c>
      <c r="M92" s="518">
        <v>1818</v>
      </c>
      <c r="N92" s="520">
        <v>1.96</v>
      </c>
    </row>
    <row r="95" spans="4:14">
      <c r="D95" s="292" t="s">
        <v>416</v>
      </c>
    </row>
    <row r="97" spans="4:14">
      <c r="D97" s="503" t="s">
        <v>387</v>
      </c>
      <c r="E97" s="504" t="s">
        <v>388</v>
      </c>
      <c r="F97" s="504" t="s">
        <v>389</v>
      </c>
      <c r="G97" s="504" t="s">
        <v>390</v>
      </c>
      <c r="H97" s="504" t="s">
        <v>391</v>
      </c>
      <c r="I97" s="504" t="s">
        <v>392</v>
      </c>
      <c r="J97" s="504" t="s">
        <v>393</v>
      </c>
      <c r="K97" s="504" t="s">
        <v>394</v>
      </c>
      <c r="L97" s="504" t="s">
        <v>395</v>
      </c>
      <c r="M97" s="504" t="s">
        <v>396</v>
      </c>
      <c r="N97" s="505" t="s">
        <v>397</v>
      </c>
    </row>
    <row r="98" spans="4:14">
      <c r="D98" s="506" t="s">
        <v>411</v>
      </c>
      <c r="E98" s="507">
        <v>1</v>
      </c>
      <c r="F98" s="508">
        <v>613</v>
      </c>
      <c r="G98" s="508">
        <v>1</v>
      </c>
      <c r="H98" s="509">
        <v>3.0000000000000001E-3</v>
      </c>
      <c r="I98" s="508">
        <v>0</v>
      </c>
      <c r="J98" s="509">
        <v>0</v>
      </c>
      <c r="K98" s="510">
        <v>1295</v>
      </c>
      <c r="L98" s="511">
        <v>2.11</v>
      </c>
      <c r="M98" s="510">
        <v>1240</v>
      </c>
      <c r="N98" s="512">
        <v>2.02</v>
      </c>
    </row>
    <row r="99" spans="4:14">
      <c r="D99" s="506" t="s">
        <v>411</v>
      </c>
      <c r="E99" s="507">
        <v>1</v>
      </c>
      <c r="F99" s="508">
        <v>650</v>
      </c>
      <c r="G99" s="508">
        <v>33</v>
      </c>
      <c r="H99" s="509">
        <v>0.111</v>
      </c>
      <c r="I99" s="508">
        <v>2</v>
      </c>
      <c r="J99" s="509">
        <v>6.0600000000000001E-2</v>
      </c>
      <c r="K99" s="510">
        <v>1415</v>
      </c>
      <c r="L99" s="511">
        <v>2.1800000000000002</v>
      </c>
      <c r="M99" s="510">
        <v>1355</v>
      </c>
      <c r="N99" s="512">
        <v>2.08</v>
      </c>
    </row>
    <row r="100" spans="4:14">
      <c r="D100" s="506" t="s">
        <v>411</v>
      </c>
      <c r="E100" s="507">
        <v>1</v>
      </c>
      <c r="F100" s="508">
        <v>737</v>
      </c>
      <c r="G100" s="508">
        <v>71</v>
      </c>
      <c r="H100" s="509">
        <v>0.23899999999999999</v>
      </c>
      <c r="I100" s="508">
        <v>9</v>
      </c>
      <c r="J100" s="509">
        <v>0.1268</v>
      </c>
      <c r="K100" s="510">
        <v>1450</v>
      </c>
      <c r="L100" s="511">
        <v>1.97</v>
      </c>
      <c r="M100" s="510">
        <v>1389</v>
      </c>
      <c r="N100" s="512">
        <v>1.88</v>
      </c>
    </row>
    <row r="101" spans="4:14">
      <c r="D101" s="506" t="s">
        <v>411</v>
      </c>
      <c r="E101" s="507">
        <v>1</v>
      </c>
      <c r="F101" s="508">
        <v>742</v>
      </c>
      <c r="G101" s="508">
        <v>20</v>
      </c>
      <c r="H101" s="509">
        <v>6.7000000000000004E-2</v>
      </c>
      <c r="I101" s="508">
        <v>5</v>
      </c>
      <c r="J101" s="509">
        <v>0.25</v>
      </c>
      <c r="K101" s="510">
        <v>1445</v>
      </c>
      <c r="L101" s="511">
        <v>1.95</v>
      </c>
      <c r="M101" s="510">
        <v>1384</v>
      </c>
      <c r="N101" s="512">
        <v>1.86</v>
      </c>
    </row>
    <row r="102" spans="4:14">
      <c r="D102" s="506" t="s">
        <v>411</v>
      </c>
      <c r="E102" s="507">
        <v>1</v>
      </c>
      <c r="F102" s="508">
        <v>763</v>
      </c>
      <c r="G102" s="508">
        <v>46</v>
      </c>
      <c r="H102" s="509">
        <v>0.155</v>
      </c>
      <c r="I102" s="508">
        <v>0</v>
      </c>
      <c r="J102" s="509">
        <v>0</v>
      </c>
      <c r="K102" s="510">
        <v>1490</v>
      </c>
      <c r="L102" s="511">
        <v>1.95</v>
      </c>
      <c r="M102" s="510">
        <v>1427</v>
      </c>
      <c r="N102" s="512">
        <v>1.87</v>
      </c>
    </row>
    <row r="103" spans="4:14">
      <c r="D103" s="506" t="s">
        <v>411</v>
      </c>
      <c r="E103" s="507">
        <v>1</v>
      </c>
      <c r="F103" s="508">
        <v>769</v>
      </c>
      <c r="G103" s="508">
        <v>12</v>
      </c>
      <c r="H103" s="509">
        <v>0.04</v>
      </c>
      <c r="I103" s="508">
        <v>1</v>
      </c>
      <c r="J103" s="509">
        <v>8.3299999999999999E-2</v>
      </c>
      <c r="K103" s="510">
        <v>1675</v>
      </c>
      <c r="L103" s="511">
        <v>2.1800000000000002</v>
      </c>
      <c r="M103" s="510">
        <v>1604</v>
      </c>
      <c r="N103" s="512">
        <v>2.09</v>
      </c>
    </row>
    <row r="104" spans="4:14">
      <c r="D104" s="506" t="s">
        <v>411</v>
      </c>
      <c r="E104" s="507">
        <v>1</v>
      </c>
      <c r="F104" s="508">
        <v>795</v>
      </c>
      <c r="G104" s="508">
        <v>3</v>
      </c>
      <c r="H104" s="509">
        <v>0.01</v>
      </c>
      <c r="I104" s="508">
        <v>0</v>
      </c>
      <c r="J104" s="509">
        <v>0</v>
      </c>
      <c r="K104" s="510">
        <v>1540</v>
      </c>
      <c r="L104" s="511">
        <v>1.94</v>
      </c>
      <c r="M104" s="510">
        <v>1475</v>
      </c>
      <c r="N104" s="512">
        <v>1.85</v>
      </c>
    </row>
    <row r="105" spans="4:14">
      <c r="D105" s="506" t="s">
        <v>411</v>
      </c>
      <c r="E105" s="507">
        <v>1</v>
      </c>
      <c r="F105" s="508">
        <v>808</v>
      </c>
      <c r="G105" s="508">
        <v>1</v>
      </c>
      <c r="H105" s="509">
        <v>3.0000000000000001E-3</v>
      </c>
      <c r="I105" s="508">
        <v>0</v>
      </c>
      <c r="J105" s="509">
        <v>0</v>
      </c>
      <c r="K105" s="510">
        <v>1530</v>
      </c>
      <c r="L105" s="511">
        <v>1.89</v>
      </c>
      <c r="M105" s="510">
        <v>1465</v>
      </c>
      <c r="N105" s="512">
        <v>1.81</v>
      </c>
    </row>
    <row r="106" spans="4:14">
      <c r="D106" s="506" t="s">
        <v>411</v>
      </c>
      <c r="E106" s="507">
        <v>1</v>
      </c>
      <c r="F106" s="508">
        <v>815</v>
      </c>
      <c r="G106" s="508">
        <v>2</v>
      </c>
      <c r="H106" s="509">
        <v>7.0000000000000001E-3</v>
      </c>
      <c r="I106" s="508">
        <v>0</v>
      </c>
      <c r="J106" s="509">
        <v>0</v>
      </c>
      <c r="K106" s="510">
        <v>1525</v>
      </c>
      <c r="L106" s="511">
        <v>1.87</v>
      </c>
      <c r="M106" s="510">
        <v>1460</v>
      </c>
      <c r="N106" s="512">
        <v>1.79</v>
      </c>
    </row>
    <row r="107" spans="4:14">
      <c r="D107" s="506" t="s">
        <v>411</v>
      </c>
      <c r="E107" s="507">
        <v>1</v>
      </c>
      <c r="F107" s="508">
        <v>864</v>
      </c>
      <c r="G107" s="508">
        <v>12</v>
      </c>
      <c r="H107" s="509">
        <v>0.04</v>
      </c>
      <c r="I107" s="508">
        <v>0</v>
      </c>
      <c r="J107" s="509">
        <v>0</v>
      </c>
      <c r="K107" s="510">
        <v>1555</v>
      </c>
      <c r="L107" s="511">
        <v>1.8</v>
      </c>
      <c r="M107" s="510">
        <v>1489</v>
      </c>
      <c r="N107" s="512">
        <v>1.72</v>
      </c>
    </row>
    <row r="108" spans="4:14">
      <c r="D108" s="506" t="s">
        <v>411</v>
      </c>
      <c r="E108" s="507">
        <v>1</v>
      </c>
      <c r="F108" s="508">
        <v>872</v>
      </c>
      <c r="G108" s="508">
        <v>2</v>
      </c>
      <c r="H108" s="509">
        <v>7.0000000000000001E-3</v>
      </c>
      <c r="I108" s="508">
        <v>0</v>
      </c>
      <c r="J108" s="509">
        <v>0</v>
      </c>
      <c r="K108" s="510">
        <v>1605</v>
      </c>
      <c r="L108" s="511">
        <v>1.84</v>
      </c>
      <c r="M108" s="510">
        <v>1537</v>
      </c>
      <c r="N108" s="512">
        <v>1.76</v>
      </c>
    </row>
    <row r="109" spans="4:14">
      <c r="D109" s="506" t="s">
        <v>411</v>
      </c>
      <c r="E109" s="507">
        <v>1</v>
      </c>
      <c r="F109" s="508">
        <v>873</v>
      </c>
      <c r="G109" s="508">
        <v>3</v>
      </c>
      <c r="H109" s="509">
        <v>0.01</v>
      </c>
      <c r="I109" s="508">
        <v>0</v>
      </c>
      <c r="J109" s="509">
        <v>0</v>
      </c>
      <c r="K109" s="510">
        <v>1650</v>
      </c>
      <c r="L109" s="511">
        <v>1.89</v>
      </c>
      <c r="M109" s="510">
        <v>1580</v>
      </c>
      <c r="N109" s="512">
        <v>1.81</v>
      </c>
    </row>
    <row r="110" spans="4:14">
      <c r="D110" s="506" t="s">
        <v>412</v>
      </c>
      <c r="E110" s="507">
        <v>2</v>
      </c>
      <c r="F110" s="508">
        <v>998</v>
      </c>
      <c r="G110" s="508">
        <v>5</v>
      </c>
      <c r="H110" s="509">
        <v>1.7000000000000001E-2</v>
      </c>
      <c r="I110" s="508">
        <v>0</v>
      </c>
      <c r="J110" s="509">
        <v>0</v>
      </c>
      <c r="K110" s="510">
        <v>1815</v>
      </c>
      <c r="L110" s="511">
        <v>1.82</v>
      </c>
      <c r="M110" s="510">
        <v>1738</v>
      </c>
      <c r="N110" s="512">
        <v>1.74</v>
      </c>
    </row>
    <row r="111" spans="4:14">
      <c r="D111" s="506" t="s">
        <v>412</v>
      </c>
      <c r="E111" s="507">
        <v>2</v>
      </c>
      <c r="F111" s="508">
        <v>1104</v>
      </c>
      <c r="G111" s="508">
        <v>44</v>
      </c>
      <c r="H111" s="509">
        <v>0.14799999999999999</v>
      </c>
      <c r="I111" s="508">
        <v>19</v>
      </c>
      <c r="J111" s="509">
        <v>0.43180000000000002</v>
      </c>
      <c r="K111" s="510">
        <v>1910</v>
      </c>
      <c r="L111" s="511">
        <v>1.73</v>
      </c>
      <c r="M111" s="510">
        <v>1829</v>
      </c>
      <c r="N111" s="512">
        <v>1.66</v>
      </c>
    </row>
    <row r="112" spans="4:14">
      <c r="D112" s="506" t="s">
        <v>412</v>
      </c>
      <c r="E112" s="507">
        <v>2</v>
      </c>
      <c r="F112" s="508">
        <v>1110</v>
      </c>
      <c r="G112" s="508">
        <v>9</v>
      </c>
      <c r="H112" s="509">
        <v>0.03</v>
      </c>
      <c r="I112" s="508">
        <v>3</v>
      </c>
      <c r="J112" s="509">
        <v>0.33329999999999999</v>
      </c>
      <c r="K112" s="510">
        <v>1925</v>
      </c>
      <c r="L112" s="511">
        <v>1.73</v>
      </c>
      <c r="M112" s="510">
        <v>1843</v>
      </c>
      <c r="N112" s="512">
        <v>1.66</v>
      </c>
    </row>
    <row r="113" spans="4:14">
      <c r="D113" s="506" t="s">
        <v>412</v>
      </c>
      <c r="E113" s="507">
        <v>2</v>
      </c>
      <c r="F113" s="508">
        <v>1133</v>
      </c>
      <c r="G113" s="508">
        <v>15</v>
      </c>
      <c r="H113" s="509">
        <v>5.0999999999999997E-2</v>
      </c>
      <c r="I113" s="508">
        <v>5</v>
      </c>
      <c r="J113" s="509">
        <v>0.33329999999999999</v>
      </c>
      <c r="K113" s="510">
        <v>1990</v>
      </c>
      <c r="L113" s="511">
        <v>1.76</v>
      </c>
      <c r="M113" s="510">
        <v>1906</v>
      </c>
      <c r="N113" s="512">
        <v>1.68</v>
      </c>
    </row>
    <row r="114" spans="4:14">
      <c r="D114" s="506" t="s">
        <v>412</v>
      </c>
      <c r="E114" s="507">
        <v>2</v>
      </c>
      <c r="F114" s="508">
        <v>1176</v>
      </c>
      <c r="G114" s="508">
        <v>12</v>
      </c>
      <c r="H114" s="509">
        <v>0.04</v>
      </c>
      <c r="I114" s="508">
        <v>0</v>
      </c>
      <c r="J114" s="509">
        <v>0</v>
      </c>
      <c r="K114" s="510">
        <v>2000</v>
      </c>
      <c r="L114" s="511">
        <v>1.7</v>
      </c>
      <c r="M114" s="510">
        <v>1915</v>
      </c>
      <c r="N114" s="512">
        <v>1.63</v>
      </c>
    </row>
    <row r="115" spans="4:14">
      <c r="D115" s="506" t="s">
        <v>412</v>
      </c>
      <c r="E115" s="507">
        <v>2</v>
      </c>
      <c r="F115" s="508">
        <v>1199</v>
      </c>
      <c r="G115" s="508">
        <v>6</v>
      </c>
      <c r="H115" s="509">
        <v>0.02</v>
      </c>
      <c r="I115" s="508">
        <v>0</v>
      </c>
      <c r="J115" s="509">
        <v>0</v>
      </c>
      <c r="K115" s="510">
        <v>2030</v>
      </c>
      <c r="L115" s="511">
        <v>1.69</v>
      </c>
      <c r="M115" s="510">
        <v>1944</v>
      </c>
      <c r="N115" s="512">
        <v>1.62</v>
      </c>
    </row>
    <row r="116" spans="4:14">
      <c r="D116" s="506"/>
      <c r="E116" s="513"/>
      <c r="F116" s="513"/>
      <c r="G116" s="513"/>
      <c r="H116" s="513"/>
      <c r="I116" s="513"/>
      <c r="J116" s="513"/>
      <c r="K116" s="513"/>
      <c r="L116" s="513"/>
      <c r="M116" s="513"/>
      <c r="N116" s="514"/>
    </row>
    <row r="117" spans="4:14">
      <c r="D117" s="506" t="s">
        <v>404</v>
      </c>
      <c r="E117" s="513"/>
      <c r="F117" s="508">
        <v>743</v>
      </c>
      <c r="G117" s="508">
        <v>206</v>
      </c>
      <c r="H117" s="509">
        <v>0.69399999999999995</v>
      </c>
      <c r="I117" s="508">
        <v>17</v>
      </c>
      <c r="J117" s="509">
        <v>8.2500000000000004E-2</v>
      </c>
      <c r="K117" s="510">
        <v>1478</v>
      </c>
      <c r="L117" s="511">
        <v>1.99</v>
      </c>
      <c r="M117" s="510">
        <v>1415</v>
      </c>
      <c r="N117" s="512">
        <v>1.9</v>
      </c>
    </row>
    <row r="118" spans="4:14">
      <c r="D118" s="506" t="s">
        <v>405</v>
      </c>
      <c r="E118" s="513"/>
      <c r="F118" s="508">
        <v>1119</v>
      </c>
      <c r="G118" s="508">
        <v>91</v>
      </c>
      <c r="H118" s="509">
        <v>0.30599999999999999</v>
      </c>
      <c r="I118" s="508">
        <v>27</v>
      </c>
      <c r="J118" s="509">
        <v>0.29670000000000002</v>
      </c>
      <c r="K118" s="510">
        <v>1939</v>
      </c>
      <c r="L118" s="511">
        <v>1.73</v>
      </c>
      <c r="M118" s="510">
        <v>1857</v>
      </c>
      <c r="N118" s="512">
        <v>1.66</v>
      </c>
    </row>
    <row r="119" spans="4:14">
      <c r="D119" s="515" t="s">
        <v>407</v>
      </c>
      <c r="E119" s="336"/>
      <c r="F119" s="516">
        <v>858</v>
      </c>
      <c r="G119" s="516">
        <v>297</v>
      </c>
      <c r="H119" s="517">
        <v>1</v>
      </c>
      <c r="I119" s="516">
        <v>44</v>
      </c>
      <c r="J119" s="517">
        <v>0.14810000000000001</v>
      </c>
      <c r="K119" s="518">
        <v>1619</v>
      </c>
      <c r="L119" s="519">
        <v>1.89</v>
      </c>
      <c r="M119" s="518">
        <v>1551</v>
      </c>
      <c r="N119" s="520">
        <v>1.81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CBA70-450D-314E-93A1-6F0C6FFA7EAB}">
  <dimension ref="B4:N11"/>
  <sheetViews>
    <sheetView workbookViewId="0">
      <selection activeCell="I25" sqref="I25"/>
    </sheetView>
  </sheetViews>
  <sheetFormatPr baseColWidth="10" defaultRowHeight="16"/>
  <cols>
    <col min="2" max="2" width="24.33203125" bestFit="1" customWidth="1"/>
    <col min="3" max="3" width="49.83203125" bestFit="1" customWidth="1"/>
    <col min="4" max="4" width="9.5" customWidth="1"/>
    <col min="5" max="5" width="10.6640625" bestFit="1" customWidth="1"/>
    <col min="6" max="6" width="14.6640625" bestFit="1" customWidth="1"/>
    <col min="7" max="7" width="13.5" bestFit="1" customWidth="1"/>
    <col min="8" max="8" width="15.83203125" customWidth="1"/>
  </cols>
  <sheetData>
    <row r="4" spans="2:14">
      <c r="B4" s="534" t="s">
        <v>429</v>
      </c>
      <c r="C4" s="534" t="s">
        <v>430</v>
      </c>
      <c r="D4" s="534" t="s">
        <v>390</v>
      </c>
      <c r="E4" s="534" t="s">
        <v>443</v>
      </c>
      <c r="F4" s="534" t="s">
        <v>432</v>
      </c>
      <c r="G4" s="534" t="s">
        <v>433</v>
      </c>
      <c r="H4" s="534" t="s">
        <v>431</v>
      </c>
    </row>
    <row r="5" spans="2:14">
      <c r="B5" s="540" t="s">
        <v>434</v>
      </c>
      <c r="C5" s="540" t="s">
        <v>444</v>
      </c>
      <c r="D5" s="541">
        <v>322</v>
      </c>
      <c r="E5" s="541">
        <v>2022</v>
      </c>
      <c r="F5" s="542">
        <f>G5*D5</f>
        <v>90160000</v>
      </c>
      <c r="G5" s="542">
        <v>280000</v>
      </c>
      <c r="H5" s="543" t="s">
        <v>435</v>
      </c>
      <c r="I5" s="536"/>
      <c r="J5" s="536"/>
      <c r="K5" s="537"/>
      <c r="L5" s="537"/>
      <c r="M5" s="537"/>
      <c r="N5" s="535"/>
    </row>
    <row r="6" spans="2:14">
      <c r="B6" s="544" t="s">
        <v>436</v>
      </c>
      <c r="C6" s="540" t="s">
        <v>445</v>
      </c>
      <c r="D6" s="545">
        <v>336</v>
      </c>
      <c r="E6" s="545">
        <v>2022</v>
      </c>
      <c r="F6" s="546">
        <f>D6*G6</f>
        <v>91392000</v>
      </c>
      <c r="G6" s="546">
        <v>272000</v>
      </c>
      <c r="H6" s="547" t="s">
        <v>473</v>
      </c>
      <c r="I6" s="538"/>
      <c r="J6" s="538"/>
      <c r="K6" s="539"/>
      <c r="L6" s="539"/>
      <c r="M6" s="539"/>
      <c r="N6" s="535"/>
    </row>
    <row r="7" spans="2:14">
      <c r="B7" s="548" t="s">
        <v>437</v>
      </c>
      <c r="C7" s="540" t="s">
        <v>446</v>
      </c>
      <c r="D7" s="541">
        <v>306</v>
      </c>
      <c r="E7" s="541">
        <v>2021</v>
      </c>
      <c r="F7" s="542">
        <v>92000000</v>
      </c>
      <c r="G7" s="542">
        <f t="shared" ref="G7:G10" si="0">F7/D7</f>
        <v>300653.59477124183</v>
      </c>
      <c r="H7" s="543" t="s">
        <v>438</v>
      </c>
      <c r="I7" s="536"/>
      <c r="J7" s="536"/>
      <c r="K7" s="537"/>
      <c r="L7" s="537"/>
      <c r="M7" s="537"/>
      <c r="N7" s="535"/>
    </row>
    <row r="8" spans="2:14">
      <c r="B8" s="548" t="s">
        <v>439</v>
      </c>
      <c r="C8" s="540" t="s">
        <v>447</v>
      </c>
      <c r="D8" s="540">
        <v>308</v>
      </c>
      <c r="E8" s="541" t="s">
        <v>440</v>
      </c>
      <c r="F8" s="542">
        <v>78300000</v>
      </c>
      <c r="G8" s="542">
        <f t="shared" si="0"/>
        <v>254220.77922077922</v>
      </c>
      <c r="H8" s="549">
        <v>44663</v>
      </c>
      <c r="I8" s="536"/>
      <c r="J8" s="536"/>
      <c r="K8" s="537"/>
      <c r="L8" s="537"/>
      <c r="M8" s="537"/>
      <c r="N8" s="535"/>
    </row>
    <row r="9" spans="2:14" ht="18">
      <c r="B9" s="548" t="s">
        <v>441</v>
      </c>
      <c r="C9" s="540" t="s">
        <v>449</v>
      </c>
      <c r="D9" s="541">
        <v>340</v>
      </c>
      <c r="E9" s="541">
        <v>2021</v>
      </c>
      <c r="F9" s="542">
        <v>100500000</v>
      </c>
      <c r="G9" s="542">
        <f t="shared" si="0"/>
        <v>295588.23529411765</v>
      </c>
      <c r="H9" s="549">
        <v>44540</v>
      </c>
      <c r="I9" s="536"/>
      <c r="J9" s="536"/>
      <c r="K9" s="537"/>
      <c r="L9" s="537"/>
      <c r="M9" s="537"/>
      <c r="N9" s="535"/>
    </row>
    <row r="10" spans="2:14">
      <c r="B10" s="544" t="s">
        <v>442</v>
      </c>
      <c r="C10" s="540" t="s">
        <v>448</v>
      </c>
      <c r="D10" s="545">
        <v>350</v>
      </c>
      <c r="E10" s="545">
        <v>2021</v>
      </c>
      <c r="F10" s="546">
        <v>114000000</v>
      </c>
      <c r="G10" s="546">
        <f t="shared" si="0"/>
        <v>325714.28571428574</v>
      </c>
      <c r="H10" s="547">
        <v>44531</v>
      </c>
      <c r="I10" s="538"/>
      <c r="J10" s="538"/>
      <c r="K10" s="539"/>
      <c r="L10" s="539"/>
      <c r="M10" s="539"/>
      <c r="N10" s="535"/>
    </row>
    <row r="11" spans="2:14">
      <c r="I11" s="535"/>
      <c r="J11" s="535"/>
      <c r="K11" s="535"/>
      <c r="L11" s="535"/>
      <c r="M11" s="535"/>
      <c r="N11" s="535"/>
    </row>
  </sheetData>
  <conditionalFormatting sqref="B6">
    <cfRule type="duplicateValues" dxfId="4" priority="3"/>
  </conditionalFormatting>
  <conditionalFormatting sqref="B10">
    <cfRule type="duplicateValues" dxfId="3" priority="13"/>
  </conditionalFormatting>
  <conditionalFormatting sqref="B5 B7:B9">
    <cfRule type="duplicateValues" dxfId="2" priority="14"/>
  </conditionalFormatting>
  <conditionalFormatting sqref="C5:C10">
    <cfRule type="duplicateValues" dxfId="1" priority="2"/>
  </conditionalFormatting>
  <conditionalFormatting sqref="D8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A3865-8BEB-6148-8CF6-71042A2DC254}">
  <sheetPr codeName="Sheet7">
    <tabColor theme="5"/>
  </sheetPr>
  <dimension ref="B2:U59"/>
  <sheetViews>
    <sheetView workbookViewId="0">
      <selection activeCell="J11" sqref="J11"/>
    </sheetView>
  </sheetViews>
  <sheetFormatPr baseColWidth="10" defaultRowHeight="16"/>
  <cols>
    <col min="2" max="2" width="25" bestFit="1" customWidth="1"/>
    <col min="3" max="3" width="13.6640625" bestFit="1" customWidth="1"/>
    <col min="4" max="8" width="14" bestFit="1" customWidth="1"/>
    <col min="9" max="9" width="13.1640625" customWidth="1"/>
  </cols>
  <sheetData>
    <row r="2" spans="2:10">
      <c r="B2" s="292" t="s">
        <v>218</v>
      </c>
      <c r="E2" s="292" t="s">
        <v>219</v>
      </c>
      <c r="H2" s="292" t="s">
        <v>220</v>
      </c>
    </row>
    <row r="3" spans="2:10">
      <c r="B3" t="s">
        <v>221</v>
      </c>
      <c r="C3" s="293">
        <v>0.8</v>
      </c>
      <c r="E3" t="s">
        <v>221</v>
      </c>
      <c r="F3" s="293">
        <v>0.5</v>
      </c>
      <c r="H3" s="293">
        <v>0.06</v>
      </c>
    </row>
    <row r="4" spans="2:10">
      <c r="B4" t="s">
        <v>222</v>
      </c>
      <c r="C4" s="228">
        <f>1-C3</f>
        <v>0.19999999999999996</v>
      </c>
      <c r="E4" t="s">
        <v>222</v>
      </c>
      <c r="F4" s="228">
        <f>1-F3</f>
        <v>0.5</v>
      </c>
    </row>
    <row r="7" spans="2:10">
      <c r="B7" s="292" t="s">
        <v>223</v>
      </c>
    </row>
    <row r="9" spans="2:10">
      <c r="B9" s="226" t="s">
        <v>224</v>
      </c>
      <c r="C9" s="294"/>
      <c r="D9" s="294"/>
      <c r="E9" s="294">
        <v>1</v>
      </c>
      <c r="F9" s="294">
        <v>2</v>
      </c>
      <c r="G9" s="294">
        <v>3</v>
      </c>
      <c r="H9" s="294">
        <v>4</v>
      </c>
      <c r="I9" s="294">
        <v>5</v>
      </c>
    </row>
    <row r="10" spans="2:10">
      <c r="B10" s="226" t="s">
        <v>225</v>
      </c>
      <c r="C10" s="295">
        <f ca="1">'Grand Prairi-IRRWorksht10Yr (5)'!G21</f>
        <v>-13204015.686719578</v>
      </c>
      <c r="D10" s="295">
        <f ca="1">'Grand Prairi-IRRWorksht10Yr (5)'!H21</f>
        <v>1458261.894578503</v>
      </c>
      <c r="E10" s="295">
        <f ca="1">'Grand Prairi-IRRWorksht10Yr (5)'!I21</f>
        <v>1590228.1742271739</v>
      </c>
      <c r="F10" s="295">
        <f ca="1">'Grand Prairi-IRRWorksht10Yr (5)'!J21</f>
        <v>1935990.2747931755</v>
      </c>
      <c r="G10" s="295">
        <f ca="1">'Grand Prairi-IRRWorksht10Yr (5)'!K21</f>
        <v>841351.68576418422</v>
      </c>
      <c r="H10" s="295">
        <f ca="1">'Grand Prairi-IRRWorksht10Yr (5)'!L21</f>
        <v>63417106.828347772</v>
      </c>
      <c r="I10" s="295">
        <f>'Grand Prairi-IRRWorksht10Yr (5)'!M21</f>
        <v>0</v>
      </c>
      <c r="J10" s="229"/>
    </row>
    <row r="13" spans="2:10">
      <c r="B13" s="296" t="s">
        <v>226</v>
      </c>
    </row>
    <row r="15" spans="2:10">
      <c r="B15" t="s">
        <v>227</v>
      </c>
      <c r="C15" s="297"/>
      <c r="D15" s="297">
        <f ca="1">D10*$H$3</f>
        <v>87495.713674710176</v>
      </c>
      <c r="E15" s="297">
        <f ca="1">E23*$H$3</f>
        <v>709994.9703489471</v>
      </c>
      <c r="F15" s="297">
        <f ca="1">F23*$H$3</f>
        <v>657180.97811625339</v>
      </c>
      <c r="G15" s="297">
        <f ca="1">G23*$H$3</f>
        <v>580452.42031563807</v>
      </c>
      <c r="H15" s="297">
        <f ca="1">H23*$H$3</f>
        <v>564798.46438872535</v>
      </c>
      <c r="I15" s="297">
        <f ca="1">I23*$H$3</f>
        <v>0</v>
      </c>
    </row>
    <row r="16" spans="2:10">
      <c r="B16" t="s">
        <v>228</v>
      </c>
      <c r="D16" s="297">
        <f t="shared" ref="D16:I16" ca="1" si="0">D10-D15</f>
        <v>1370766.1809037928</v>
      </c>
      <c r="E16" s="297">
        <f t="shared" ca="1" si="0"/>
        <v>880233.20387822681</v>
      </c>
      <c r="F16" s="297">
        <f t="shared" ca="1" si="0"/>
        <v>1278809.2966769221</v>
      </c>
      <c r="G16" s="297">
        <f t="shared" ca="1" si="0"/>
        <v>260899.26544854615</v>
      </c>
      <c r="H16" s="297">
        <f t="shared" ca="1" si="0"/>
        <v>62852308.363959044</v>
      </c>
      <c r="I16" s="297">
        <f t="shared" ca="1" si="0"/>
        <v>0</v>
      </c>
    </row>
    <row r="18" spans="2:9">
      <c r="B18" t="s">
        <v>229</v>
      </c>
      <c r="D18" s="298">
        <f t="shared" ref="D18:I18" ca="1" si="1">D15</f>
        <v>87495.713674710176</v>
      </c>
      <c r="E18" s="298">
        <f ca="1">E15</f>
        <v>709994.9703489471</v>
      </c>
      <c r="F18" s="298">
        <f t="shared" ca="1" si="1"/>
        <v>657180.97811625339</v>
      </c>
      <c r="G18" s="298">
        <f t="shared" ca="1" si="1"/>
        <v>580452.42031563807</v>
      </c>
      <c r="H18" s="298">
        <f t="shared" ca="1" si="1"/>
        <v>564798.46438872535</v>
      </c>
      <c r="I18" s="298">
        <f t="shared" ca="1" si="1"/>
        <v>0</v>
      </c>
    </row>
    <row r="21" spans="2:9">
      <c r="B21" s="292" t="s">
        <v>230</v>
      </c>
    </row>
    <row r="23" spans="2:9">
      <c r="B23" t="s">
        <v>231</v>
      </c>
      <c r="D23" s="297">
        <f ca="1">-C10</f>
        <v>13204015.686719578</v>
      </c>
      <c r="E23" s="297">
        <f ca="1">D25</f>
        <v>11833249.505815785</v>
      </c>
      <c r="F23" s="297">
        <f ca="1">E25</f>
        <v>10953016.301937558</v>
      </c>
      <c r="G23" s="297">
        <f ca="1">F25</f>
        <v>9674207.0052606352</v>
      </c>
      <c r="H23" s="297">
        <f ca="1">G25</f>
        <v>9413307.7398120891</v>
      </c>
      <c r="I23" s="297">
        <f ca="1">H25</f>
        <v>0</v>
      </c>
    </row>
    <row r="24" spans="2:9">
      <c r="B24" t="s">
        <v>185</v>
      </c>
      <c r="D24" s="297">
        <f t="shared" ref="D24:I24" ca="1" si="2">MIN(D16,D23)</f>
        <v>1370766.1809037928</v>
      </c>
      <c r="E24" s="297">
        <f t="shared" ca="1" si="2"/>
        <v>880233.20387822681</v>
      </c>
      <c r="F24" s="297">
        <f t="shared" ca="1" si="2"/>
        <v>1278809.2966769221</v>
      </c>
      <c r="G24" s="297">
        <f t="shared" ca="1" si="2"/>
        <v>260899.26544854615</v>
      </c>
      <c r="H24" s="297">
        <f t="shared" ca="1" si="2"/>
        <v>9413307.7398120891</v>
      </c>
      <c r="I24" s="297">
        <f t="shared" ca="1" si="2"/>
        <v>0</v>
      </c>
    </row>
    <row r="25" spans="2:9">
      <c r="B25" t="s">
        <v>232</v>
      </c>
      <c r="D25" s="297">
        <f t="shared" ref="D25:I25" ca="1" si="3">D23-D24</f>
        <v>11833249.505815785</v>
      </c>
      <c r="E25" s="297">
        <f t="shared" ca="1" si="3"/>
        <v>10953016.301937558</v>
      </c>
      <c r="F25" s="297">
        <f t="shared" ca="1" si="3"/>
        <v>9674207.0052606352</v>
      </c>
      <c r="G25" s="297">
        <f t="shared" ca="1" si="3"/>
        <v>9413307.7398120891</v>
      </c>
      <c r="H25" s="297">
        <f t="shared" ca="1" si="3"/>
        <v>0</v>
      </c>
      <c r="I25" s="297">
        <f t="shared" ca="1" si="3"/>
        <v>0</v>
      </c>
    </row>
    <row r="27" spans="2:9">
      <c r="B27" t="s">
        <v>233</v>
      </c>
      <c r="D27" s="299">
        <f t="shared" ref="D27:I27" ca="1" si="4">D24</f>
        <v>1370766.1809037928</v>
      </c>
      <c r="E27" s="299">
        <f t="shared" ca="1" si="4"/>
        <v>880233.20387822681</v>
      </c>
      <c r="F27" s="299">
        <f t="shared" ca="1" si="4"/>
        <v>1278809.2966769221</v>
      </c>
      <c r="G27" s="299">
        <f t="shared" ca="1" si="4"/>
        <v>260899.26544854615</v>
      </c>
      <c r="H27" s="299">
        <f t="shared" ca="1" si="4"/>
        <v>9413307.7398120891</v>
      </c>
      <c r="I27" s="299">
        <f t="shared" ca="1" si="4"/>
        <v>0</v>
      </c>
    </row>
    <row r="30" spans="2:9">
      <c r="B30" s="292" t="s">
        <v>234</v>
      </c>
    </row>
    <row r="32" spans="2:9">
      <c r="B32" t="s">
        <v>235</v>
      </c>
      <c r="D32" s="299">
        <f t="shared" ref="D32:I32" ca="1" si="5">D10-D18-D27</f>
        <v>0</v>
      </c>
      <c r="E32" s="299">
        <f t="shared" ca="1" si="5"/>
        <v>0</v>
      </c>
      <c r="F32" s="299">
        <f t="shared" ca="1" si="5"/>
        <v>0</v>
      </c>
      <c r="G32" s="299">
        <f t="shared" ca="1" si="5"/>
        <v>0</v>
      </c>
      <c r="H32" s="299">
        <f t="shared" ca="1" si="5"/>
        <v>53439000.624146953</v>
      </c>
      <c r="I32" s="299">
        <f t="shared" ca="1" si="5"/>
        <v>0</v>
      </c>
    </row>
    <row r="33" spans="2:9">
      <c r="B33" t="s">
        <v>236</v>
      </c>
      <c r="D33" s="300">
        <f t="shared" ref="D33:I33" ca="1" si="6">D32*$F$3</f>
        <v>0</v>
      </c>
      <c r="E33" s="300">
        <f t="shared" ca="1" si="6"/>
        <v>0</v>
      </c>
      <c r="F33" s="300">
        <f t="shared" ca="1" si="6"/>
        <v>0</v>
      </c>
      <c r="G33" s="300">
        <f t="shared" ca="1" si="6"/>
        <v>0</v>
      </c>
      <c r="H33" s="300">
        <f t="shared" ca="1" si="6"/>
        <v>26719500.312073477</v>
      </c>
      <c r="I33" s="300">
        <f t="shared" ca="1" si="6"/>
        <v>0</v>
      </c>
    </row>
    <row r="34" spans="2:9">
      <c r="B34" t="s">
        <v>237</v>
      </c>
      <c r="D34" s="300">
        <f t="shared" ref="D34:I34" ca="1" si="7">D32*$F$4</f>
        <v>0</v>
      </c>
      <c r="E34" s="300">
        <f t="shared" ca="1" si="7"/>
        <v>0</v>
      </c>
      <c r="F34" s="300">
        <f t="shared" ca="1" si="7"/>
        <v>0</v>
      </c>
      <c r="G34" s="300">
        <f t="shared" ca="1" si="7"/>
        <v>0</v>
      </c>
      <c r="H34" s="300">
        <f t="shared" ca="1" si="7"/>
        <v>26719500.312073477</v>
      </c>
      <c r="I34" s="300">
        <f t="shared" ca="1" si="7"/>
        <v>0</v>
      </c>
    </row>
    <row r="35" spans="2:9">
      <c r="D35" s="300"/>
      <c r="E35" s="300"/>
      <c r="F35" s="300"/>
      <c r="G35" s="300"/>
      <c r="H35" s="300"/>
      <c r="I35" s="300"/>
    </row>
    <row r="36" spans="2:9">
      <c r="B36" s="301" t="s">
        <v>224</v>
      </c>
      <c r="C36" s="302"/>
      <c r="D36" s="302"/>
      <c r="E36" s="302">
        <v>1</v>
      </c>
      <c r="F36" s="302">
        <v>2</v>
      </c>
      <c r="G36" s="302">
        <v>3</v>
      </c>
      <c r="H36" s="302">
        <v>4</v>
      </c>
      <c r="I36" s="303">
        <v>5</v>
      </c>
    </row>
    <row r="37" spans="2:9" ht="17" thickBot="1">
      <c r="B37" s="304" t="s">
        <v>238</v>
      </c>
      <c r="C37" s="305">
        <f ca="1">C10*C3</f>
        <v>-10563212.549375663</v>
      </c>
      <c r="D37" s="305">
        <f ca="1">$C$3*(D18+D27+D32)</f>
        <v>1166609.5156628024</v>
      </c>
      <c r="E37" s="305">
        <f ca="1">$C$3*(E18+E27+E32)</f>
        <v>1272182.5393817392</v>
      </c>
      <c r="F37" s="305">
        <f ca="1">$C$3*(F18+F27+F32)</f>
        <v>1548792.2198345405</v>
      </c>
      <c r="G37" s="305">
        <f ca="1">$C$3*(G18+G27+G32)</f>
        <v>673081.34861134738</v>
      </c>
      <c r="H37" s="305">
        <f ca="1">$C$3*(H18+H27+H32)</f>
        <v>50733685.462678224</v>
      </c>
      <c r="I37" s="306">
        <f ca="1">$C$3*(I18+I27+I33)</f>
        <v>0</v>
      </c>
    </row>
    <row r="38" spans="2:9" ht="17" thickBot="1">
      <c r="B38" s="304" t="s">
        <v>239</v>
      </c>
      <c r="C38" s="307">
        <f ca="1">C10*C4</f>
        <v>-2640803.1373439152</v>
      </c>
      <c r="D38" s="307">
        <f t="shared" ref="D38:I38" ca="1" si="8">$C$4*(D27+D33+D18)</f>
        <v>291652.37891570054</v>
      </c>
      <c r="E38" s="307">
        <f t="shared" ca="1" si="8"/>
        <v>318045.63484543469</v>
      </c>
      <c r="F38" s="307">
        <f t="shared" ca="1" si="8"/>
        <v>387198.05495863501</v>
      </c>
      <c r="G38" s="307">
        <f t="shared" ca="1" si="8"/>
        <v>168270.33715283682</v>
      </c>
      <c r="H38" s="307">
        <f t="shared" ca="1" si="8"/>
        <v>7339521.3032548577</v>
      </c>
      <c r="I38" s="308">
        <f t="shared" ca="1" si="8"/>
        <v>0</v>
      </c>
    </row>
    <row r="39" spans="2:9" ht="18" thickTop="1" thickBot="1">
      <c r="B39" s="304" t="s">
        <v>240</v>
      </c>
      <c r="C39" s="309"/>
      <c r="D39" s="309">
        <f t="shared" ref="D39:I39" ca="1" si="9">D34</f>
        <v>0</v>
      </c>
      <c r="E39" s="309">
        <f t="shared" ca="1" si="9"/>
        <v>0</v>
      </c>
      <c r="F39" s="309">
        <f t="shared" ca="1" si="9"/>
        <v>0</v>
      </c>
      <c r="G39" s="309">
        <f t="shared" ca="1" si="9"/>
        <v>0</v>
      </c>
      <c r="H39" s="309">
        <f t="shared" ca="1" si="9"/>
        <v>26719500.312073477</v>
      </c>
      <c r="I39" s="310">
        <f t="shared" ca="1" si="9"/>
        <v>0</v>
      </c>
    </row>
    <row r="40" spans="2:9" ht="18" thickTop="1" thickBot="1">
      <c r="B40" s="304" t="s">
        <v>241</v>
      </c>
      <c r="C40" s="309">
        <f t="shared" ref="C40:I40" ca="1" si="10">C39+C38</f>
        <v>-2640803.1373439152</v>
      </c>
      <c r="D40" s="309">
        <f t="shared" ca="1" si="10"/>
        <v>291652.37891570054</v>
      </c>
      <c r="E40" s="309">
        <f t="shared" ca="1" si="10"/>
        <v>318045.63484543469</v>
      </c>
      <c r="F40" s="309">
        <f t="shared" ca="1" si="10"/>
        <v>387198.05495863501</v>
      </c>
      <c r="G40" s="309">
        <f t="shared" ca="1" si="10"/>
        <v>168270.33715283682</v>
      </c>
      <c r="H40" s="309">
        <f t="shared" ca="1" si="10"/>
        <v>34059021.615328334</v>
      </c>
      <c r="I40" s="310">
        <f t="shared" ca="1" si="10"/>
        <v>0</v>
      </c>
    </row>
    <row r="41" spans="2:9" ht="18" thickTop="1" thickBot="1">
      <c r="B41" s="304" t="s">
        <v>242</v>
      </c>
      <c r="C41" s="311">
        <f t="shared" ref="C41:I41" ca="1" si="11">SUM(C37,C40)</f>
        <v>-13204015.686719578</v>
      </c>
      <c r="D41" s="311">
        <f t="shared" ca="1" si="11"/>
        <v>1458261.894578503</v>
      </c>
      <c r="E41" s="311">
        <f t="shared" ca="1" si="11"/>
        <v>1590228.1742271739</v>
      </c>
      <c r="F41" s="311">
        <f t="shared" ca="1" si="11"/>
        <v>1935990.2747931755</v>
      </c>
      <c r="G41" s="311">
        <f t="shared" ca="1" si="11"/>
        <v>841351.68576418422</v>
      </c>
      <c r="H41" s="311">
        <f t="shared" ca="1" si="11"/>
        <v>84792707.078006566</v>
      </c>
      <c r="I41" s="312">
        <f t="shared" ca="1" si="11"/>
        <v>0</v>
      </c>
    </row>
    <row r="42" spans="2:9" ht="17" thickTop="1">
      <c r="B42" s="313" t="s">
        <v>243</v>
      </c>
      <c r="C42" s="314" t="str">
        <f ca="1">IF(C41=C10,"OK","ERROR")</f>
        <v>OK</v>
      </c>
      <c r="D42" s="314" t="str">
        <f t="shared" ref="D42:I42" ca="1" si="12">IF(D41=D10,"OK","ERROR")</f>
        <v>OK</v>
      </c>
      <c r="E42" s="314" t="str">
        <f t="shared" ca="1" si="12"/>
        <v>OK</v>
      </c>
      <c r="F42" s="314" t="str">
        <f t="shared" ca="1" si="12"/>
        <v>OK</v>
      </c>
      <c r="G42" s="314" t="str">
        <f t="shared" ca="1" si="12"/>
        <v>OK</v>
      </c>
      <c r="H42" s="314" t="str">
        <f t="shared" ca="1" si="12"/>
        <v>ERROR</v>
      </c>
      <c r="I42" s="314" t="str">
        <f t="shared" ca="1" si="12"/>
        <v>OK</v>
      </c>
    </row>
    <row r="43" spans="2:9">
      <c r="E43" s="315"/>
      <c r="F43" s="315"/>
      <c r="G43" s="315"/>
      <c r="H43" s="315"/>
    </row>
    <row r="44" spans="2:9">
      <c r="B44" s="304" t="s">
        <v>244</v>
      </c>
      <c r="C44" s="316">
        <f ca="1">IRR(C37:I37)</f>
        <v>0.43152405307433406</v>
      </c>
    </row>
    <row r="45" spans="2:9">
      <c r="B45" s="304" t="s">
        <v>245</v>
      </c>
      <c r="C45" s="316">
        <f ca="1">IRR(C40:I40)</f>
        <v>0.71915498366380204</v>
      </c>
    </row>
    <row r="47" spans="2:9">
      <c r="B47" s="304" t="s">
        <v>246</v>
      </c>
      <c r="C47" s="317">
        <f ca="1">-SUM(E37:I37)/C37</f>
        <v>5.1336410506774266</v>
      </c>
    </row>
    <row r="48" spans="2:9">
      <c r="B48" s="304" t="s">
        <v>247</v>
      </c>
      <c r="C48" s="317">
        <f ca="1">-SUM(E40:I40)/C40</f>
        <v>13.227996872731651</v>
      </c>
    </row>
    <row r="51" spans="2:21">
      <c r="B51" s="292" t="s">
        <v>248</v>
      </c>
    </row>
    <row r="52" spans="2:21">
      <c r="U52" t="s">
        <v>249</v>
      </c>
    </row>
    <row r="53" spans="2:21">
      <c r="B53" s="301" t="s">
        <v>224</v>
      </c>
      <c r="C53" s="302"/>
      <c r="D53" s="302"/>
      <c r="E53" s="302" t="s">
        <v>250</v>
      </c>
      <c r="F53" s="302">
        <v>2</v>
      </c>
      <c r="G53" s="302">
        <v>3</v>
      </c>
      <c r="H53" s="302">
        <v>4</v>
      </c>
      <c r="I53" s="303">
        <v>5</v>
      </c>
    </row>
    <row r="54" spans="2:21">
      <c r="B54" s="304" t="s">
        <v>238</v>
      </c>
      <c r="C54" s="318">
        <f t="shared" ref="C54:I54" ca="1" si="13">C37</f>
        <v>-10563212.549375663</v>
      </c>
      <c r="D54" s="298">
        <f t="shared" ca="1" si="13"/>
        <v>1166609.5156628024</v>
      </c>
      <c r="E54" s="298">
        <f t="shared" ca="1" si="13"/>
        <v>1272182.5393817392</v>
      </c>
      <c r="F54" s="298">
        <f t="shared" ca="1" si="13"/>
        <v>1548792.2198345405</v>
      </c>
      <c r="G54" s="298">
        <f t="shared" ca="1" si="13"/>
        <v>673081.34861134738</v>
      </c>
      <c r="H54" s="298">
        <f t="shared" ca="1" si="13"/>
        <v>50733685.462678224</v>
      </c>
      <c r="I54" s="319">
        <f t="shared" ca="1" si="13"/>
        <v>0</v>
      </c>
    </row>
    <row r="55" spans="2:21">
      <c r="B55" s="320" t="s">
        <v>251</v>
      </c>
      <c r="C55" s="321"/>
      <c r="D55" s="322"/>
      <c r="E55" s="323">
        <f ca="1">E54/-$C$54</f>
        <v>0.12043519274417434</v>
      </c>
      <c r="F55" s="323">
        <f ca="1">F54/-$C$54</f>
        <v>0.14662132496103961</v>
      </c>
      <c r="G55" s="323">
        <f ca="1">G54/-$C$54</f>
        <v>6.3719379446845442E-2</v>
      </c>
      <c r="H55" s="323">
        <f ca="1">H54/-$C$54</f>
        <v>4.8028651535253672</v>
      </c>
      <c r="I55" s="324">
        <f ca="1">I54/-$C$54</f>
        <v>0</v>
      </c>
    </row>
    <row r="56" spans="2:21">
      <c r="B56" s="325" t="s">
        <v>252</v>
      </c>
      <c r="E56" s="326"/>
    </row>
    <row r="58" spans="2:21">
      <c r="B58" s="304" t="s">
        <v>244</v>
      </c>
      <c r="C58" s="316">
        <f ca="1">C44</f>
        <v>0.43152405307433406</v>
      </c>
    </row>
    <row r="59" spans="2:21">
      <c r="B59" s="304" t="s">
        <v>246</v>
      </c>
      <c r="C59" s="317">
        <f ca="1">C47</f>
        <v>5.1336410506774266</v>
      </c>
    </row>
  </sheetData>
  <pageMargins left="0.7" right="0.7" top="0.75" bottom="0.75" header="0.3" footer="0.3"/>
  <pageSetup orientation="landscape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5F12D-AFEC-234E-A18B-11DA8578BD0E}">
  <sheetPr codeName="Sheet8"/>
  <dimension ref="B2:I19"/>
  <sheetViews>
    <sheetView zoomScale="125" zoomScaleNormal="125" workbookViewId="0">
      <selection activeCell="F14" sqref="F14"/>
    </sheetView>
  </sheetViews>
  <sheetFormatPr baseColWidth="10" defaultRowHeight="16"/>
  <cols>
    <col min="1" max="1" width="4.5" customWidth="1"/>
    <col min="2" max="2" width="57.1640625" customWidth="1"/>
    <col min="3" max="3" width="10.5" customWidth="1"/>
    <col min="4" max="4" width="20.6640625" customWidth="1"/>
    <col min="5" max="5" width="13.83203125" customWidth="1"/>
    <col min="6" max="6" width="20.1640625" customWidth="1"/>
    <col min="7" max="7" width="4.83203125" customWidth="1"/>
    <col min="8" max="8" width="37.1640625" customWidth="1"/>
    <col min="9" max="9" width="26.1640625" customWidth="1"/>
    <col min="10" max="10" width="11.5" bestFit="1" customWidth="1"/>
    <col min="11" max="11" width="10.33203125" bestFit="1" customWidth="1"/>
    <col min="12" max="12" width="15.5" bestFit="1" customWidth="1"/>
    <col min="13" max="13" width="9.5" bestFit="1" customWidth="1"/>
    <col min="14" max="14" width="15.5" bestFit="1" customWidth="1"/>
    <col min="15" max="15" width="15.6640625" bestFit="1" customWidth="1"/>
    <col min="16" max="16" width="9.83203125" bestFit="1" customWidth="1"/>
    <col min="17" max="17" width="10.5" bestFit="1" customWidth="1"/>
    <col min="18" max="18" width="13.83203125" bestFit="1" customWidth="1"/>
    <col min="19" max="19" width="8.6640625" bestFit="1" customWidth="1"/>
    <col min="20" max="20" width="16.5" bestFit="1" customWidth="1"/>
    <col min="21" max="21" width="65" bestFit="1" customWidth="1"/>
    <col min="22" max="22" width="45.33203125" bestFit="1" customWidth="1"/>
  </cols>
  <sheetData>
    <row r="2" spans="2:9">
      <c r="B2" s="327" t="s">
        <v>272</v>
      </c>
      <c r="C2" s="328"/>
      <c r="D2" s="328"/>
      <c r="E2" s="328"/>
      <c r="F2" s="328"/>
      <c r="H2" s="344" t="s">
        <v>273</v>
      </c>
      <c r="I2" s="345"/>
    </row>
    <row r="3" spans="2:9" ht="17" thickBot="1">
      <c r="B3" s="329" t="s">
        <v>253</v>
      </c>
      <c r="C3" s="330" t="s">
        <v>254</v>
      </c>
      <c r="D3" s="330" t="s">
        <v>255</v>
      </c>
      <c r="E3" s="330" t="s">
        <v>256</v>
      </c>
      <c r="F3" s="330" t="s">
        <v>257</v>
      </c>
      <c r="H3" t="s">
        <v>258</v>
      </c>
      <c r="I3" s="331">
        <v>1.5</v>
      </c>
    </row>
    <row r="4" spans="2:9">
      <c r="B4" s="346" t="s">
        <v>274</v>
      </c>
      <c r="C4" s="347">
        <v>0.66999799999999998</v>
      </c>
      <c r="D4" s="332">
        <f>I19</f>
        <v>33731163.359999992</v>
      </c>
      <c r="E4" s="333">
        <f>(C4/100)*D4</f>
        <v>225998.11988873273</v>
      </c>
      <c r="F4" s="348">
        <f>E4/C$13</f>
        <v>649.41988473773779</v>
      </c>
      <c r="H4" t="s">
        <v>259</v>
      </c>
      <c r="I4" s="349">
        <f>IF('Grand Prairie- Exec Summary (1)'!C14="WB",'Grand Prairie- Exec Summary (1)'!D35,'Grand Prairie- Exec Summary (1)'!#REF!)</f>
        <v>891.80459770114942</v>
      </c>
    </row>
    <row r="5" spans="2:9">
      <c r="B5" s="350" t="s">
        <v>275</v>
      </c>
      <c r="C5" s="351">
        <v>0.23400000000000001</v>
      </c>
      <c r="D5" s="334">
        <f>$D$4</f>
        <v>33731163.359999992</v>
      </c>
      <c r="E5" s="333">
        <f>(C5/100)*D5</f>
        <v>78930.922262399981</v>
      </c>
      <c r="F5" s="348">
        <f>E5/C$13</f>
        <v>226.8129950068965</v>
      </c>
      <c r="H5" s="336" t="s">
        <v>260</v>
      </c>
      <c r="I5" s="352">
        <f>'Grand Prairie- Exec Summary (1)'!C38</f>
        <v>348</v>
      </c>
    </row>
    <row r="6" spans="2:9">
      <c r="B6" s="350" t="s">
        <v>276</v>
      </c>
      <c r="C6" s="351">
        <v>1.4463999999999999</v>
      </c>
      <c r="D6" s="334">
        <f>$D$4</f>
        <v>33731163.359999992</v>
      </c>
      <c r="E6" s="333">
        <f>(C6/100)*D6</f>
        <v>487887.54683903989</v>
      </c>
      <c r="F6" s="348">
        <f>E6/C$13</f>
        <v>1401.9757093075859</v>
      </c>
      <c r="H6" t="s">
        <v>261</v>
      </c>
      <c r="I6" s="337">
        <f>I3*I4*I5*12</f>
        <v>5586264</v>
      </c>
    </row>
    <row r="7" spans="2:9">
      <c r="B7" s="350" t="s">
        <v>277</v>
      </c>
      <c r="C7" s="351">
        <v>0.22442899999999999</v>
      </c>
      <c r="D7" s="334">
        <f>$D$4</f>
        <v>33731163.359999992</v>
      </c>
      <c r="E7" s="333">
        <f>(C7/100)*D7</f>
        <v>75702.512617214379</v>
      </c>
      <c r="F7" s="348">
        <f>E7/C$13</f>
        <v>217.53595579659304</v>
      </c>
      <c r="H7" s="336" t="s">
        <v>278</v>
      </c>
      <c r="I7" s="338">
        <v>165000</v>
      </c>
    </row>
    <row r="8" spans="2:9">
      <c r="B8" s="350" t="s">
        <v>279</v>
      </c>
      <c r="C8" s="351">
        <v>0.13017000000000001</v>
      </c>
      <c r="D8" s="335">
        <f>D7</f>
        <v>33731163.359999992</v>
      </c>
      <c r="E8" s="333">
        <f>(C8/100)*D8</f>
        <v>43907.855345711992</v>
      </c>
      <c r="F8" s="348">
        <f>E8/C$13</f>
        <v>126.17199811986205</v>
      </c>
      <c r="H8" t="s">
        <v>262</v>
      </c>
      <c r="I8" s="339">
        <f>SUM(I6:I7)</f>
        <v>5751264</v>
      </c>
    </row>
    <row r="9" spans="2:9">
      <c r="B9" s="304"/>
      <c r="C9" s="304"/>
      <c r="D9" s="334"/>
      <c r="E9" s="335"/>
      <c r="F9" s="348"/>
      <c r="H9" s="336" t="s">
        <v>263</v>
      </c>
      <c r="I9" s="336">
        <v>0.92</v>
      </c>
    </row>
    <row r="10" spans="2:9">
      <c r="B10" s="304"/>
      <c r="C10" s="304"/>
      <c r="D10" s="334"/>
      <c r="E10" s="335"/>
      <c r="F10" s="348"/>
      <c r="H10" t="s">
        <v>264</v>
      </c>
      <c r="I10" s="339">
        <f>I8*I9</f>
        <v>5291162.88</v>
      </c>
    </row>
    <row r="11" spans="2:9" ht="17" thickBot="1">
      <c r="B11" s="340"/>
      <c r="C11" s="340"/>
      <c r="D11" s="341"/>
      <c r="E11" s="341"/>
      <c r="F11" s="341"/>
      <c r="H11" s="336" t="s">
        <v>265</v>
      </c>
      <c r="I11" s="336">
        <v>0.4</v>
      </c>
    </row>
    <row r="12" spans="2:9">
      <c r="C12">
        <f>SUM(C4:C11)</f>
        <v>2.7049970000000001</v>
      </c>
      <c r="E12" s="339">
        <f>SUM(E4:E11)</f>
        <v>912426.956953099</v>
      </c>
      <c r="F12" s="339">
        <f>SUM(F4:F11)</f>
        <v>2621.9165429686755</v>
      </c>
      <c r="H12" t="s">
        <v>266</v>
      </c>
      <c r="I12" s="339">
        <f>I11*I10</f>
        <v>2116465.1520000002</v>
      </c>
    </row>
    <row r="13" spans="2:9">
      <c r="B13" t="s">
        <v>260</v>
      </c>
      <c r="C13" s="353">
        <f>I5</f>
        <v>348</v>
      </c>
      <c r="D13" t="s">
        <v>36</v>
      </c>
      <c r="E13" s="297">
        <v>2200000</v>
      </c>
      <c r="H13" t="s">
        <v>78</v>
      </c>
      <c r="I13" s="339">
        <f>I10-I12</f>
        <v>3174697.7279999997</v>
      </c>
    </row>
    <row r="14" spans="2:9">
      <c r="D14" t="s">
        <v>280</v>
      </c>
      <c r="E14" s="300">
        <f>E13*C12/100</f>
        <v>59509.934000000001</v>
      </c>
      <c r="H14" s="336" t="s">
        <v>267</v>
      </c>
      <c r="I14" s="336">
        <v>0.08</v>
      </c>
    </row>
    <row r="15" spans="2:9">
      <c r="H15" t="s">
        <v>268</v>
      </c>
      <c r="I15" s="339">
        <f>I13/I14</f>
        <v>39683721.599999994</v>
      </c>
    </row>
    <row r="16" spans="2:9">
      <c r="B16" s="226" t="s">
        <v>281</v>
      </c>
      <c r="D16" s="226" t="s">
        <v>282</v>
      </c>
      <c r="H16" s="336" t="s">
        <v>269</v>
      </c>
      <c r="I16" s="336">
        <v>0.15</v>
      </c>
    </row>
    <row r="17" spans="4:9">
      <c r="D17" t="s">
        <v>283</v>
      </c>
      <c r="H17" t="s">
        <v>270</v>
      </c>
      <c r="I17" s="339">
        <f>I15*I16</f>
        <v>5952558.2399999993</v>
      </c>
    </row>
    <row r="18" spans="4:9">
      <c r="D18" s="354" t="s">
        <v>284</v>
      </c>
    </row>
    <row r="19" spans="4:9">
      <c r="H19" s="342" t="s">
        <v>271</v>
      </c>
      <c r="I19" s="343">
        <f>I15-I17</f>
        <v>33731163.359999992</v>
      </c>
    </row>
  </sheetData>
  <hyperlinks>
    <hyperlink ref="D18" r:id="rId1" xr:uid="{58AD5A60-6C9E-7946-B6E8-878F453653C7}"/>
  </hyperlinks>
  <pageMargins left="0.7" right="0.7" top="0.75" bottom="0.75" header="0.3" footer="0.3"/>
  <pageSetup orientation="portrait" horizontalDpi="0" verticalDpi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CACA5-1989-D747-A065-7631F713E0CE}">
  <sheetPr codeName="Sheet9"/>
  <dimension ref="A1:E20"/>
  <sheetViews>
    <sheetView topLeftCell="A10" zoomScale="184" workbookViewId="0">
      <selection activeCell="C19" sqref="C19"/>
    </sheetView>
  </sheetViews>
  <sheetFormatPr baseColWidth="10" defaultRowHeight="16"/>
  <cols>
    <col min="1" max="1" width="18.1640625" bestFit="1" customWidth="1"/>
    <col min="2" max="2" width="11.5" bestFit="1" customWidth="1"/>
  </cols>
  <sheetData>
    <row r="1" spans="1:5">
      <c r="A1" t="s">
        <v>285</v>
      </c>
    </row>
    <row r="3" spans="1:5">
      <c r="A3" t="s">
        <v>286</v>
      </c>
      <c r="B3">
        <f>700+40*26.3</f>
        <v>1752</v>
      </c>
    </row>
    <row r="4" spans="1:5">
      <c r="A4" t="s">
        <v>287</v>
      </c>
      <c r="B4" s="355">
        <f>250*'Grand Prairie- Exec Summary (1)'!C38</f>
        <v>87000</v>
      </c>
    </row>
    <row r="5" spans="1:5">
      <c r="A5" t="s">
        <v>288</v>
      </c>
      <c r="B5">
        <f>1000+40*26.3</f>
        <v>2052</v>
      </c>
    </row>
    <row r="6" spans="1:5">
      <c r="A6" t="s">
        <v>289</v>
      </c>
      <c r="B6">
        <f>1000+40*26.3</f>
        <v>2052</v>
      </c>
    </row>
    <row r="7" spans="1:5">
      <c r="A7" t="s">
        <v>290</v>
      </c>
      <c r="B7">
        <f>1000+40*26.3+400</f>
        <v>2452</v>
      </c>
    </row>
    <row r="8" spans="1:5">
      <c r="A8" t="s">
        <v>19</v>
      </c>
      <c r="B8" s="355">
        <f>SUM(B3:B7)</f>
        <v>95308</v>
      </c>
    </row>
    <row r="10" spans="1:5">
      <c r="A10" t="s">
        <v>291</v>
      </c>
    </row>
    <row r="11" spans="1:5">
      <c r="A11" t="s">
        <v>292</v>
      </c>
      <c r="B11" t="s">
        <v>24</v>
      </c>
      <c r="C11" t="s">
        <v>293</v>
      </c>
      <c r="D11" t="s">
        <v>294</v>
      </c>
      <c r="E11" t="s">
        <v>19</v>
      </c>
    </row>
    <row r="12" spans="1:5">
      <c r="A12" t="s">
        <v>295</v>
      </c>
      <c r="B12">
        <v>2</v>
      </c>
      <c r="C12" s="356">
        <v>85550</v>
      </c>
      <c r="D12" s="356">
        <v>42150</v>
      </c>
      <c r="E12" s="356">
        <f>SUM(C12:D12)*B12</f>
        <v>255400</v>
      </c>
    </row>
    <row r="13" spans="1:5">
      <c r="A13" t="s">
        <v>296</v>
      </c>
      <c r="B13">
        <v>1</v>
      </c>
      <c r="C13" s="356">
        <v>13688</v>
      </c>
      <c r="E13" s="356">
        <f>SUM(C13:D13)*B13</f>
        <v>13688</v>
      </c>
    </row>
    <row r="14" spans="1:5">
      <c r="A14" t="s">
        <v>297</v>
      </c>
      <c r="B14">
        <v>1</v>
      </c>
      <c r="C14" s="356">
        <v>4278</v>
      </c>
      <c r="D14" s="357">
        <v>2107.5</v>
      </c>
      <c r="E14" s="356">
        <f>SUM(C14:D14)*B14</f>
        <v>6385.5</v>
      </c>
    </row>
    <row r="15" spans="1:5">
      <c r="A15" t="s">
        <v>298</v>
      </c>
      <c r="E15" s="356">
        <f>SUM(E12:E14)</f>
        <v>275473.5</v>
      </c>
    </row>
    <row r="16" spans="1:5">
      <c r="A16" s="358"/>
    </row>
    <row r="18" spans="1:1">
      <c r="A18" s="358"/>
    </row>
    <row r="20" spans="1:1">
      <c r="A20" s="358"/>
    </row>
  </sheetData>
  <pageMargins left="0.7" right="0.7" top="0.75" bottom="0.75" header="0.3" footer="0.3"/>
  <pageSetup orientation="landscape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E536-77A2-4D43-9830-87CA5446D908}">
  <sheetPr codeName="Sheet10"/>
  <dimension ref="B30:E30"/>
  <sheetViews>
    <sheetView topLeftCell="A8" zoomScale="159" workbookViewId="0">
      <selection activeCell="E29" sqref="E29"/>
    </sheetView>
  </sheetViews>
  <sheetFormatPr baseColWidth="10" defaultRowHeight="16"/>
  <cols>
    <col min="5" max="5" width="12" bestFit="1" customWidth="1"/>
  </cols>
  <sheetData>
    <row r="30" spans="2:5">
      <c r="B30" t="s">
        <v>299</v>
      </c>
      <c r="E30" s="359">
        <v>2136309</v>
      </c>
    </row>
  </sheetData>
  <pageMargins left="0.7" right="0.7" top="0.75" bottom="0.75" header="0.3" footer="0.3"/>
  <pageSetup orientation="landscape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3422-B0C1-7944-A5EF-9CCE6E1004EF}">
  <sheetPr codeName="Sheet11"/>
  <dimension ref="N3:R71"/>
  <sheetViews>
    <sheetView topLeftCell="H30" workbookViewId="0">
      <selection activeCell="Q71" sqref="Q71"/>
    </sheetView>
  </sheetViews>
  <sheetFormatPr baseColWidth="10" defaultRowHeight="16"/>
  <sheetData>
    <row r="3" spans="14:18">
      <c r="N3" s="578" t="s">
        <v>333</v>
      </c>
      <c r="O3" s="579"/>
      <c r="P3" s="580"/>
    </row>
    <row r="4" spans="14:18">
      <c r="N4" s="581" t="s">
        <v>330</v>
      </c>
      <c r="O4" s="582"/>
      <c r="P4" s="400" t="s">
        <v>334</v>
      </c>
      <c r="Q4" t="s">
        <v>332</v>
      </c>
    </row>
    <row r="5" spans="14:18">
      <c r="N5" s="401" t="s">
        <v>331</v>
      </c>
      <c r="O5" s="402">
        <v>120</v>
      </c>
      <c r="P5" s="403">
        <v>66</v>
      </c>
      <c r="Q5" s="357">
        <v>80</v>
      </c>
    </row>
    <row r="6" spans="14:18">
      <c r="N6" s="401" t="s">
        <v>331</v>
      </c>
      <c r="O6" s="402">
        <v>121</v>
      </c>
      <c r="P6" s="403">
        <v>40</v>
      </c>
      <c r="Q6" s="356">
        <f>75</f>
        <v>75</v>
      </c>
      <c r="R6" s="357"/>
    </row>
    <row r="7" spans="14:18">
      <c r="N7" s="401" t="s">
        <v>331</v>
      </c>
      <c r="O7" s="402">
        <v>122</v>
      </c>
      <c r="P7" s="403">
        <v>40</v>
      </c>
      <c r="Q7" s="357">
        <v>75</v>
      </c>
    </row>
    <row r="8" spans="14:18">
      <c r="N8" s="401" t="s">
        <v>331</v>
      </c>
      <c r="O8" s="402">
        <v>123</v>
      </c>
      <c r="P8" s="403">
        <v>35</v>
      </c>
      <c r="Q8" s="357">
        <v>50</v>
      </c>
    </row>
    <row r="9" spans="14:18">
      <c r="N9" s="401" t="s">
        <v>331</v>
      </c>
      <c r="O9" s="402">
        <v>124</v>
      </c>
      <c r="P9" s="403">
        <v>35</v>
      </c>
      <c r="Q9" s="357">
        <v>50</v>
      </c>
    </row>
    <row r="10" spans="14:18">
      <c r="N10" s="401" t="s">
        <v>331</v>
      </c>
      <c r="O10" s="402">
        <v>125</v>
      </c>
      <c r="P10" s="403">
        <v>35</v>
      </c>
      <c r="Q10" s="357">
        <v>50</v>
      </c>
    </row>
    <row r="11" spans="14:18">
      <c r="N11" s="401" t="s">
        <v>331</v>
      </c>
      <c r="O11" s="402">
        <v>126</v>
      </c>
      <c r="P11" s="403">
        <v>32</v>
      </c>
      <c r="Q11" s="357">
        <v>50</v>
      </c>
    </row>
    <row r="12" spans="14:18">
      <c r="N12" s="401" t="s">
        <v>331</v>
      </c>
      <c r="O12" s="402">
        <v>127</v>
      </c>
      <c r="P12" s="403">
        <v>32</v>
      </c>
      <c r="Q12" s="357">
        <v>50</v>
      </c>
    </row>
    <row r="13" spans="14:18">
      <c r="N13" s="401" t="s">
        <v>331</v>
      </c>
      <c r="O13" s="402">
        <v>152</v>
      </c>
      <c r="P13" s="403">
        <v>13</v>
      </c>
      <c r="Q13" s="357">
        <v>30</v>
      </c>
    </row>
    <row r="14" spans="14:18">
      <c r="N14" s="401" t="s">
        <v>331</v>
      </c>
      <c r="O14" s="402">
        <v>153</v>
      </c>
      <c r="P14" s="403">
        <v>27</v>
      </c>
      <c r="Q14" s="357">
        <v>35</v>
      </c>
    </row>
    <row r="15" spans="14:18">
      <c r="N15" s="401" t="s">
        <v>331</v>
      </c>
      <c r="O15" s="402">
        <v>172</v>
      </c>
      <c r="P15" s="403">
        <v>12</v>
      </c>
      <c r="Q15" s="357">
        <v>30</v>
      </c>
    </row>
    <row r="16" spans="14:18">
      <c r="N16" s="401" t="s">
        <v>331</v>
      </c>
      <c r="O16" s="402">
        <v>211</v>
      </c>
      <c r="P16" s="403">
        <v>62</v>
      </c>
      <c r="Q16" s="357">
        <v>80</v>
      </c>
    </row>
    <row r="17" spans="14:17">
      <c r="N17" s="401" t="s">
        <v>331</v>
      </c>
      <c r="O17" s="402">
        <v>212</v>
      </c>
      <c r="P17" s="403">
        <v>62</v>
      </c>
      <c r="Q17" s="357">
        <v>80</v>
      </c>
    </row>
    <row r="18" spans="14:17">
      <c r="N18" s="401" t="s">
        <v>331</v>
      </c>
      <c r="O18" s="402">
        <v>213</v>
      </c>
      <c r="P18" s="403">
        <v>62</v>
      </c>
      <c r="Q18" s="357">
        <v>80</v>
      </c>
    </row>
    <row r="19" spans="14:17">
      <c r="N19" s="401" t="s">
        <v>331</v>
      </c>
      <c r="O19" s="402">
        <v>214</v>
      </c>
      <c r="P19" s="403">
        <v>80</v>
      </c>
      <c r="Q19" s="357">
        <v>85</v>
      </c>
    </row>
    <row r="20" spans="14:17">
      <c r="N20" s="401" t="s">
        <v>331</v>
      </c>
      <c r="O20" s="402">
        <v>215</v>
      </c>
      <c r="P20" s="403">
        <v>84</v>
      </c>
      <c r="Q20" s="357">
        <v>85</v>
      </c>
    </row>
    <row r="21" spans="14:17">
      <c r="N21" s="401" t="s">
        <v>331</v>
      </c>
      <c r="O21" s="402">
        <v>216</v>
      </c>
      <c r="P21" s="403">
        <v>84</v>
      </c>
      <c r="Q21" s="357">
        <v>85</v>
      </c>
    </row>
    <row r="22" spans="14:17">
      <c r="N22" s="401" t="s">
        <v>331</v>
      </c>
      <c r="O22" s="402">
        <v>220</v>
      </c>
      <c r="P22" s="403">
        <v>66</v>
      </c>
      <c r="Q22" s="357">
        <v>80</v>
      </c>
    </row>
    <row r="23" spans="14:17">
      <c r="N23" s="401" t="s">
        <v>331</v>
      </c>
      <c r="O23" s="402">
        <v>221</v>
      </c>
      <c r="P23" s="403">
        <v>40</v>
      </c>
      <c r="Q23" s="357">
        <f>$R$6*P23</f>
        <v>0</v>
      </c>
    </row>
    <row r="24" spans="14:17">
      <c r="N24" s="401" t="s">
        <v>331</v>
      </c>
      <c r="O24" s="402">
        <v>222</v>
      </c>
      <c r="P24" s="403">
        <v>40</v>
      </c>
      <c r="Q24" s="357">
        <f>$R$6*P24</f>
        <v>0</v>
      </c>
    </row>
    <row r="25" spans="14:17">
      <c r="N25" s="401" t="s">
        <v>331</v>
      </c>
      <c r="O25" s="402">
        <v>223</v>
      </c>
      <c r="P25" s="403">
        <v>35</v>
      </c>
      <c r="Q25" s="357">
        <v>50</v>
      </c>
    </row>
    <row r="26" spans="14:17">
      <c r="N26" s="401" t="s">
        <v>331</v>
      </c>
      <c r="O26" s="402">
        <v>224</v>
      </c>
      <c r="P26" s="403">
        <v>35</v>
      </c>
      <c r="Q26" s="357">
        <v>50</v>
      </c>
    </row>
    <row r="27" spans="14:17">
      <c r="N27" s="401" t="s">
        <v>331</v>
      </c>
      <c r="O27" s="402">
        <v>225</v>
      </c>
      <c r="P27" s="403">
        <v>35</v>
      </c>
      <c r="Q27" s="357">
        <v>50</v>
      </c>
    </row>
    <row r="28" spans="14:17">
      <c r="N28" s="401" t="s">
        <v>331</v>
      </c>
      <c r="O28" s="402">
        <v>226</v>
      </c>
      <c r="P28" s="403">
        <v>32</v>
      </c>
      <c r="Q28" s="357">
        <v>50</v>
      </c>
    </row>
    <row r="29" spans="14:17">
      <c r="N29" s="401" t="s">
        <v>331</v>
      </c>
      <c r="O29" s="402">
        <v>228</v>
      </c>
      <c r="P29" s="403">
        <v>15</v>
      </c>
      <c r="Q29" s="357">
        <v>30</v>
      </c>
    </row>
    <row r="30" spans="14:17">
      <c r="N30" s="401" t="s">
        <v>331</v>
      </c>
      <c r="O30" s="402">
        <v>241</v>
      </c>
      <c r="P30" s="403">
        <v>141</v>
      </c>
      <c r="Q30" s="357">
        <v>90</v>
      </c>
    </row>
    <row r="31" spans="14:17">
      <c r="N31" s="401" t="s">
        <v>331</v>
      </c>
      <c r="O31" s="402">
        <v>242</v>
      </c>
      <c r="P31" s="403">
        <v>89</v>
      </c>
      <c r="Q31" s="357">
        <v>85</v>
      </c>
    </row>
    <row r="32" spans="14:17">
      <c r="N32" s="401" t="s">
        <v>331</v>
      </c>
      <c r="O32" s="402">
        <v>260</v>
      </c>
      <c r="P32" s="403">
        <v>133</v>
      </c>
      <c r="Q32" s="357">
        <v>90</v>
      </c>
    </row>
    <row r="33" spans="14:17">
      <c r="N33" s="401" t="s">
        <v>331</v>
      </c>
      <c r="O33" s="402">
        <v>280</v>
      </c>
      <c r="P33" s="403">
        <v>89</v>
      </c>
      <c r="Q33" s="357">
        <v>85</v>
      </c>
    </row>
    <row r="34" spans="14:17">
      <c r="N34" s="401" t="s">
        <v>331</v>
      </c>
      <c r="O34" s="402">
        <v>281</v>
      </c>
      <c r="P34" s="403">
        <v>141</v>
      </c>
      <c r="Q34" s="357">
        <v>90</v>
      </c>
    </row>
    <row r="35" spans="14:17">
      <c r="N35" s="401" t="s">
        <v>331</v>
      </c>
      <c r="O35" s="402">
        <v>312</v>
      </c>
      <c r="P35" s="403">
        <v>295</v>
      </c>
      <c r="Q35" s="357">
        <v>100</v>
      </c>
    </row>
    <row r="36" spans="14:17">
      <c r="N36" s="401" t="s">
        <v>331</v>
      </c>
      <c r="O36" s="402">
        <v>313</v>
      </c>
      <c r="P36" s="403">
        <v>295</v>
      </c>
      <c r="Q36" s="357">
        <v>100</v>
      </c>
    </row>
    <row r="37" spans="14:17">
      <c r="N37" s="401" t="s">
        <v>331</v>
      </c>
      <c r="O37" s="402">
        <v>331</v>
      </c>
      <c r="P37" s="403">
        <v>86</v>
      </c>
      <c r="Q37" s="357">
        <v>85</v>
      </c>
    </row>
    <row r="38" spans="14:17">
      <c r="N38" s="401" t="s">
        <v>331</v>
      </c>
      <c r="O38" s="402">
        <v>341</v>
      </c>
      <c r="P38" s="403">
        <v>141</v>
      </c>
      <c r="Q38" s="357">
        <v>90</v>
      </c>
    </row>
    <row r="39" spans="14:17">
      <c r="N39" s="401" t="s">
        <v>331</v>
      </c>
      <c r="O39" s="402">
        <v>342</v>
      </c>
      <c r="P39" s="403">
        <v>89</v>
      </c>
      <c r="Q39" s="357">
        <v>85</v>
      </c>
    </row>
    <row r="40" spans="14:17">
      <c r="N40" s="401" t="s">
        <v>331</v>
      </c>
      <c r="O40" s="402">
        <v>352</v>
      </c>
      <c r="P40" s="403">
        <v>9</v>
      </c>
      <c r="Q40" s="357">
        <v>20</v>
      </c>
    </row>
    <row r="41" spans="14:17">
      <c r="N41" s="401" t="s">
        <v>331</v>
      </c>
      <c r="O41" s="402">
        <v>353</v>
      </c>
      <c r="P41" s="403">
        <v>27</v>
      </c>
      <c r="Q41" s="357">
        <v>35</v>
      </c>
    </row>
    <row r="42" spans="14:17">
      <c r="N42" s="401" t="s">
        <v>331</v>
      </c>
      <c r="O42" s="402">
        <v>360</v>
      </c>
      <c r="P42" s="403">
        <v>181</v>
      </c>
      <c r="Q42" s="357">
        <v>95</v>
      </c>
    </row>
    <row r="43" spans="14:17">
      <c r="N43" s="401" t="s">
        <v>331</v>
      </c>
      <c r="O43" s="402">
        <v>372</v>
      </c>
      <c r="P43" s="403">
        <v>12</v>
      </c>
      <c r="Q43" s="357">
        <v>30</v>
      </c>
    </row>
    <row r="44" spans="14:17">
      <c r="N44" s="401" t="s">
        <v>331</v>
      </c>
      <c r="O44" s="402">
        <v>380</v>
      </c>
      <c r="P44" s="403">
        <v>89</v>
      </c>
      <c r="Q44" s="357">
        <v>90</v>
      </c>
    </row>
    <row r="45" spans="14:17">
      <c r="N45" s="401" t="s">
        <v>331</v>
      </c>
      <c r="O45" s="402">
        <v>381</v>
      </c>
      <c r="P45" s="403">
        <v>141</v>
      </c>
      <c r="Q45" s="357">
        <v>90</v>
      </c>
    </row>
    <row r="46" spans="14:17">
      <c r="N46" s="401" t="s">
        <v>331</v>
      </c>
      <c r="O46" s="402">
        <v>391</v>
      </c>
      <c r="P46" s="403">
        <v>86</v>
      </c>
      <c r="Q46" s="357">
        <v>85</v>
      </c>
    </row>
    <row r="47" spans="14:17">
      <c r="N47" s="401" t="s">
        <v>331</v>
      </c>
      <c r="O47" s="402">
        <v>441</v>
      </c>
      <c r="P47" s="403">
        <v>141</v>
      </c>
      <c r="Q47" s="357">
        <v>90</v>
      </c>
    </row>
    <row r="48" spans="14:17">
      <c r="N48" s="401" t="s">
        <v>331</v>
      </c>
      <c r="O48" s="402">
        <v>442</v>
      </c>
      <c r="P48" s="403">
        <v>89</v>
      </c>
      <c r="Q48" s="357">
        <v>85</v>
      </c>
    </row>
    <row r="49" spans="14:17">
      <c r="N49" s="401" t="s">
        <v>331</v>
      </c>
      <c r="O49" s="402">
        <v>453</v>
      </c>
      <c r="P49" s="403">
        <v>27</v>
      </c>
      <c r="Q49" s="357">
        <v>35</v>
      </c>
    </row>
    <row r="50" spans="14:17">
      <c r="N50" s="401" t="s">
        <v>331</v>
      </c>
      <c r="O50" s="402">
        <v>460</v>
      </c>
      <c r="P50" s="403">
        <v>133</v>
      </c>
      <c r="Q50" s="357">
        <v>90</v>
      </c>
    </row>
    <row r="51" spans="14:17">
      <c r="N51" s="401" t="s">
        <v>331</v>
      </c>
      <c r="O51" s="402">
        <v>480</v>
      </c>
      <c r="P51" s="403">
        <v>89</v>
      </c>
      <c r="Q51" s="357">
        <v>85</v>
      </c>
    </row>
    <row r="52" spans="14:17">
      <c r="N52" s="401" t="s">
        <v>331</v>
      </c>
      <c r="O52" s="402">
        <v>481</v>
      </c>
      <c r="P52" s="403">
        <v>141</v>
      </c>
      <c r="Q52" s="357">
        <v>90</v>
      </c>
    </row>
    <row r="53" spans="14:17">
      <c r="N53" s="401" t="s">
        <v>331</v>
      </c>
      <c r="O53" s="402">
        <v>1010</v>
      </c>
      <c r="P53" s="403">
        <v>32</v>
      </c>
      <c r="Q53" s="357">
        <v>50</v>
      </c>
    </row>
    <row r="54" spans="14:17">
      <c r="N54" s="401" t="s">
        <v>331</v>
      </c>
      <c r="O54" s="402">
        <v>1011</v>
      </c>
      <c r="P54" s="403">
        <v>32</v>
      </c>
      <c r="Q54" s="357">
        <v>50</v>
      </c>
    </row>
    <row r="55" spans="14:17">
      <c r="N55" s="401" t="s">
        <v>331</v>
      </c>
      <c r="O55" s="402">
        <v>1012</v>
      </c>
      <c r="P55" s="403">
        <v>35</v>
      </c>
      <c r="Q55" s="357">
        <v>50</v>
      </c>
    </row>
    <row r="56" spans="14:17">
      <c r="N56" s="401" t="s">
        <v>331</v>
      </c>
      <c r="O56" s="402">
        <v>1013</v>
      </c>
      <c r="P56" s="403">
        <v>35</v>
      </c>
      <c r="Q56" s="357">
        <v>50</v>
      </c>
    </row>
    <row r="57" spans="14:17">
      <c r="N57" s="401" t="s">
        <v>331</v>
      </c>
      <c r="O57" s="402">
        <v>1014</v>
      </c>
      <c r="P57" s="403">
        <v>35</v>
      </c>
      <c r="Q57" s="357">
        <v>50</v>
      </c>
    </row>
    <row r="58" spans="14:17">
      <c r="N58" s="401" t="s">
        <v>331</v>
      </c>
      <c r="O58" s="402">
        <v>1015</v>
      </c>
      <c r="P58" s="403">
        <v>40</v>
      </c>
      <c r="Q58" s="357">
        <v>75</v>
      </c>
    </row>
    <row r="59" spans="14:17">
      <c r="N59" s="401" t="s">
        <v>331</v>
      </c>
      <c r="O59" s="402">
        <v>1016</v>
      </c>
      <c r="P59" s="403">
        <v>40</v>
      </c>
      <c r="Q59" s="357">
        <v>75</v>
      </c>
    </row>
    <row r="60" spans="14:17">
      <c r="N60" s="401" t="s">
        <v>331</v>
      </c>
      <c r="O60" s="402">
        <v>1017</v>
      </c>
      <c r="P60" s="403">
        <v>32</v>
      </c>
      <c r="Q60" s="357">
        <v>50</v>
      </c>
    </row>
    <row r="61" spans="14:17">
      <c r="N61" s="401" t="s">
        <v>331</v>
      </c>
      <c r="O61" s="402">
        <v>1018</v>
      </c>
      <c r="P61" s="403">
        <v>32</v>
      </c>
      <c r="Q61" s="357">
        <v>50</v>
      </c>
    </row>
    <row r="62" spans="14:17">
      <c r="N62" s="401" t="s">
        <v>331</v>
      </c>
      <c r="O62" s="402">
        <v>2010</v>
      </c>
      <c r="P62" s="403">
        <v>32</v>
      </c>
      <c r="Q62" s="357">
        <v>50</v>
      </c>
    </row>
    <row r="63" spans="14:17">
      <c r="N63" s="401" t="s">
        <v>331</v>
      </c>
      <c r="O63" s="402">
        <v>2011</v>
      </c>
      <c r="P63" s="403">
        <v>32</v>
      </c>
      <c r="Q63" s="357">
        <v>50</v>
      </c>
    </row>
    <row r="64" spans="14:17">
      <c r="N64" s="401" t="s">
        <v>331</v>
      </c>
      <c r="O64" s="402">
        <v>2012</v>
      </c>
      <c r="P64" s="403">
        <v>35</v>
      </c>
      <c r="Q64" s="357">
        <v>50</v>
      </c>
    </row>
    <row r="65" spans="14:17">
      <c r="N65" s="401" t="s">
        <v>331</v>
      </c>
      <c r="O65" s="402">
        <v>2013</v>
      </c>
      <c r="P65" s="403">
        <v>35</v>
      </c>
      <c r="Q65" s="357">
        <v>50</v>
      </c>
    </row>
    <row r="66" spans="14:17">
      <c r="N66" s="401" t="s">
        <v>331</v>
      </c>
      <c r="O66" s="402">
        <v>2014</v>
      </c>
      <c r="P66" s="403">
        <v>35</v>
      </c>
      <c r="Q66" s="357">
        <v>50</v>
      </c>
    </row>
    <row r="67" spans="14:17">
      <c r="N67" s="401" t="s">
        <v>331</v>
      </c>
      <c r="O67" s="402">
        <v>2015</v>
      </c>
      <c r="P67" s="403">
        <v>40</v>
      </c>
      <c r="Q67" s="357">
        <v>75</v>
      </c>
    </row>
    <row r="68" spans="14:17">
      <c r="N68" s="401" t="s">
        <v>331</v>
      </c>
      <c r="O68" s="402">
        <v>2016</v>
      </c>
      <c r="P68" s="403">
        <v>40</v>
      </c>
      <c r="Q68" s="357">
        <v>75</v>
      </c>
    </row>
    <row r="69" spans="14:17">
      <c r="N69" s="401" t="s">
        <v>331</v>
      </c>
      <c r="O69" s="402">
        <v>2017</v>
      </c>
      <c r="P69" s="403">
        <v>32</v>
      </c>
      <c r="Q69" s="357">
        <v>50</v>
      </c>
    </row>
    <row r="70" spans="14:17">
      <c r="Q70" s="357">
        <f>SUM(Q5:Q69)</f>
        <v>4150</v>
      </c>
    </row>
    <row r="71" spans="14:17">
      <c r="Q71" s="357">
        <f>Q70*12</f>
        <v>49800</v>
      </c>
    </row>
  </sheetData>
  <mergeCells count="2">
    <mergeCell ref="N3:P3"/>
    <mergeCell ref="N4:O4"/>
  </mergeCells>
  <pageMargins left="0.7" right="0.7" top="0.75" bottom="0.75" header="0.3" footer="0.3"/>
  <pageSetup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Grand Prairie- Exec Summary (1)</vt:lpstr>
      <vt:lpstr>Grand Prairie- Loan Calcs (2)</vt:lpstr>
      <vt:lpstr>Grand Prairie Const Sched (3)</vt:lpstr>
      <vt:lpstr>Grand Prairie- Pro Forma (3)</vt:lpstr>
      <vt:lpstr>Grand Prairie- Loan Amort (4)</vt:lpstr>
      <vt:lpstr>Grand Prairi-IRRWorksht10Yr (5)</vt:lpstr>
      <vt:lpstr>Grand Prairie Rent Comps</vt:lpstr>
      <vt:lpstr>Sales Comps</vt:lpstr>
      <vt:lpstr>'Grand Prairi-IRRWorksht10Yr (5)'!Print_Area</vt:lpstr>
      <vt:lpstr>'Grand Prairie- Exec Summary (1)'!Print_Area</vt:lpstr>
      <vt:lpstr>'Grand Prairie- Loan Amort (4)'!Print_Area</vt:lpstr>
      <vt:lpstr>'Grand Prairie- Loan Calcs (2)'!Print_Area</vt:lpstr>
      <vt:lpstr>'Grand Prairie- Pro Forma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2021-04-20T16:22:31Z</dcterms:created>
  <dcterms:modified xsi:type="dcterms:W3CDTF">2022-08-31T17:44:35Z</dcterms:modified>
</cp:coreProperties>
</file>