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kkalani/Downloads/DW Modeling/"/>
    </mc:Choice>
  </mc:AlternateContent>
  <xr:revisionPtr revIDLastSave="0" documentId="8_{5EDE7B12-8340-6B49-B0A8-5C3A7870BF13}" xr6:coauthVersionLast="47" xr6:coauthVersionMax="47" xr10:uidLastSave="{00000000-0000-0000-0000-000000000000}"/>
  <bookViews>
    <workbookView xWindow="240" yWindow="-20980" windowWidth="34560" windowHeight="20620" activeTab="3" xr2:uid="{3F2D5C7E-1E0F-1E4F-BF5E-BA2088390C2B}"/>
  </bookViews>
  <sheets>
    <sheet name="Cash to Close" sheetId="20" r:id="rId1"/>
    <sheet name="Cover" sheetId="12" r:id="rId2"/>
    <sheet name="New Snapshot" sheetId="19" r:id="rId3"/>
    <sheet name="New CashFlow" sheetId="18" r:id="rId4"/>
    <sheet name="HUD - Snapshot" sheetId="1" r:id="rId5"/>
    <sheet name="HUD - CashFlow" sheetId="3" r:id="rId6"/>
    <sheet name="AmSch" sheetId="4" r:id="rId7"/>
    <sheet name="Sales Comps" sheetId="11" r:id="rId8"/>
    <sheet name="Rent Comps" sheetId="5" r:id="rId9"/>
    <sheet name="Appraisal" sheetId="15" r:id="rId10"/>
    <sheet name="RE Taxes" sheetId="7" r:id="rId11"/>
    <sheet name="Dev Budget" sheetId="9" r:id="rId12"/>
    <sheet name="Parking &amp; Detention" sheetId="16" r:id="rId13"/>
    <sheet name="Tracker &amp; Directory" sheetId="10" r:id="rId14"/>
    <sheet name="BUDGET TRACKER" sheetId="17" r:id="rId15"/>
    <sheet name="Waterfall" sheetId="14" r:id="rId16"/>
  </sheets>
  <externalReferences>
    <externalReference r:id="rId17"/>
    <externalReference r:id="rId18"/>
    <externalReference r:id="rId19"/>
    <externalReference r:id="rId20"/>
    <externalReference r:id="rId21"/>
  </externalReferences>
  <definedNames>
    <definedName name="__1_0U">#REF!</definedName>
    <definedName name="__10PAGE_7">#REF!</definedName>
    <definedName name="__11PAGE_8">#REF!</definedName>
    <definedName name="__123Graph_A" hidden="1">#REF!</definedName>
    <definedName name="__12PAGE_9">#REF!</definedName>
    <definedName name="__13U">#REF!</definedName>
    <definedName name="__2_1994">#REF!</definedName>
    <definedName name="__3_1995">#REF!</definedName>
    <definedName name="__4_95D">#REF!</definedName>
    <definedName name="__5NO_FIN">#REF!</definedName>
    <definedName name="__6PAGE_1">#REF!</definedName>
    <definedName name="__7PAGE_2">#REF!</definedName>
    <definedName name="__8PAGE_4">#REF!</definedName>
    <definedName name="__9PAGE_5">#REF!</definedName>
    <definedName name="__lip1">#REF!</definedName>
    <definedName name="__lip2">#REF!</definedName>
    <definedName name="__lip3">#REF!</definedName>
    <definedName name="__mh1">#REF!</definedName>
    <definedName name="__pan1">#REF!</definedName>
    <definedName name="_1_0U">#REF!</definedName>
    <definedName name="_10PAGE_7">#REF!</definedName>
    <definedName name="_11PAGE_8">#REF!</definedName>
    <definedName name="_12PAGE_9">#REF!</definedName>
    <definedName name="_13U">#REF!</definedName>
    <definedName name="_2_1994">#REF!</definedName>
    <definedName name="_3_1995">#REF!</definedName>
    <definedName name="_4_95D">#REF!</definedName>
    <definedName name="_5NO_FIN">#REF!</definedName>
    <definedName name="_6PAGE_1">#REF!</definedName>
    <definedName name="_7PAGE_2">#REF!</definedName>
    <definedName name="_8PAGE_4">#REF!</definedName>
    <definedName name="_9PAGE_5">#REF!</definedName>
    <definedName name="_Fill" localSheetId="4" hidden="1">#REF!</definedName>
    <definedName name="_Fill" localSheetId="2" hidden="1">#REF!</definedName>
    <definedName name="_Fill" localSheetId="15" hidden="1">#REF!</definedName>
    <definedName name="_Fill" hidden="1">#REF!</definedName>
    <definedName name="_fill2" localSheetId="4" hidden="1">#REF!</definedName>
    <definedName name="_fill2" localSheetId="2" hidden="1">#REF!</definedName>
    <definedName name="_fill2" hidden="1">#REF!</definedName>
    <definedName name="_Key1" localSheetId="4" hidden="1">#REF!</definedName>
    <definedName name="_Key1" localSheetId="2" hidden="1">#REF!</definedName>
    <definedName name="_Key1" hidden="1">#REF!</definedName>
    <definedName name="_Key12" hidden="1">#REF!</definedName>
    <definedName name="_Key2" hidden="1">#REF!</definedName>
    <definedName name="_lip1">#REF!</definedName>
    <definedName name="_lip2">#REF!</definedName>
    <definedName name="_lip3">#REF!</definedName>
    <definedName name="_LTV2">#REF!</definedName>
    <definedName name="_LTV3">#REF!</definedName>
    <definedName name="_LTV4">#REF!</definedName>
    <definedName name="_mh1">#REF!</definedName>
    <definedName name="_NCF1">#REF!</definedName>
    <definedName name="_NCF10">#REF!</definedName>
    <definedName name="_NCF2">#REF!</definedName>
    <definedName name="_NCF3">#REF!</definedName>
    <definedName name="_NCF4">#REF!</definedName>
    <definedName name="_NCF5">#REF!</definedName>
    <definedName name="_NCF6">#REF!</definedName>
    <definedName name="_NCF7">#REF!</definedName>
    <definedName name="_NCF8">#REF!</definedName>
    <definedName name="_NCF9">#REF!</definedName>
    <definedName name="_Order1" hidden="1">255</definedName>
    <definedName name="_Order2" hidden="1">0</definedName>
    <definedName name="_pan1">#REF!</definedName>
    <definedName name="_s15budg_recov">#REF!</definedName>
    <definedName name="_S2_SCH_DIST">#REF!</definedName>
    <definedName name="_S3_CF_DIST_PARTN">#REF!</definedName>
    <definedName name="_S4_Stmt_CF">#REF!</definedName>
    <definedName name="_S5_REL_PYMTS">#REF!</definedName>
    <definedName name="_S6_SUMM_RENT_REV">#REF!</definedName>
    <definedName name="_S7_PROJD_OE">#REF!</definedName>
    <definedName name="_S8_OE_SF">#REF!</definedName>
    <definedName name="_Sort" localSheetId="4" hidden="1">#REF!</definedName>
    <definedName name="_Sort" localSheetId="2" hidden="1">#REF!</definedName>
    <definedName name="_Sort" hidden="1">#REF!</definedName>
    <definedName name="_Sort2" localSheetId="4" hidden="1">#REF!</definedName>
    <definedName name="_Sort2" localSheetId="2" hidden="1">#REF!</definedName>
    <definedName name="_Sort2" hidden="1">#REF!</definedName>
    <definedName name="\0">#REF!</definedName>
    <definedName name="\M">#REF!</definedName>
    <definedName name="\O">#REF!</definedName>
    <definedName name="\P">#REF!</definedName>
    <definedName name="\Q">#REF!</definedName>
    <definedName name="A">#REF!</definedName>
    <definedName name="A11_">#REF!</definedName>
    <definedName name="A1OPERCASH">#REF!</definedName>
    <definedName name="AAA">#REF!</definedName>
    <definedName name="Aaaa1_">#REF!</definedName>
    <definedName name="aaasch2b">#REF!</definedName>
    <definedName name="ab" hidden="1">{#N/A,#N/A,TRUE,"Ericsson Stadium PCD ";#N/A,#N/A,TRUE,"Ericsson Stadium IOR"}</definedName>
    <definedName name="ab_condo" hidden="1">{#N/A,#N/A,TRUE,"Ericsson Stadium PCD ";#N/A,#N/A,TRUE,"Ericsson Stadium IOR"}</definedName>
    <definedName name="ACCTSUM">#REF!</definedName>
    <definedName name="AccumAmortArea">#REF!</definedName>
    <definedName name="acq">#REF!</definedName>
    <definedName name="ADDITIONAL_TRADES">#REF!</definedName>
    <definedName name="AddNewLineAccruedLiab">#REF!</definedName>
    <definedName name="AddNewLineFARlfwd1">#REF!</definedName>
    <definedName name="AddNewLineFARlfwd2">#REF!</definedName>
    <definedName name="AddNewLinePartnerships">#REF!</definedName>
    <definedName name="AllProjPages">#REF!,#REF!,#REF!,#REF!</definedName>
    <definedName name="allti">#REF!</definedName>
    <definedName name="amfpct">#REF!</definedName>
    <definedName name="amo">#REF!</definedName>
    <definedName name="AMORT">#REF!</definedName>
    <definedName name="Amort96">#REF!</definedName>
    <definedName name="Annual_interest_rate">#REF!</definedName>
    <definedName name="anscount" hidden="1">2</definedName>
    <definedName name="APEICE">#REF!</definedName>
    <definedName name="ARGUS1">#REF!</definedName>
    <definedName name="ARGUS2">#REF!</definedName>
    <definedName name="AS2DocOpenMode" hidden="1">"AS2DocumentEdit"</definedName>
    <definedName name="AUGADJ">#REF!</definedName>
    <definedName name="AVAIL_">#REF!</definedName>
    <definedName name="B">#REF!</definedName>
    <definedName name="BASE">#REF!</definedName>
    <definedName name="BegAccumAmort">#REF!</definedName>
    <definedName name="BegFAAD">#REF!</definedName>
    <definedName name="BegFACost">#REF!</definedName>
    <definedName name="Beginning_Balance">#N/A</definedName>
    <definedName name="BegIntangible">#REF!</definedName>
    <definedName name="BegLandCost">#REF!</definedName>
    <definedName name="bick1">#REF!</definedName>
    <definedName name="BPEICE">#REF!</definedName>
    <definedName name="BuildingClass">#REF!</definedName>
    <definedName name="C_">#REF!</definedName>
    <definedName name="calc">#REF!</definedName>
    <definedName name="cap">#REF!</definedName>
    <definedName name="Cardio">#REF!</definedName>
    <definedName name="CashFl">#REF!</definedName>
    <definedName name="CDMRENT1">#REF!</definedName>
    <definedName name="CFRange">#REF!</definedName>
    <definedName name="Class">#REF!:INDEX(#REF!,COUNTA(#REF!))</definedName>
    <definedName name="CLEAN">#REF!</definedName>
    <definedName name="CLEANING">#REF!</definedName>
    <definedName name="CMVpsf">#REF!</definedName>
    <definedName name="comm1">#REF!</definedName>
    <definedName name="Commences">#REF!</definedName>
    <definedName name="comp1">#REF!</definedName>
    <definedName name="comp2">#REF!</definedName>
    <definedName name="CompCshFl">#REF!</definedName>
    <definedName name="CONMATX">#REF!</definedName>
    <definedName name="CONSIZE">#REF!</definedName>
    <definedName name="CONTYP">#REF!</definedName>
    <definedName name="cost">#N/A</definedName>
    <definedName name="Counter">6</definedName>
    <definedName name="COUP1">#REF!</definedName>
    <definedName name="Coup2">#REF!</definedName>
    <definedName name="COUP3">#REF!</definedName>
    <definedName name="COUP4">#REF!</definedName>
    <definedName name="COUP5">#REF!</definedName>
    <definedName name="COUP6">#REF!</definedName>
    <definedName name="COUP7">#REF!</definedName>
    <definedName name="COUP8">#REF!</definedName>
    <definedName name="COUP9">#REF!</definedName>
    <definedName name="cpi_1992">#REF!</definedName>
    <definedName name="CPI_92">#REF!</definedName>
    <definedName name="CPI_93">#REF!</definedName>
    <definedName name="CPI_94">#REF!</definedName>
    <definedName name="CPI_95">#REF!</definedName>
    <definedName name="CPI_96">#REF!</definedName>
    <definedName name="CPI_97">#REF!</definedName>
    <definedName name="CPI_98">#REF!</definedName>
    <definedName name="CPI_99">#REF!</definedName>
    <definedName name="CR11TO15">#REF!</definedName>
    <definedName name="CR16_">#REF!</definedName>
    <definedName name="CR1TO5">#REF!</definedName>
    <definedName name="CR6TO10">#REF!</definedName>
    <definedName name="CSBeg">#REF!</definedName>
    <definedName name="CSEnd">#REF!</definedName>
    <definedName name="csgsf">#REF!</definedName>
    <definedName name="CshFlo">#REF!</definedName>
    <definedName name="CurMktVal">#REF!</definedName>
    <definedName name="CYAllow">#REF!</definedName>
    <definedName name="CYDefRev">#REF!</definedName>
    <definedName name="CYInvReserves">#REF!</definedName>
    <definedName name="CYOtherLiabilities">#REF!</definedName>
    <definedName name="CYOthRes">#REF!</definedName>
    <definedName name="CYPayrollLiabilities">#REF!</definedName>
    <definedName name="D">#REF!</definedName>
    <definedName name="DATA_01" hidden="1">#REF!</definedName>
    <definedName name="_xlnm.Database">#REF!</definedName>
    <definedName name="date">#REF!</definedName>
    <definedName name="Date_Change">#REF!</definedName>
    <definedName name="DeleteAccumAmort">#REF!,#REF!</definedName>
    <definedName name="DeleteFA">#REF!,#REF!,#REF!</definedName>
    <definedName name="DeleteIntangibleAssets">#REF!,#REF!</definedName>
    <definedName name="DeleteLand">#REF!,#REF!</definedName>
    <definedName name="DeleteTaxRollforward">#REF!,#REF!,#REF!,#REF!,#REF!,#REF!</definedName>
    <definedName name="DELME" hidden="1">{#N/A,#N/A,FALSE,"A";#N/A,#N/A,FALSE,"C"}</definedName>
    <definedName name="DELME_condo" hidden="1">{#N/A,#N/A,FALSE,"A";#N/A,#N/A,FALSE,"C"}</definedName>
    <definedName name="DELME2"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3" hidden="1">{#N/A,#N/A,FALSE,"Common Area Accrual";#N/A,#N/A,FALSE,"Unit One LaSalle";#N/A,#N/A,FALSE,"Unit One CW";#N/A,#N/A,FALSE,"Unit One LaSallle + C &amp; W";#N/A,#N/A,FALSE,"Consolidated Accrual"}</definedName>
    <definedName name="DELME3_Condo" hidden="1">{#N/A,#N/A,FALSE,"Common Area Accrual";#N/A,#N/A,FALSE,"Unit One LaSalle";#N/A,#N/A,FALSE,"Unit One CW";#N/A,#N/A,FALSE,"Unit One LaSallle + C &amp; W";#N/A,#N/A,FALSE,"Consolidated Accrual"}</definedName>
    <definedName name="DELME4" hidden="1">{#N/A,#N/A,FALSE,"399 Park Var";#N/A,#N/A,FALSE,"PK NOTES"}</definedName>
    <definedName name="DELME4_Condo" hidden="1">{#N/A,#N/A,FALSE,"399 Park Var";#N/A,#N/A,FALSE,"PK NOTES"}</definedName>
    <definedName name="DELME5" hidden="1">{#N/A,#N/A,FALSE,"Expense Detail ";#N/A,#N/A,FALSE,"Worksheet";#N/A,#N/A,FALSE,"Audit";#N/A,#N/A,FALSE,"Exclusions";#N/A,#N/A,FALSE,"Variance";#N/A,#N/A,FALSE,"Reconciliation"}</definedName>
    <definedName name="DELME5_Condo" hidden="1">{#N/A,#N/A,FALSE,"Expense Detail ";#N/A,#N/A,FALSE,"Worksheet";#N/A,#N/A,FALSE,"Audit";#N/A,#N/A,FALSE,"Exclusions";#N/A,#N/A,FALSE,"Variance";#N/A,#N/A,FALSE,"Reconciliation"}</definedName>
    <definedName name="DELME7"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tail">#REF!</definedName>
    <definedName name="DETBORDER">#REF!</definedName>
    <definedName name="DETEST">#REF!</definedName>
    <definedName name="DirectCosts">#REF!</definedName>
    <definedName name="DISCOUNT">#REF!</definedName>
    <definedName name="disp">#REF!</definedName>
    <definedName name="Dist">#REF!</definedName>
    <definedName name="Dist2">#REF!</definedName>
    <definedName name="down">#REF!</definedName>
    <definedName name="dprct">#REF!</definedName>
    <definedName name="Draft" hidden="1">#REF!</definedName>
    <definedName name="DT">#REF!:INDEX(#REF!,COUNTA(#REF!))</definedName>
    <definedName name="DynamicPrintRange">OFFSET(#REF!,0,0,COUNTIF(#REF!,"&gt;0")+5,13)</definedName>
    <definedName name="efpcp">#REF!</definedName>
    <definedName name="electricale">#REF!</definedName>
    <definedName name="electricalf">#REF!</definedName>
    <definedName name="elevatorse">#REF!</definedName>
    <definedName name="elevatorsf">#REF!</definedName>
    <definedName name="EndAccumAmort">#REF!</definedName>
    <definedName name="EndFAAD">#REF!</definedName>
    <definedName name="EndFACost">#REF!</definedName>
    <definedName name="Ending_Balance">#N/A</definedName>
    <definedName name="EndIntangible">#REF!</definedName>
    <definedName name="EndLandCost">#REF!</definedName>
    <definedName name="epcp">#REF!</definedName>
    <definedName name="EquityDelete">#REF!,#REF!,#REF!,#REF!,#REF!,#REF!,#REF!,#REF!,#REF!,#REF!,#REF!,#REF!</definedName>
    <definedName name="EquityPartnerAdd">#REF!</definedName>
    <definedName name="ESCAL">#REF!</definedName>
    <definedName name="Expiration">#REF!</definedName>
    <definedName name="Expires">#REF!</definedName>
    <definedName name="ExpStop">#REF!</definedName>
    <definedName name="extended_rent">#REF!</definedName>
    <definedName name="F">#REF!</definedName>
    <definedName name="FAAccumAddALine">#REF!</definedName>
    <definedName name="FAAccumAddALine2">#REF!</definedName>
    <definedName name="FABookAddALine">#REF!</definedName>
    <definedName name="FABookAddALine2">#REF!</definedName>
    <definedName name="FAIntanSec1">#REF!</definedName>
    <definedName name="FAIntanSec1Accum">#REF!</definedName>
    <definedName name="FAIntanSec2">#REF!</definedName>
    <definedName name="FAIntanSec2Accum">#REF!</definedName>
    <definedName name="Fcosts">#REF!</definedName>
    <definedName name="Fcst_1999Format">#REF!</definedName>
    <definedName name="ffpcp">#REF!</definedName>
    <definedName name="FINBORDER">#REF!</definedName>
    <definedName name="FINDETAIL">#REF!</definedName>
    <definedName name="finsch">#REF!</definedName>
    <definedName name="Firms">#REF!:INDEX(#REF!,COUNTA(#REF!))</definedName>
    <definedName name="First_payment_due">#REF!</definedName>
    <definedName name="FIRST_TRADE">#REF!</definedName>
    <definedName name="FIXED_ASSET_ROLLFOWARD">#REF!</definedName>
    <definedName name="Floating">#REF!</definedName>
    <definedName name="FlowThruQuestion">#REF!</definedName>
    <definedName name="foundationse">#REF!</definedName>
    <definedName name="foundationsf">#REF!</definedName>
    <definedName name="fpcp">#REF!</definedName>
    <definedName name="frank">#REF!</definedName>
    <definedName name="Free_Rent">#REF!</definedName>
    <definedName name="FREERENT">#REF!</definedName>
    <definedName name="FreeRnt">#REF!</definedName>
    <definedName name="Full_Print">'[1]Loan Amort 60%'!$A$1:$H$375</definedName>
    <definedName name="G">#REF!</definedName>
    <definedName name="GAAP95">#REF!</definedName>
    <definedName name="GAAP97">#REF!</definedName>
    <definedName name="GBA">#REF!</definedName>
    <definedName name="ge">#REF!</definedName>
    <definedName name="GFA">#REF!</definedName>
    <definedName name="gia">#REF!</definedName>
    <definedName name="gian1">#REF!</definedName>
    <definedName name="GrossRate">#REF!</definedName>
    <definedName name="Grossup">#REF!</definedName>
    <definedName name="GrRent">#REF!</definedName>
    <definedName name="GrsRnt">#REF!</definedName>
    <definedName name="GSFFIN">#REF!</definedName>
    <definedName name="GUPCLEANING">#REF!</definedName>
    <definedName name="GUPUTILITIES">#REF!</definedName>
    <definedName name="H">#REF!</definedName>
    <definedName name="Hcoinv">#REF!</definedName>
    <definedName name="Hcosts">#REF!</definedName>
    <definedName name="HDGS3">#REF!</definedName>
    <definedName name="Header_Row">ROW('[1]Loan Amort 60%'!$A$15:$IV$15)</definedName>
    <definedName name="Header_Row_Back">ROW('[1]Loan Amort 60%'!$A$15:$IV$15)</definedName>
    <definedName name="hold">#REF!</definedName>
    <definedName name="hope" hidden="1">{#N/A,#N/A,FALSE,"LP Exp";#N/A,#N/A,FALSE,"Salary";#N/A,#N/A,FALSE,"Admin Exp";#N/A,#N/A,FALSE,"QTS Bud";#N/A,#N/A,FALSE,"Marketing"}</definedName>
    <definedName name="hope_condo" hidden="1">{#N/A,#N/A,FALSE,"LP Exp";#N/A,#N/A,FALSE,"Salary";#N/A,#N/A,FALSE,"Admin Exp";#N/A,#N/A,FALSE,"QTS Bud";#N/A,#N/A,FALSE,"Marketing"}</definedName>
    <definedName name="hvaccpe">#REF!</definedName>
    <definedName name="hvaccpf">#REF!</definedName>
    <definedName name="I">#REF!</definedName>
    <definedName name="Industries">#REF!</definedName>
    <definedName name="Industry">#REF!:INDEX(#REF!,COUNTA(#REF!))</definedName>
    <definedName name="InitialNetEquity">#REF!</definedName>
    <definedName name="int">#REF!</definedName>
    <definedName name="IntangibleArea">#REF!</definedName>
    <definedName name="INTBORDER">#REF!</definedName>
    <definedName name="Interest">#N/A</definedName>
    <definedName name="Interest_Rate">'[1]Loan Amort 60%'!$E$5</definedName>
    <definedName name="INTEST">#REF!</definedName>
    <definedName name="IntroPrintArea" hidden="1">#REF!</definedName>
    <definedName name="J">#REF!</definedName>
    <definedName name="Jan">#REF!</definedName>
    <definedName name="January">#REF!</definedName>
    <definedName name="Jun_96">#REF!</definedName>
    <definedName name="JUNK" hidden="1">{"SCHEDULE",#N/A,FALSE,"Fin_sched"}</definedName>
    <definedName name="Junk_condo" hidden="1">{"SCHEDULE",#N/A,FALSE,"Fin_sched"}</definedName>
    <definedName name="JUNK2" hidden="1">{"SUMMARY",#N/A,FALSE,"Fin_sched"}</definedName>
    <definedName name="K">#REF!</definedName>
    <definedName name="KELLYAMEX">#REF!</definedName>
    <definedName name="L10_">#REF!</definedName>
    <definedName name="Labor">#REF!</definedName>
    <definedName name="Last_Row">#N/A</definedName>
    <definedName name="Lcost">#REF!</definedName>
    <definedName name="Lease_Type">#REF!:INDEX(#REF!,COUNTA(#REF!))</definedName>
    <definedName name="LeaseType">#REF!</definedName>
    <definedName name="LF">#REF!</definedName>
    <definedName name="LFees">#REF!</definedName>
    <definedName name="ll" hidden="1">{#N/A,#N/A,TRUE,"Maritime Park Arena PCD";#N/A,#N/A,TRUE,"Maritime Park Arena IOR"}</definedName>
    <definedName name="Loan_Amount">'[1]Loan Amort 60%'!$E$4</definedName>
    <definedName name="Loan_Not_Paid">#N/A</definedName>
    <definedName name="Loan_Start">'[1]Loan Amort 60%'!$E$7</definedName>
    <definedName name="Loan_Years">'[1]Loan Amort 60%'!$E$6</definedName>
    <definedName name="London">#REF!</definedName>
    <definedName name="Look1Area">#REF!</definedName>
    <definedName name="Look2Area">#REF!</definedName>
    <definedName name="Look3Area">#REF!</definedName>
    <definedName name="Look4Area">#REF!</definedName>
    <definedName name="Look5Area">#REF!</definedName>
    <definedName name="lookup">#REF!</definedName>
    <definedName name="Louvers" hidden="1">{#N/A,#N/A,TRUE,"Ericsson Stadium PCD ";#N/A,#N/A,TRUE,"Ericsson Stadium IOR"}</definedName>
    <definedName name="Louversa" hidden="1">{#N/A,#N/A,TRUE,"Ericsson Stadium PCD ";#N/A,#N/A,TRUE,"Ericsson Stadium IOR"}</definedName>
    <definedName name="Ltbor">#REF!</definedName>
    <definedName name="LTV">#REF!</definedName>
    <definedName name="MACRO_INDEX">#REF!</definedName>
    <definedName name="managementfee">#REF!</definedName>
    <definedName name="Market">#REF!</definedName>
    <definedName name="Materials">#REF!</definedName>
    <definedName name="MGMT">#REF!</definedName>
    <definedName name="MgmtFee">#REF!</definedName>
    <definedName name="MgmtFeea">#REF!</definedName>
    <definedName name="MMMMMM">#REF!</definedName>
    <definedName name="Monthly_Payment">#N/A</definedName>
    <definedName name="Monthnumber">#REF!</definedName>
    <definedName name="months">#REF!</definedName>
    <definedName name="moti">#REF!</definedName>
    <definedName name="MT">#REF!:INDEX(#REF!,COUNTA(#REF!))</definedName>
    <definedName name="MTS">#REF!:INDEX(#REF!,COUNTA(#REF!))</definedName>
    <definedName name="N">#REF!</definedName>
    <definedName name="N.TS_CPI">#REF!</definedName>
    <definedName name="N.TST_CS">#REF!</definedName>
    <definedName name="N.TST_RT">#REF!</definedName>
    <definedName name="NAME">#REF!</definedName>
    <definedName name="New_Rate">#REF!</definedName>
    <definedName name="NewFirms">#REF!</definedName>
    <definedName name="NewNRA">#REF!</definedName>
    <definedName name="NOIcapYr">#REF!</definedName>
    <definedName name="NRA">#REF!</definedName>
    <definedName name="nsf">#REF!</definedName>
    <definedName name="Number_of_Payments">'[1]Loan Amort 60%'!$E$10</definedName>
    <definedName name="NYRO1">#REF!</definedName>
    <definedName name="NYRO2">#REF!</definedName>
    <definedName name="OAAbatementModifier">#REF!</definedName>
    <definedName name="OAAccountCodes">#REF!</definedName>
    <definedName name="OAApartment">#REF!</definedName>
    <definedName name="OAAreaMeasures">#REF!</definedName>
    <definedName name="OABreakpoints">#REF!</definedName>
    <definedName name="OAConProps">#REF!</definedName>
    <definedName name="OACPIRent">#REF!</definedName>
    <definedName name="OACriteria">#REF!</definedName>
    <definedName name="OADebt">#REF!</definedName>
    <definedName name="OADefault">#REF!</definedName>
    <definedName name="OADetailedReimbursementMethods">#REF!</definedName>
    <definedName name="OADistribution">#REF!</definedName>
    <definedName name="OADIV">#REF!</definedName>
    <definedName name="OADIV2">#REF!</definedName>
    <definedName name="OAEscrow">#REF!</definedName>
    <definedName name="OAExpenseGrp">#REF!</definedName>
    <definedName name="OAFootnotes">#REF!</definedName>
    <definedName name="OAGCur">#REF!</definedName>
    <definedName name="OAGDIV">#REF!</definedName>
    <definedName name="OAGDIVC">#REF!</definedName>
    <definedName name="OAGFor">#REF!</definedName>
    <definedName name="OAGIGroups">#REF!</definedName>
    <definedName name="OAGLeaseType">#REF!</definedName>
    <definedName name="OAGLMod">#REF!</definedName>
    <definedName name="OAGLV">#REF!</definedName>
    <definedName name="OAGPLabels">#REF!</definedName>
    <definedName name="OAGPType">#REF!</definedName>
    <definedName name="OAGRepPackage">#REF!</definedName>
    <definedName name="OAGTenantCat">#REF!</definedName>
    <definedName name="OAHotelRooms">#REF!</definedName>
    <definedName name="OAIntelligentRenewals">#REF!</definedName>
    <definedName name="OALAssoc">#REF!</definedName>
    <definedName name="OALeaseType">#REF!</definedName>
    <definedName name="OALevels">#REF!</definedName>
    <definedName name="OALGroup">#REF!</definedName>
    <definedName name="OALPart">#REF!</definedName>
    <definedName name="OAMarketLeasing">#REF!</definedName>
    <definedName name="OAMaster">#REF!</definedName>
    <definedName name="OAMasterScenario">#REF!</definedName>
    <definedName name="OAMiscellaneousRent">#REF!</definedName>
    <definedName name="OAMonthsInput">#REF!</definedName>
    <definedName name="OAMultipleScenarios">#REF!</definedName>
    <definedName name="OAMVA">#REF!</definedName>
    <definedName name="OANPV">#REF!</definedName>
    <definedName name="OAOutput">#REF!</definedName>
    <definedName name="OAPartnerGroups">#REF!</definedName>
    <definedName name="OAPayOpt">#REF!</definedName>
    <definedName name="OAPercentOfLine">#REF!</definedName>
    <definedName name="OAPeriodicity">#REF!</definedName>
    <definedName name="OAPortersWage">#REF!</definedName>
    <definedName name="OAPortfolio">#REF!</definedName>
    <definedName name="OAPropDescription">#REF!</definedName>
    <definedName name="OAProperty">#REF!</definedName>
    <definedName name="OAPropertyRange">#REF!</definedName>
    <definedName name="OAPRRColumn">#REF!</definedName>
    <definedName name="OARange">#REF!</definedName>
    <definedName name="OARefDate">#REF!</definedName>
    <definedName name="OARentRoll">#REF!</definedName>
    <definedName name="OAReportOptions">#REF!</definedName>
    <definedName name="OARepPackage">#REF!</definedName>
    <definedName name="OARevCurve">#REF!</definedName>
    <definedName name="OARevEx">#REF!</definedName>
    <definedName name="OASales">#REF!</definedName>
    <definedName name="OASalesVolume">#REF!</definedName>
    <definedName name="OAScenario">#REF!</definedName>
    <definedName name="OASCurve">#REF!</definedName>
    <definedName name="OAStatus">#REF!</definedName>
    <definedName name="OASteppedInput">#REF!</definedName>
    <definedName name="OATax">#REF!</definedName>
    <definedName name="OATenantCat">#REF!</definedName>
    <definedName name="OATenantGroups">#REF!</definedName>
    <definedName name="OATenantRange">#REF!</definedName>
    <definedName name="OAUnitData">#REF!</definedName>
    <definedName name="OAYearsCategory">#REF!</definedName>
    <definedName name="OAYearsInput">#REF!</definedName>
    <definedName name="OCT306DRAW">#REF!</definedName>
    <definedName name="onethirteen">#REF!</definedName>
    <definedName name="operatingcosts">#REF!</definedName>
    <definedName name="OPEXP">#REF!</definedName>
    <definedName name="OpExp_SF">#REF!</definedName>
    <definedName name="OPEXP1998">#REF!</definedName>
    <definedName name="OpExp95_96">#REF!</definedName>
    <definedName name="OpExp96">#REF!</definedName>
    <definedName name="OprExpRent">#REF!</definedName>
    <definedName name="OSC">#REF!</definedName>
    <definedName name="OtherCosts">#REF!</definedName>
    <definedName name="OTHINC">#REF!</definedName>
    <definedName name="OVERVIEW">#REF!</definedName>
    <definedName name="page">#REF!</definedName>
    <definedName name="PAGE1">#REF!</definedName>
    <definedName name="PAGE2">#REF!</definedName>
    <definedName name="Page200">#REF!</definedName>
    <definedName name="Page201">#REF!</definedName>
    <definedName name="PAGE3">#REF!</definedName>
    <definedName name="PART1">#REF!</definedName>
    <definedName name="PART2">#REF!</definedName>
    <definedName name="Payment_Date">#N/A</definedName>
    <definedName name="Payment_Number">ROW()-Header_Row</definedName>
    <definedName name="Payments_per_year">#REF!</definedName>
    <definedName name="pbBACKUP">#REF!</definedName>
    <definedName name="pbOTHER">#REF!</definedName>
    <definedName name="PCQUAN">#REF!</definedName>
    <definedName name="PERCENT_">#REF!</definedName>
    <definedName name="PICBeg">#REF!</definedName>
    <definedName name="PICEnd">#REF!</definedName>
    <definedName name="pier90" hidden="1">{"excavation",#N/A,FALSE,"DETAIL.XLS"}</definedName>
    <definedName name="PILLSBURY">#REF!</definedName>
    <definedName name="PLAN">#REF!</definedName>
    <definedName name="planyear">#REF!</definedName>
    <definedName name="platform" hidden="1">{#N/A,#N/A,TRUE,"Ericsson Stadium PCD ";#N/A,#N/A,TRUE,"Ericsson Stadium IOR"}</definedName>
    <definedName name="platforma" hidden="1">{#N/A,#N/A,TRUE,"Ericsson Stadium PCD ";#N/A,#N/A,TRUE,"Ericsson Stadium IOR"}</definedName>
    <definedName name="Ploan">#REF!</definedName>
    <definedName name="plumbingcpe">#REF!</definedName>
    <definedName name="plumbingcpf">#REF!</definedName>
    <definedName name="PMO_1">#REF!</definedName>
    <definedName name="PMO_2">#REF!</definedName>
    <definedName name="Pmt_to_use">#REF!</definedName>
    <definedName name="pmtanalysis">#REF!</definedName>
    <definedName name="PNTANNUAL">#REF!</definedName>
    <definedName name="PntArea">#REF!</definedName>
    <definedName name="PntProforma">#REF!</definedName>
    <definedName name="PNTQUAT">#REF!</definedName>
    <definedName name="PPrice">#REF!</definedName>
    <definedName name="PRate">#REF!</definedName>
    <definedName name="Pref1">#REF!</definedName>
    <definedName name="Pref2">#REF!</definedName>
    <definedName name="Pref3">#REF!</definedName>
    <definedName name="Pref4">#REF!</definedName>
    <definedName name="Pref5">#REF!</definedName>
    <definedName name="Preference1">#REF!</definedName>
    <definedName name="Principal">-PPMT(Interest_Rate/12,Payment_Number,Number_of_Payments,Loan_Amount)</definedName>
    <definedName name="PRINT">#REF!</definedName>
    <definedName name="_xlnm.Print_Area" localSheetId="1">Cover!$B$2:$F$48</definedName>
    <definedName name="_xlnm.Print_Area" localSheetId="5">'HUD - CashFlow'!$B$3:$O$48</definedName>
    <definedName name="_xlnm.Print_Area" localSheetId="4">'HUD - Snapshot'!$B$4:$M$59</definedName>
    <definedName name="_xlnm.Print_Area" localSheetId="3">'New CashFlow'!$B$3:$O$49</definedName>
    <definedName name="_xlnm.Print_Area" localSheetId="2">'New Snapshot'!$B$4:$M$59</definedName>
    <definedName name="_xlnm.Print_Area" localSheetId="10">'RE Taxes'!$B$14:$I$41</definedName>
    <definedName name="_xlnm.Print_Area">#REF!</definedName>
    <definedName name="Print_Area_MI">#REF!</definedName>
    <definedName name="Print_Area1">#REF!</definedName>
    <definedName name="_xlnm.Print_Titles">#REF!</definedName>
    <definedName name="Print_Titles_MI">#REF!,#REF!</definedName>
    <definedName name="Print_Titles1">#REF!</definedName>
    <definedName name="Print2">#REF!</definedName>
    <definedName name="PRINTA">#REF!</definedName>
    <definedName name="printarea2">#REF!</definedName>
    <definedName name="PRINTING">#REF!</definedName>
    <definedName name="PrnProforma">#REF!</definedName>
    <definedName name="prnt">"b"</definedName>
    <definedName name="PROJ">#REF!</definedName>
    <definedName name="PROJ_INFO">#REF!</definedName>
    <definedName name="PROJCOST">#REF!</definedName>
    <definedName name="PROJECT_INFO">#REF!</definedName>
    <definedName name="ProjOp">#REF!</definedName>
    <definedName name="ProjOpExp">#REF!</definedName>
    <definedName name="ProjPageFour">#REF!</definedName>
    <definedName name="ProjPageOne">#REF!</definedName>
    <definedName name="ProjPageThree">#REF!</definedName>
    <definedName name="ProjPageTwo">#REF!</definedName>
    <definedName name="PURPRICE">#REF!</definedName>
    <definedName name="PYAllow">#REF!</definedName>
    <definedName name="PYDefRev">#REF!</definedName>
    <definedName name="PYInvReserves">#REF!</definedName>
    <definedName name="PYOtherLiabilities">#REF!</definedName>
    <definedName name="PYOthRes">#REF!</definedName>
    <definedName name="PYPayrollLiabilities">#REF!</definedName>
    <definedName name="QuarterRecDisb">#REF!</definedName>
    <definedName name="rank">#REF!</definedName>
    <definedName name="Rate_sf">#REF!</definedName>
    <definedName name="RCR">#REF!</definedName>
    <definedName name="REBeg">#REF!</definedName>
    <definedName name="recap">#REF!</definedName>
    <definedName name="Recoveries">#REF!</definedName>
    <definedName name="REEnd">#REF!</definedName>
    <definedName name="REGULARACCRUAL">#REF!</definedName>
    <definedName name="REGULARACCRUAL_GARAGE">#REF!</definedName>
    <definedName name="REGULARCASH">#REF!</definedName>
    <definedName name="REGULARCASH_GARAGE">#REF!</definedName>
    <definedName name="RELPRTY">#REF!</definedName>
    <definedName name="reno">#REF!</definedName>
    <definedName name="Rent_Database">#REF!</definedName>
    <definedName name="rentsched">#REF!</definedName>
    <definedName name="RepYear">#REF!</definedName>
    <definedName name="ResSalesCost">#REF!</definedName>
    <definedName name="ResValPSF">#REF!</definedName>
    <definedName name="RETAILACCRUAL">#REF!</definedName>
    <definedName name="RETAILACCRUAL_GARAGE">#REF!</definedName>
    <definedName name="RETAILCASH">#REF!</definedName>
    <definedName name="RETAILCASH_GARAGE">#REF!</definedName>
    <definedName name="Return_CAP_and_Profits">#REF!</definedName>
    <definedName name="roll">#REF!</definedName>
    <definedName name="roofe">#REF!</definedName>
    <definedName name="rooff">#REF!</definedName>
    <definedName name="rrentsched">#REF!</definedName>
    <definedName name="S_11_COMPAR_BDGT">#REF!</definedName>
    <definedName name="S_11A_CF_VAR">#REF!</definedName>
    <definedName name="S_16_PandB_CAP_EXPD">#REF!</definedName>
    <definedName name="S_16_PB_CAP_EXPD">#REF!</definedName>
    <definedName name="S_19_STMT_GAAP">#REF!</definedName>
    <definedName name="S_20_RECON_GAAP">#REF!</definedName>
    <definedName name="S_21_STMT_PART_CAP">#REF!</definedName>
    <definedName name="s1a">#REF!</definedName>
    <definedName name="salesc">#REF!</definedName>
    <definedName name="Sample1">[2]Template!#REF!</definedName>
    <definedName name="scale">#REF!</definedName>
    <definedName name="sch">#REF!</definedName>
    <definedName name="sch2a">#REF!</definedName>
    <definedName name="sch2b">#REF!</definedName>
    <definedName name="SCHED">#REF!</definedName>
    <definedName name="Sched02">#REF!</definedName>
    <definedName name="Sched03">#REF!</definedName>
    <definedName name="Sched04">#REF!</definedName>
    <definedName name="Sched06">#REF!</definedName>
    <definedName name="Sched07">#REF!</definedName>
    <definedName name="Sched07a">#REF!</definedName>
    <definedName name="Sched08">#REF!</definedName>
    <definedName name="Sched08a">#REF!</definedName>
    <definedName name="Sched09">#REF!</definedName>
    <definedName name="Sched09a">#REF!</definedName>
    <definedName name="Sched10">#REF!</definedName>
    <definedName name="Sched14">#REF!</definedName>
    <definedName name="Sched17">#REF!</definedName>
    <definedName name="Sched18">#REF!</definedName>
    <definedName name="Sched19">#REF!</definedName>
    <definedName name="Sched20">#REF!</definedName>
    <definedName name="Sched23">#REF!</definedName>
    <definedName name="Sched5">#REF!</definedName>
    <definedName name="Sched6">#REF!</definedName>
    <definedName name="Sched6a">#REF!</definedName>
    <definedName name="Sched7">#REF!</definedName>
    <definedName name="Sched8">#REF!</definedName>
    <definedName name="schgr">#REF!</definedName>
    <definedName name="Scosts">#REF!</definedName>
    <definedName name="SecDep">#REF!</definedName>
    <definedName name="SecondSpot">#REF!</definedName>
    <definedName name="SellCost">#REF!</definedName>
    <definedName name="senslist">#REF!</definedName>
    <definedName name="SEP036ENGIN">#REF!</definedName>
    <definedName name="SHEET">#REF!</definedName>
    <definedName name="spec1">#REF!</definedName>
    <definedName name="spec2">#REF!</definedName>
    <definedName name="spec3">#REF!</definedName>
    <definedName name="Split1">#REF!</definedName>
    <definedName name="split2">#REF!</definedName>
    <definedName name="Split3">#REF!</definedName>
    <definedName name="Split4">#REF!</definedName>
    <definedName name="split5">#REF!</definedName>
    <definedName name="Sprd1">#REF!</definedName>
    <definedName name="Sprd2">#REF!</definedName>
    <definedName name="Sprd3">#REF!</definedName>
    <definedName name="square_Ft">#REF!</definedName>
    <definedName name="Stadium" hidden="1">{#N/A,#N/A,TRUE,"Ericsson Stadium PCD ";#N/A,#N/A,TRUE,"Ericsson Stadium IOR"}</definedName>
    <definedName name="stadiuma" hidden="1">{#N/A,#N/A,TRUE,"Ericsson Stadium PCD ";#N/A,#N/A,TRUE,"Ericsson Stadium IOR"}</definedName>
    <definedName name="STKGPLAN">#REF!</definedName>
    <definedName name="STKGPLN2">#REF!</definedName>
    <definedName name="stkgpln3">#REF!</definedName>
    <definedName name="Storage">#REF!</definedName>
    <definedName name="Submarket">#REF!</definedName>
    <definedName name="SubTotals">#REF!</definedName>
    <definedName name="SUMBORDER">#REF!</definedName>
    <definedName name="SYSBORDER">#REF!</definedName>
    <definedName name="SYSSUM">#REF!</definedName>
    <definedName name="T">#REF!</definedName>
    <definedName name="TABLE2">#REF!</definedName>
    <definedName name="TACost">#REF!</definedName>
    <definedName name="TE">#REF!</definedName>
    <definedName name="TemplatePrintArea">#REF!</definedName>
    <definedName name="TENANCY">#N/A</definedName>
    <definedName name="TENANT">#REF!</definedName>
    <definedName name="Tenant__Name">#REF!</definedName>
    <definedName name="Tencosts">#REF!</definedName>
    <definedName name="Term">#REF!</definedName>
    <definedName name="Term_in_years">#REF!</definedName>
    <definedName name="test">"E"</definedName>
    <definedName name="thrt">#REF!</definedName>
    <definedName name="titi">#REF!</definedName>
    <definedName name="topfinbor">#REF!</definedName>
    <definedName name="Total_Cost">'[1]Loan Amort 60%'!$E$12</definedName>
    <definedName name="Total_Interest">'[1]Loan Amort 60%'!$E$11</definedName>
    <definedName name="totals">#REF!</definedName>
    <definedName name="Totcosts">#REF!</definedName>
    <definedName name="TotlRepCost">#REF!</definedName>
    <definedName name="TPS">#REF!</definedName>
    <definedName name="TRADE_ITEMS">#REF!</definedName>
    <definedName name="TRADEBORDER">#REF!</definedName>
    <definedName name="TRADEPRINT">#REF!</definedName>
    <definedName name="TRADESUM">#REF!</definedName>
    <definedName name="TREAS">#REF!</definedName>
    <definedName name="TTL51600Rent">#REF!</definedName>
    <definedName name="Units">#REF!</definedName>
    <definedName name="UpdatedFirms">#REF!</definedName>
    <definedName name="UT">#REF!:INDEX(#REF!,COUNTA(#REF!))</definedName>
    <definedName name="UTIL">#REF!</definedName>
    <definedName name="ValuationPageOne">#REF!</definedName>
    <definedName name="ValuationPages">#REF!</definedName>
    <definedName name="Values_Entered">IF(Loan_Amount*Interest_Rate*Loan_Years*Loan_Start&gt;0,1,0)</definedName>
    <definedName name="VAR">#REF!</definedName>
    <definedName name="w" hidden="1">#REF!</definedName>
    <definedName name="WAO_92">#REF!</definedName>
    <definedName name="WAO_93">#REF!</definedName>
    <definedName name="WAO_94">#REF!</definedName>
    <definedName name="WAO_95">#REF!</definedName>
    <definedName name="WAO_96">#REF!</definedName>
    <definedName name="WAO_97">#REF!</definedName>
    <definedName name="WAO_98">#REF!</definedName>
    <definedName name="WAO_99">#REF!</definedName>
    <definedName name="WAO_Budgeted">#REF!</definedName>
    <definedName name="WIL">"A1181"</definedName>
    <definedName name="WIRSIZE">#REF!</definedName>
    <definedName name="WIRUNIT">#REF!</definedName>
    <definedName name="wrn.399." hidden="1">{#N/A,#N/A,FALSE,"A";#N/A,#N/A,FALSE,"C"}</definedName>
    <definedName name="wrn.92264." localSheetId="4" hidden="1">{"Page 1",#N/A,FALSE,"92264 Page 1";"Page 2",#N/A,FALSE,"92264 Page 2";"Page 3",#N/A,FALSE,"92264 Page 3";"Page 4",#N/A,FALSE,"92264 Page 4";"Page 5",#N/A,FALSE,"92264 Page 5";"Page 6",#N/A,FALSE,"92264 Page 6";"Page 7",#N/A,FALSE,"92264 Page 7";"Page 8",#N/A,FALSE,"92264 Page 8"}</definedName>
    <definedName name="wrn.92264." localSheetId="2" hidden="1">{"Page 1",#N/A,FALSE,"92264 Page 1";"Page 2",#N/A,FALSE,"92264 Page 2";"Page 3",#N/A,FALSE,"92264 Page 3";"Page 4",#N/A,FALSE,"92264 Page 4";"Page 5",#N/A,FALSE,"92264 Page 5";"Page 6",#N/A,FALSE,"92264 Page 6";"Page 7",#N/A,FALSE,"92264 Page 7";"Page 8",#N/A,FALSE,"92264 Page 8"}</definedName>
    <definedName name="wrn.92264." hidden="1">{"Page 1",#N/A,FALSE,"92264 Page 1";"Page 2",#N/A,FALSE,"92264 Page 2";"Page 3",#N/A,FALSE,"92264 Page 3";"Page 4",#N/A,FALSE,"92264 Page 4";"Page 5",#N/A,FALSE,"92264 Page 5";"Page 6",#N/A,FALSE,"92264 Page 6";"Page 7",#N/A,FALSE,"92264 Page 7";"Page 8",#N/A,FALSE,"92264 Page 8"}</definedName>
    <definedName name="wrn.Aging._.and._.Trend._.Analysis.">{#N/A,#N/A,FALSE,"Aging Summary";#N/A,#N/A,FALSE,"Ratio Analysis";#N/A,#N/A,FALSE,"Test 120 Day Accts";#N/A,#N/A,FALSE,"Tickmarks"}</definedName>
    <definedName name="wrn.ALL." hidden="1">{#N/A,#N/A,FALSE,"CCC ACC Budget";#N/A,#N/A,FALSE,"Variance";#N/A,#N/A,FALSE,"CCC Rent Detail";#N/A,#N/A,FALSE,"COMMON AREA";#N/A,#N/A,FALSE,"CCC Electric Inclusion";#N/A,#N/A,FALSE,"CCC Opex Detail";#N/A,#N/A,FALSE,"CCC RE Tax Detail";#N/A,#N/A,FALSE,"CCC Chilled Wtr Inclusion";#N/A,#N/A,FALSE,"CCC OTHVAC ";#N/A,#N/A,FALSE,"CCC INPUT"}</definedName>
    <definedName name="wrn.Arena._.PCD." hidden="1">{#N/A,#N/A,TRUE,"Maritime Park Arena PCD";#N/A,#N/A,TRUE,"Maritime Park Arena IOR"}</definedName>
    <definedName name="wrn.CCC." hidden="1">{#N/A,#N/A,FALSE,"A";#N/A,#N/A,FALSE,"B"}</definedName>
    <definedName name="wrn.CCC._.OPEX."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Excavation." hidden="1">{"excavation",#N/A,FALSE,"DETAIL.XLS"}</definedName>
    <definedName name="wrn.EXPENSE." hidden="1">{#N/A,#N/A,FALSE,"Common Area Accrual";#N/A,#N/A,FALSE,"Unit One LaSalle";#N/A,#N/A,FALSE,"Unit One CW";#N/A,#N/A,FALSE,"Unit One LaSallle + C &amp; W";#N/A,#N/A,FALSE,"Consolidated Accrual"}</definedName>
    <definedName name="wrn.Expense._.Detail." hidden="1">{#N/A,#N/A,FALSE,"Common Area Accrual";#N/A,#N/A,FALSE,"Unit One LaSalle";#N/A,#N/A,FALSE,"Unit One CW";#N/A,#N/A,FALSE,"Unit One LaSalle + C &amp; W";#N/A,#N/A,FALSE,"Consolidated Accrual"}</definedName>
    <definedName name="wrn.Exterior._.Wall." hidden="1">{#N/A,#N/A,FALSE,"Paramters";"print range",#N/A,FALSE,"GSF.XLS";"exterior wall",#N/A,FALSE,"DETAIL.XLS"}</definedName>
    <definedName name="wrn.Gund._.Arena._.PCD." hidden="1">{#N/A,#N/A,TRUE,"Gund Arena PCD";#N/A,#N/A,TRUE,"Gund Arena IOR"}</definedName>
    <definedName name="wrn.Interior._.finishes." hidden="1">{"interior finishes",#N/A,FALSE,"DETAIL.XLS"}</definedName>
    <definedName name="wrn.OFFICE._.BUDGET." hidden="1">{#N/A,#N/A,FALSE,"LP Exp";#N/A,#N/A,FALSE,"Salary";#N/A,#N/A,FALSE,"Admin Exp";#N/A,#N/A,FALSE,"QTS Bud";#N/A,#N/A,FALSE,"Marketing"}</definedName>
    <definedName name="wrn.PK._.Variance." hidden="1">{#N/A,#N/A,FALSE,"399 Park Var";#N/A,#N/A,FALSE,"PK NOTES"}</definedName>
    <definedName name="wrn.PRINT._.ALL." hidden="1">{#N/A,#N/A,FALSE,"Expense Detail ";#N/A,#N/A,FALSE,"Worksheet";#N/A,#N/A,FALSE,"Audit";#N/A,#N/A,FALSE,"Exclusions";#N/A,#N/A,FALSE,"Variance";#N/A,#N/A,FALSE,"Reconciliation"}</definedName>
    <definedName name="wrn.projection." localSheetId="4"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localSheetId="2"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report" hidden="1">{#N/A,#N/A,FALSE,"Project Summary";#N/A,#N/A,FALSE,"Parameter Summary";#N/A,#N/A,FALSE,"Budget Control Report";#N/A,#N/A,FALSE,"DETAIL.XLS"}</definedName>
    <definedName name="wrn.REPORT."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wrn.reports." hidden="1">{#N/A,#N/A,FALSE,"Project Summary";#N/A,#N/A,FALSE,"Parameter Summary";#N/A,#N/A,FALSE,"Budget Control Report";#N/A,#N/A,FALSE,"DETAIL.XLS"}</definedName>
    <definedName name="wrn.SCHEDULE" hidden="1">{"SCHEDULE",#N/A,FALSE,"Fin_sched"}</definedName>
    <definedName name="wrn.SCHEDULE." hidden="1">{"SCHEDULE",#N/A,FALSE,"Fin_sched"}</definedName>
    <definedName name="wrn.Stadium._.PCD." hidden="1">{#N/A,#N/A,TRUE,"Ericsson Stadium PCD ";#N/A,#N/A,TRUE,"Ericsson Stadium IOR"}</definedName>
    <definedName name="wrn.Structural._.Frame." hidden="1">{"structural",#N/A,FALSE,"DETAIL.XLS"}</definedName>
    <definedName name="wrn.SUM._.ONLY." hidden="1">{"SUMMARY",#N/A,FALSE,"BIDSUM"}</definedName>
    <definedName name="wrn.SUM._.WITH._.GC." hidden="1">{"SUMMARY",#N/A,FALSE,"BIDSUM";"SUMALTS",#N/A,FALSE,"BIDSUM";#N/A,#N/A,FALSE,"GCOND"}</definedName>
    <definedName name="wrn.SUMMARY." hidden="1">{"SUMMARY",#N/A,FALSE,"Fin_sched"}</definedName>
    <definedName name="wrn.Variance." hidden="1">{#N/A,#N/A,FALSE,"CCC Variance";#N/A,#N/A,FALSE,"CCC Notes"}</definedName>
    <definedName name="XX">#REF!</definedName>
    <definedName name="Y_N">#REF!:INDEX(#REF!,COUNTA(#REF!))</definedName>
    <definedName name="yrcomp">#REF!</definedName>
    <definedName name="yrone">#REF!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1" i="18" l="1"/>
  <c r="B107" i="18"/>
  <c r="B106" i="18"/>
  <c r="B116" i="18"/>
  <c r="B102" i="18"/>
  <c r="B101" i="18"/>
  <c r="B100" i="18"/>
  <c r="B95" i="18"/>
  <c r="B94" i="18"/>
  <c r="B93" i="18"/>
  <c r="D82" i="18"/>
  <c r="E82" i="18" s="1"/>
  <c r="F82" i="18" s="1"/>
  <c r="G82" i="18" s="1"/>
  <c r="H82" i="18" s="1"/>
  <c r="I82" i="18" s="1"/>
  <c r="J82" i="18" s="1"/>
  <c r="K82" i="18" s="1"/>
  <c r="L82" i="18" s="1"/>
  <c r="M82" i="18" s="1"/>
  <c r="N82" i="18" s="1"/>
  <c r="B114" i="18" l="1"/>
  <c r="B127" i="18"/>
  <c r="B115" i="18"/>
  <c r="J35" i="19" l="1"/>
  <c r="J34" i="19"/>
  <c r="E30" i="1"/>
  <c r="L22" i="1"/>
  <c r="G45" i="1"/>
  <c r="D3" i="20"/>
  <c r="C10" i="19"/>
  <c r="F10" i="19" s="1"/>
  <c r="C9" i="19"/>
  <c r="F9" i="19" s="1"/>
  <c r="C8" i="19"/>
  <c r="F8" i="19" s="1"/>
  <c r="E10" i="19" l="1"/>
  <c r="E9" i="19"/>
  <c r="E8" i="19"/>
  <c r="R7" i="18" l="1"/>
  <c r="R6" i="18"/>
  <c r="R5" i="18"/>
  <c r="B16" i="19"/>
  <c r="B18" i="19"/>
  <c r="F34" i="19" l="1"/>
  <c r="E8" i="20" s="1"/>
  <c r="L29" i="19" l="1"/>
  <c r="L33" i="19"/>
  <c r="L34" i="19"/>
  <c r="L35" i="19"/>
  <c r="L36" i="19"/>
  <c r="L37" i="19"/>
  <c r="L40" i="19"/>
  <c r="L46" i="19"/>
  <c r="L47" i="19"/>
  <c r="L49" i="19"/>
  <c r="L50" i="19"/>
  <c r="L51" i="19"/>
  <c r="L52" i="19"/>
  <c r="L27" i="19"/>
  <c r="L10" i="19"/>
  <c r="L9" i="19"/>
  <c r="L8" i="19"/>
  <c r="F35" i="19" l="1"/>
  <c r="L11" i="19"/>
  <c r="K42" i="19"/>
  <c r="L21" i="19"/>
  <c r="X15" i="19"/>
  <c r="X17" i="19" s="1"/>
  <c r="AB13" i="19"/>
  <c r="S12" i="19"/>
  <c r="X11" i="19"/>
  <c r="Y10" i="19" s="1"/>
  <c r="Q11" i="19"/>
  <c r="P11" i="19" s="1"/>
  <c r="AB10" i="19"/>
  <c r="S10" i="19"/>
  <c r="AB9" i="19"/>
  <c r="S9" i="19"/>
  <c r="AB8" i="19"/>
  <c r="S8" i="19"/>
  <c r="B3" i="19"/>
  <c r="XFD65" i="18"/>
  <c r="B66" i="18"/>
  <c r="B67" i="18" s="1"/>
  <c r="B68" i="18" s="1"/>
  <c r="B69" i="18" s="1"/>
  <c r="B70" i="18" s="1"/>
  <c r="B71" i="18" s="1"/>
  <c r="B72" i="18" s="1"/>
  <c r="B73" i="18" s="1"/>
  <c r="B74" i="18" s="1"/>
  <c r="B75" i="18" s="1"/>
  <c r="B76" i="18" s="1"/>
  <c r="D64" i="18"/>
  <c r="D81" i="18" s="1"/>
  <c r="Q53" i="18"/>
  <c r="Q52" i="18"/>
  <c r="Q51" i="18"/>
  <c r="Q50" i="18"/>
  <c r="Q49" i="18"/>
  <c r="Q48" i="18"/>
  <c r="Q47" i="18"/>
  <c r="Q17" i="18"/>
  <c r="B13" i="18"/>
  <c r="AA10" i="18"/>
  <c r="AA9" i="18"/>
  <c r="Z18" i="18" s="1"/>
  <c r="Z20" i="18" s="1"/>
  <c r="Z21" i="18" s="1"/>
  <c r="Z22" i="18" s="1"/>
  <c r="Z23" i="18" s="1"/>
  <c r="Z24" i="18" s="1"/>
  <c r="Z25" i="18" s="1"/>
  <c r="Z26" i="18" s="1"/>
  <c r="Z27" i="18" s="1"/>
  <c r="Z28" i="18" s="1"/>
  <c r="Z29" i="18" s="1"/>
  <c r="Z30" i="18" s="1"/>
  <c r="Z31" i="18" s="1"/>
  <c r="D8" i="18"/>
  <c r="E8" i="18" s="1"/>
  <c r="F8" i="18" s="1"/>
  <c r="G8" i="18" s="1"/>
  <c r="H8" i="18" s="1"/>
  <c r="I8" i="18" s="1"/>
  <c r="J8" i="18" s="1"/>
  <c r="K8" i="18" s="1"/>
  <c r="L8" i="18" s="1"/>
  <c r="M8" i="18" s="1"/>
  <c r="N8" i="18" s="1"/>
  <c r="AA7" i="18"/>
  <c r="E7" i="18"/>
  <c r="F7" i="18" s="1"/>
  <c r="G7" i="18" s="1"/>
  <c r="H7" i="18" s="1"/>
  <c r="I7" i="18" s="1"/>
  <c r="J7" i="18" s="1"/>
  <c r="K7" i="18" s="1"/>
  <c r="L7" i="18" s="1"/>
  <c r="M7" i="18" s="1"/>
  <c r="N7" i="18" s="1"/>
  <c r="AA6" i="18"/>
  <c r="B2" i="18"/>
  <c r="E64" i="18" l="1"/>
  <c r="E81" i="18" s="1"/>
  <c r="G10" i="19"/>
  <c r="P10" i="19"/>
  <c r="H9" i="19"/>
  <c r="G9" i="19"/>
  <c r="G8" i="19"/>
  <c r="V47" i="18"/>
  <c r="H10" i="19"/>
  <c r="P9" i="19"/>
  <c r="V50" i="18"/>
  <c r="U47" i="18"/>
  <c r="U50" i="18"/>
  <c r="V51" i="18"/>
  <c r="V49" i="18"/>
  <c r="V53" i="18"/>
  <c r="S11" i="19"/>
  <c r="S13" i="19" s="1"/>
  <c r="S14" i="19" s="1"/>
  <c r="S15" i="19" s="1"/>
  <c r="Q13" i="19"/>
  <c r="P8" i="19"/>
  <c r="Y8" i="19"/>
  <c r="Y11" i="19"/>
  <c r="Y9" i="19"/>
  <c r="C8" i="18"/>
  <c r="V52" i="18"/>
  <c r="U53" i="18"/>
  <c r="U48" i="18"/>
  <c r="U49" i="18"/>
  <c r="V48" i="18"/>
  <c r="U51" i="18"/>
  <c r="U52" i="18"/>
  <c r="R54" i="18"/>
  <c r="S54" i="18"/>
  <c r="AA11" i="1"/>
  <c r="Z11" i="1"/>
  <c r="Y11" i="1"/>
  <c r="Y10" i="1"/>
  <c r="Y9" i="1"/>
  <c r="Y8" i="1"/>
  <c r="X11" i="1"/>
  <c r="X15" i="1"/>
  <c r="X17" i="1" s="1"/>
  <c r="AB13" i="1"/>
  <c r="AB10" i="1"/>
  <c r="AB9" i="1"/>
  <c r="AB8" i="1"/>
  <c r="F64" i="18" l="1"/>
  <c r="F81" i="18" s="1"/>
  <c r="E12" i="19"/>
  <c r="C12" i="19"/>
  <c r="H8" i="19"/>
  <c r="H12" i="19" s="1"/>
  <c r="Z11" i="19"/>
  <c r="AA11" i="19"/>
  <c r="AB11" i="19"/>
  <c r="T54" i="18"/>
  <c r="V54" i="18" s="1"/>
  <c r="S19" i="18" s="1"/>
  <c r="E11" i="18" s="1"/>
  <c r="S39" i="18"/>
  <c r="U54" i="18"/>
  <c r="AB11" i="1"/>
  <c r="S21" i="1"/>
  <c r="S10" i="1"/>
  <c r="S9" i="1"/>
  <c r="S8" i="1"/>
  <c r="Q11" i="1"/>
  <c r="P11" i="1" s="1"/>
  <c r="S12" i="1"/>
  <c r="S28" i="18" l="1"/>
  <c r="S29" i="18"/>
  <c r="E20" i="18" s="1"/>
  <c r="F20" i="18" s="1"/>
  <c r="G20" i="18" s="1"/>
  <c r="H20" i="18" s="1"/>
  <c r="I20" i="18" s="1"/>
  <c r="J20" i="18" s="1"/>
  <c r="K20" i="18" s="1"/>
  <c r="L20" i="18" s="1"/>
  <c r="M20" i="18" s="1"/>
  <c r="N20" i="18" s="1"/>
  <c r="S36" i="18"/>
  <c r="S35" i="18"/>
  <c r="E25" i="18" s="1"/>
  <c r="F25" i="18" s="1"/>
  <c r="G25" i="18" s="1"/>
  <c r="H25" i="18" s="1"/>
  <c r="I25" i="18" s="1"/>
  <c r="J25" i="18" s="1"/>
  <c r="K25" i="18" s="1"/>
  <c r="L25" i="18" s="1"/>
  <c r="M25" i="18" s="1"/>
  <c r="N25" i="18" s="1"/>
  <c r="S25" i="18"/>
  <c r="E17" i="18" s="1"/>
  <c r="S33" i="18"/>
  <c r="S31" i="18"/>
  <c r="S34" i="18"/>
  <c r="E24" i="18" s="1"/>
  <c r="F24" i="18" s="1"/>
  <c r="G24" i="18" s="1"/>
  <c r="H24" i="18" s="1"/>
  <c r="I24" i="18" s="1"/>
  <c r="J24" i="18" s="1"/>
  <c r="K24" i="18" s="1"/>
  <c r="L24" i="18" s="1"/>
  <c r="M24" i="18" s="1"/>
  <c r="N24" i="18" s="1"/>
  <c r="S30" i="18"/>
  <c r="E3" i="20"/>
  <c r="D12" i="19"/>
  <c r="G64" i="18"/>
  <c r="G81" i="18" s="1"/>
  <c r="F12" i="19"/>
  <c r="E21" i="18"/>
  <c r="F21" i="18" s="1"/>
  <c r="G21" i="18" s="1"/>
  <c r="H21" i="18" s="1"/>
  <c r="I21" i="18" s="1"/>
  <c r="J21" i="18" s="1"/>
  <c r="K21" i="18" s="1"/>
  <c r="L21" i="18" s="1"/>
  <c r="M21" i="18" s="1"/>
  <c r="N21" i="18" s="1"/>
  <c r="E23" i="18"/>
  <c r="F23" i="18" s="1"/>
  <c r="G23" i="18" s="1"/>
  <c r="H23" i="18" s="1"/>
  <c r="I23" i="18" s="1"/>
  <c r="J23" i="18" s="1"/>
  <c r="K23" i="18" s="1"/>
  <c r="L23" i="18" s="1"/>
  <c r="M23" i="18" s="1"/>
  <c r="N23" i="18" s="1"/>
  <c r="E22" i="18"/>
  <c r="F22" i="18" s="1"/>
  <c r="G22" i="18" s="1"/>
  <c r="H22" i="18" s="1"/>
  <c r="I22" i="18" s="1"/>
  <c r="J22" i="18" s="1"/>
  <c r="K22" i="18" s="1"/>
  <c r="L22" i="18" s="1"/>
  <c r="M22" i="18" s="1"/>
  <c r="N22" i="18" s="1"/>
  <c r="E19" i="18"/>
  <c r="F19" i="18" s="1"/>
  <c r="G19" i="18" s="1"/>
  <c r="H19" i="18" s="1"/>
  <c r="I19" i="18" s="1"/>
  <c r="J19" i="18" s="1"/>
  <c r="K19" i="18" s="1"/>
  <c r="L19" i="18" s="1"/>
  <c r="M19" i="18" s="1"/>
  <c r="N19" i="18" s="1"/>
  <c r="D10" i="19"/>
  <c r="D9" i="19"/>
  <c r="E26" i="18"/>
  <c r="F26" i="18" s="1"/>
  <c r="G26" i="18" s="1"/>
  <c r="H26" i="18" s="1"/>
  <c r="I26" i="18" s="1"/>
  <c r="J26" i="18" s="1"/>
  <c r="K26" i="18" s="1"/>
  <c r="L26" i="18" s="1"/>
  <c r="M26" i="18" s="1"/>
  <c r="N26" i="18" s="1"/>
  <c r="G12" i="19"/>
  <c r="D8" i="19"/>
  <c r="T19" i="18"/>
  <c r="E30" i="18"/>
  <c r="F30" i="18" s="1"/>
  <c r="G30" i="18" s="1"/>
  <c r="H30" i="18" s="1"/>
  <c r="I30" i="18" s="1"/>
  <c r="J30" i="18" s="1"/>
  <c r="K30" i="18" s="1"/>
  <c r="L30" i="18" s="1"/>
  <c r="M30" i="18" s="1"/>
  <c r="N30" i="18" s="1"/>
  <c r="T39" i="18"/>
  <c r="S11" i="1"/>
  <c r="S13" i="1" s="1"/>
  <c r="Q13" i="1"/>
  <c r="S34" i="3"/>
  <c r="H64" i="18" l="1"/>
  <c r="H81" i="18" s="1"/>
  <c r="C13" i="19"/>
  <c r="F17" i="18"/>
  <c r="F11" i="18"/>
  <c r="S14" i="1"/>
  <c r="S15" i="1"/>
  <c r="G22" i="1"/>
  <c r="G21" i="1"/>
  <c r="G20" i="1"/>
  <c r="G19" i="1"/>
  <c r="G18" i="1"/>
  <c r="G17" i="1"/>
  <c r="G16" i="1"/>
  <c r="I64" i="18" l="1"/>
  <c r="I81" i="18" s="1"/>
  <c r="G11" i="18"/>
  <c r="G17" i="18"/>
  <c r="F38" i="16"/>
  <c r="F39" i="16" s="1"/>
  <c r="F31" i="16"/>
  <c r="F32" i="16" s="1"/>
  <c r="C25" i="16"/>
  <c r="C26" i="16" s="1"/>
  <c r="F23" i="16"/>
  <c r="F24" i="16" s="1"/>
  <c r="C23" i="16"/>
  <c r="C20" i="16"/>
  <c r="F16" i="16"/>
  <c r="F17" i="16" s="1"/>
  <c r="F11" i="16"/>
  <c r="F12" i="16" s="1"/>
  <c r="C9" i="16"/>
  <c r="C11" i="16" s="1"/>
  <c r="C13" i="16" s="1"/>
  <c r="C14" i="16" s="1"/>
  <c r="C5" i="16"/>
  <c r="F4" i="16"/>
  <c r="J64" i="18" l="1"/>
  <c r="J81" i="18" s="1"/>
  <c r="H17" i="18"/>
  <c r="H11" i="18"/>
  <c r="I11" i="9"/>
  <c r="I13" i="9" s="1"/>
  <c r="I16" i="9" s="1"/>
  <c r="D115" i="7"/>
  <c r="C70" i="7"/>
  <c r="F59" i="7"/>
  <c r="C59" i="7"/>
  <c r="C133" i="7"/>
  <c r="C114" i="7" s="1"/>
  <c r="C111" i="7" s="1"/>
  <c r="C41" i="7"/>
  <c r="C112" i="7" s="1"/>
  <c r="D112" i="7" s="1"/>
  <c r="F30" i="7"/>
  <c r="C30" i="7"/>
  <c r="C9" i="7" s="1"/>
  <c r="K64" i="18" l="1"/>
  <c r="K81" i="18" s="1"/>
  <c r="I11" i="18"/>
  <c r="I17" i="18"/>
  <c r="D111" i="7"/>
  <c r="B36" i="10"/>
  <c r="B22" i="10"/>
  <c r="O12" i="15"/>
  <c r="O11" i="15"/>
  <c r="O10" i="15"/>
  <c r="O9" i="15"/>
  <c r="O8" i="15"/>
  <c r="O7" i="15"/>
  <c r="O6" i="15"/>
  <c r="O5" i="15"/>
  <c r="O4" i="15"/>
  <c r="O3" i="15"/>
  <c r="C55" i="1"/>
  <c r="C54" i="1"/>
  <c r="C53" i="1"/>
  <c r="B2" i="7"/>
  <c r="Q17" i="3"/>
  <c r="L64" i="18" l="1"/>
  <c r="L81" i="18" s="1"/>
  <c r="J17" i="18"/>
  <c r="J11" i="18"/>
  <c r="C113" i="7"/>
  <c r="D113" i="7" s="1"/>
  <c r="M64" i="18" l="1"/>
  <c r="K11" i="18"/>
  <c r="K17" i="18"/>
  <c r="B2" i="14"/>
  <c r="D64" i="14"/>
  <c r="G64" i="14" s="1"/>
  <c r="G16" i="5"/>
  <c r="G15" i="5"/>
  <c r="I15" i="5" s="1"/>
  <c r="H15" i="5"/>
  <c r="K11" i="1"/>
  <c r="B64" i="3"/>
  <c r="B65" i="3" s="1"/>
  <c r="B66" i="3" s="1"/>
  <c r="B67" i="3" s="1"/>
  <c r="B68" i="3" s="1"/>
  <c r="B69" i="3" s="1"/>
  <c r="B70" i="3" s="1"/>
  <c r="B71" i="3" s="1"/>
  <c r="B72" i="3" s="1"/>
  <c r="B73" i="3" s="1"/>
  <c r="B74" i="3" s="1"/>
  <c r="XFD64" i="3"/>
  <c r="D62" i="3"/>
  <c r="E62" i="3" s="1"/>
  <c r="F62" i="3" s="1"/>
  <c r="G62" i="3" s="1"/>
  <c r="H62" i="3" s="1"/>
  <c r="I62" i="3" s="1"/>
  <c r="J62" i="3" s="1"/>
  <c r="K62" i="3" s="1"/>
  <c r="L62" i="3" s="1"/>
  <c r="M62" i="3" s="1"/>
  <c r="N62" i="3" s="1"/>
  <c r="F9" i="5"/>
  <c r="F8" i="5"/>
  <c r="D48" i="14"/>
  <c r="G48" i="14" s="1"/>
  <c r="B71" i="14"/>
  <c r="B62" i="14"/>
  <c r="B54" i="14"/>
  <c r="B46" i="14"/>
  <c r="B51" i="14"/>
  <c r="B103" i="14"/>
  <c r="B102" i="14"/>
  <c r="G12" i="14" s="1"/>
  <c r="B101" i="14"/>
  <c r="G11" i="14" s="1"/>
  <c r="B100" i="14"/>
  <c r="G10" i="14" s="1"/>
  <c r="B99" i="14"/>
  <c r="G9" i="14" s="1"/>
  <c r="B97" i="14"/>
  <c r="B96" i="14"/>
  <c r="B95" i="14"/>
  <c r="B93" i="14"/>
  <c r="K12" i="14" s="1"/>
  <c r="B92" i="14"/>
  <c r="K11" i="14" s="1"/>
  <c r="B91" i="14"/>
  <c r="K10" i="14" s="1"/>
  <c r="B90" i="14"/>
  <c r="K9" i="14" s="1"/>
  <c r="B88" i="14"/>
  <c r="B87" i="14"/>
  <c r="B86" i="14"/>
  <c r="D83" i="14"/>
  <c r="B83" i="14"/>
  <c r="B82" i="14"/>
  <c r="B81" i="14"/>
  <c r="B75" i="14"/>
  <c r="D74" i="14"/>
  <c r="B74" i="14"/>
  <c r="B73" i="14"/>
  <c r="B72" i="14"/>
  <c r="B68" i="14"/>
  <c r="B67" i="14"/>
  <c r="B66" i="14"/>
  <c r="B58" i="14"/>
  <c r="D57" i="14"/>
  <c r="B57" i="14"/>
  <c r="B56" i="14"/>
  <c r="B55" i="14"/>
  <c r="B50" i="14"/>
  <c r="H16" i="14"/>
  <c r="I16" i="14" s="1"/>
  <c r="J16" i="14" s="1"/>
  <c r="K16" i="14" s="1"/>
  <c r="L16" i="14" s="1"/>
  <c r="M16" i="14" s="1"/>
  <c r="N16" i="14" s="1"/>
  <c r="O16" i="14" s="1"/>
  <c r="P16" i="14" s="1"/>
  <c r="Q16" i="14" s="1"/>
  <c r="R16" i="14" s="1"/>
  <c r="B42" i="14"/>
  <c r="B41" i="14"/>
  <c r="B31" i="14"/>
  <c r="B30" i="14"/>
  <c r="B29" i="14"/>
  <c r="B28" i="14"/>
  <c r="B25" i="14"/>
  <c r="D23" i="14"/>
  <c r="G23" i="14" s="1"/>
  <c r="B21" i="14"/>
  <c r="D11" i="14"/>
  <c r="K8" i="14"/>
  <c r="G8" i="14"/>
  <c r="F7" i="3"/>
  <c r="G7" i="3" s="1"/>
  <c r="H7" i="3" s="1"/>
  <c r="I7" i="3" s="1"/>
  <c r="J7" i="3" s="1"/>
  <c r="K7" i="3" s="1"/>
  <c r="L7" i="3" s="1"/>
  <c r="M7" i="3" s="1"/>
  <c r="N7" i="3" s="1"/>
  <c r="E7" i="3"/>
  <c r="M86" i="18" l="1" a="1"/>
  <c r="M86" i="18" s="1"/>
  <c r="M81" i="18"/>
  <c r="N64" i="18"/>
  <c r="L17" i="18"/>
  <c r="L11" i="18"/>
  <c r="J15" i="5"/>
  <c r="L19" i="1"/>
  <c r="N86" i="18" l="1" a="1"/>
  <c r="N86" i="18" s="1"/>
  <c r="N81" i="18"/>
  <c r="M11" i="18"/>
  <c r="M17" i="18"/>
  <c r="B23" i="12"/>
  <c r="B22" i="12"/>
  <c r="B21" i="12"/>
  <c r="N17" i="18" l="1"/>
  <c r="N11" i="18"/>
  <c r="L25" i="1"/>
  <c r="L30" i="19" s="1"/>
  <c r="C33" i="9"/>
  <c r="C31" i="9"/>
  <c r="C21" i="9"/>
  <c r="D8" i="3"/>
  <c r="H17" i="14" l="1"/>
  <c r="C8" i="3"/>
  <c r="E8" i="3"/>
  <c r="F8" i="3" s="1"/>
  <c r="S15" i="5"/>
  <c r="O15" i="5"/>
  <c r="K15" i="5"/>
  <c r="L15" i="5" s="1"/>
  <c r="E15" i="5"/>
  <c r="D15" i="5"/>
  <c r="F15" i="5"/>
  <c r="C71" i="5"/>
  <c r="D68" i="5" s="1"/>
  <c r="G68" i="5"/>
  <c r="G67" i="5"/>
  <c r="G66" i="5"/>
  <c r="G65" i="5"/>
  <c r="C29" i="5"/>
  <c r="D27" i="5" s="1"/>
  <c r="G27" i="5"/>
  <c r="G26" i="5"/>
  <c r="J17" i="14" l="1"/>
  <c r="I17" i="14"/>
  <c r="G17" i="14"/>
  <c r="G8" i="3"/>
  <c r="K16" i="5"/>
  <c r="O16" i="5"/>
  <c r="S16" i="5"/>
  <c r="T15" i="5"/>
  <c r="M15" i="5"/>
  <c r="N15" i="5" s="1"/>
  <c r="U15" i="5"/>
  <c r="P15" i="5"/>
  <c r="Q15" i="5"/>
  <c r="D65" i="5"/>
  <c r="D66" i="5"/>
  <c r="D67" i="5"/>
  <c r="D23" i="5"/>
  <c r="D24" i="5"/>
  <c r="D25" i="5"/>
  <c r="D26" i="5"/>
  <c r="AA7" i="3"/>
  <c r="AA6" i="3"/>
  <c r="AA10" i="3"/>
  <c r="AA9" i="3"/>
  <c r="Y18" i="3" s="1"/>
  <c r="K17" i="14" l="1"/>
  <c r="H8" i="3"/>
  <c r="V15" i="5"/>
  <c r="R15" i="5"/>
  <c r="E71" i="5"/>
  <c r="D71" i="5"/>
  <c r="E29" i="5"/>
  <c r="D29" i="5"/>
  <c r="Y20" i="3"/>
  <c r="L17" i="14" l="1"/>
  <c r="I8" i="3"/>
  <c r="Y21" i="3"/>
  <c r="M17" i="14" l="1"/>
  <c r="J8" i="3"/>
  <c r="Y22" i="3"/>
  <c r="N17" i="14" l="1"/>
  <c r="K8" i="3"/>
  <c r="Y23" i="3"/>
  <c r="O17" i="14" l="1"/>
  <c r="L8" i="3"/>
  <c r="Y24" i="3"/>
  <c r="P17" i="14" l="1"/>
  <c r="M8" i="3"/>
  <c r="Y25" i="3"/>
  <c r="Q17" i="14" l="1"/>
  <c r="N8" i="3"/>
  <c r="Y26" i="3"/>
  <c r="R17" i="14" l="1"/>
  <c r="Y27" i="3"/>
  <c r="Y28" i="3" l="1"/>
  <c r="Y29" i="3" l="1"/>
  <c r="Y30" i="3" l="1"/>
  <c r="Y31" i="3" l="1"/>
  <c r="E12" i="7" l="1"/>
  <c r="H12" i="7" s="1"/>
  <c r="E11" i="7"/>
  <c r="H11" i="7" s="1"/>
  <c r="E8" i="7"/>
  <c r="E9" i="7"/>
  <c r="H9" i="7" s="1"/>
  <c r="E10" i="7"/>
  <c r="G10" i="7" s="1"/>
  <c r="P17" i="11"/>
  <c r="P16" i="11"/>
  <c r="P15" i="11"/>
  <c r="P14" i="11"/>
  <c r="P13" i="11"/>
  <c r="P12" i="11"/>
  <c r="P11" i="11"/>
  <c r="P10" i="11"/>
  <c r="P9" i="11"/>
  <c r="P8" i="11"/>
  <c r="B2" i="11"/>
  <c r="B2" i="5"/>
  <c r="B2" i="10"/>
  <c r="B2" i="3"/>
  <c r="B2" i="4"/>
  <c r="B2" i="9"/>
  <c r="B3" i="1"/>
  <c r="G25" i="5"/>
  <c r="G24" i="5"/>
  <c r="G12" i="7" l="1"/>
  <c r="G8" i="7"/>
  <c r="G11" i="7"/>
  <c r="G9" i="7"/>
  <c r="H8" i="7"/>
  <c r="H10" i="7"/>
  <c r="BC18" i="7"/>
  <c r="BC20" i="7" s="1"/>
  <c r="P7" i="7"/>
  <c r="Q7" i="7" s="1"/>
  <c r="L8" i="7"/>
  <c r="L10" i="7" s="1"/>
  <c r="P8" i="7"/>
  <c r="Q8" i="7" s="1"/>
  <c r="P9" i="7"/>
  <c r="Q9" i="7" s="1"/>
  <c r="P16" i="7"/>
  <c r="Q16" i="7" s="1"/>
  <c r="L17" i="7"/>
  <c r="L19" i="7" s="1"/>
  <c r="P17" i="7"/>
  <c r="Q17" i="7" s="1"/>
  <c r="P18" i="7"/>
  <c r="Q18" i="7" s="1"/>
  <c r="L30" i="7"/>
  <c r="L20" i="7" s="1"/>
  <c r="L37" i="7"/>
  <c r="L38" i="7" s="1"/>
  <c r="L41" i="7" s="1"/>
  <c r="Q19" i="7" l="1"/>
  <c r="Q20" i="7" s="1"/>
  <c r="Q10" i="7"/>
  <c r="Q11" i="7" s="1"/>
  <c r="L22" i="7"/>
  <c r="L24" i="7" s="1"/>
  <c r="L26" i="7" s="1"/>
  <c r="AP12" i="7" l="1"/>
  <c r="AP11" i="7"/>
  <c r="AQ11" i="7" s="1"/>
  <c r="AR11" i="7" s="1"/>
  <c r="AP10" i="7"/>
  <c r="AQ10" i="7" s="1"/>
  <c r="AR10" i="7" s="1"/>
  <c r="AP8" i="7"/>
  <c r="AQ8" i="7" s="1"/>
  <c r="AR8" i="7" s="1"/>
  <c r="AP7" i="7"/>
  <c r="AQ7" i="7" s="1"/>
  <c r="AR7" i="7" s="1"/>
  <c r="AP6" i="7"/>
  <c r="AQ6" i="7" s="1"/>
  <c r="AR6" i="7" s="1"/>
  <c r="AO20" i="7"/>
  <c r="AO22" i="7" s="1"/>
  <c r="AO24" i="7" s="1"/>
  <c r="AO13" i="7"/>
  <c r="AQ12" i="7"/>
  <c r="AR12" i="7" s="1"/>
  <c r="AQ9" i="7"/>
  <c r="AR9" i="7" s="1"/>
  <c r="AU7" i="7"/>
  <c r="AU9" i="7" s="1"/>
  <c r="AU11" i="7" s="1"/>
  <c r="B35" i="10"/>
  <c r="B34" i="10"/>
  <c r="B33" i="10"/>
  <c r="B32" i="10"/>
  <c r="B31" i="10"/>
  <c r="B30" i="10"/>
  <c r="B29" i="10"/>
  <c r="B28" i="10"/>
  <c r="B27" i="10"/>
  <c r="B26" i="10"/>
  <c r="B25" i="10"/>
  <c r="B24" i="10"/>
  <c r="B23" i="10"/>
  <c r="B17" i="10"/>
  <c r="B16" i="10"/>
  <c r="B15" i="10"/>
  <c r="B14" i="10"/>
  <c r="B13" i="10"/>
  <c r="B12" i="10"/>
  <c r="B11" i="10"/>
  <c r="B10" i="10"/>
  <c r="B9" i="10"/>
  <c r="B8" i="10"/>
  <c r="B7" i="10"/>
  <c r="AU13" i="7" l="1"/>
  <c r="AU14" i="7" s="1"/>
  <c r="AU16" i="7" s="1"/>
  <c r="AU18" i="7" l="1"/>
  <c r="AU20" i="7" s="1"/>
  <c r="AQ5" i="7" s="1"/>
  <c r="AQ13" i="7" l="1"/>
  <c r="AR5" i="7"/>
  <c r="AR13" i="7" s="1"/>
  <c r="Q45" i="3" l="1"/>
  <c r="R45" i="3"/>
  <c r="S45" i="3"/>
  <c r="T45" i="3"/>
  <c r="Q46" i="3"/>
  <c r="R46" i="3"/>
  <c r="S46" i="3"/>
  <c r="T46" i="3"/>
  <c r="Q47" i="3"/>
  <c r="R47" i="3"/>
  <c r="S47" i="3"/>
  <c r="T47" i="3"/>
  <c r="Q48" i="3"/>
  <c r="R48" i="3"/>
  <c r="S48" i="3"/>
  <c r="T48" i="3"/>
  <c r="Q49" i="3"/>
  <c r="R49" i="3"/>
  <c r="S49" i="3"/>
  <c r="T49" i="3"/>
  <c r="Q50" i="3"/>
  <c r="R50" i="3"/>
  <c r="S50" i="3"/>
  <c r="T50" i="3"/>
  <c r="Q51" i="3"/>
  <c r="R51" i="3"/>
  <c r="S51" i="3"/>
  <c r="T51" i="3"/>
  <c r="U49" i="3" l="1"/>
  <c r="U45" i="3"/>
  <c r="V49" i="3"/>
  <c r="U50" i="3"/>
  <c r="V45" i="3"/>
  <c r="V51" i="3"/>
  <c r="U48" i="3"/>
  <c r="R52" i="3"/>
  <c r="U47" i="3"/>
  <c r="V50" i="3"/>
  <c r="V48" i="3"/>
  <c r="V47" i="3"/>
  <c r="U51" i="3"/>
  <c r="U46" i="3"/>
  <c r="S52" i="3"/>
  <c r="V46" i="3"/>
  <c r="S25" i="3" l="1"/>
  <c r="T25" i="3" s="1"/>
  <c r="S32" i="3"/>
  <c r="T32" i="3" s="1"/>
  <c r="S31" i="3"/>
  <c r="T31" i="3" s="1"/>
  <c r="S30" i="3"/>
  <c r="T30" i="3" s="1"/>
  <c r="T34" i="3"/>
  <c r="S27" i="3"/>
  <c r="T27" i="3" s="1"/>
  <c r="T52" i="3"/>
  <c r="V52" i="3" s="1"/>
  <c r="S19" i="3" s="1"/>
  <c r="T19" i="3" s="1"/>
  <c r="S37" i="3"/>
  <c r="T37" i="3" s="1"/>
  <c r="S33" i="3"/>
  <c r="T33" i="3" s="1"/>
  <c r="U52" i="3"/>
  <c r="T28" i="3"/>
  <c r="S29" i="3"/>
  <c r="T29" i="3" s="1"/>
  <c r="G23" i="5"/>
  <c r="G29" i="5" s="1"/>
  <c r="E23" i="1" l="1"/>
  <c r="H22" i="1"/>
  <c r="H20" i="1"/>
  <c r="H19" i="1"/>
  <c r="H17" i="1"/>
  <c r="H16" i="1"/>
  <c r="C23" i="1" l="1"/>
  <c r="L28" i="19" l="1"/>
  <c r="AA12" i="18"/>
  <c r="M30" i="19"/>
  <c r="M28" i="19"/>
  <c r="L26" i="1"/>
  <c r="L31" i="19" s="1"/>
  <c r="M31" i="19" s="1"/>
  <c r="L27" i="1"/>
  <c r="L32" i="19" s="1"/>
  <c r="M32" i="19" s="1"/>
  <c r="D25" i="9"/>
  <c r="D27" i="9"/>
  <c r="D30" i="9"/>
  <c r="D20" i="9"/>
  <c r="D18" i="9"/>
  <c r="D11" i="9"/>
  <c r="D19" i="9"/>
  <c r="D29" i="9"/>
  <c r="D17" i="9"/>
  <c r="D16" i="9"/>
  <c r="D14" i="9"/>
  <c r="D13" i="9"/>
  <c r="D28" i="9"/>
  <c r="D26" i="9"/>
  <c r="D15" i="9"/>
  <c r="D12" i="9"/>
  <c r="AA12" i="3"/>
  <c r="Z17" i="9"/>
  <c r="D42" i="9"/>
  <c r="D45" i="9"/>
  <c r="D54" i="9"/>
  <c r="D41" i="9"/>
  <c r="D39" i="9"/>
  <c r="Z16" i="9"/>
  <c r="D50" i="9"/>
  <c r="Z15" i="9"/>
  <c r="D40" i="9"/>
  <c r="Z14" i="9"/>
  <c r="Z13" i="9"/>
  <c r="D38" i="9"/>
  <c r="Z12" i="9"/>
  <c r="D37" i="9"/>
  <c r="F27" i="1"/>
  <c r="D36" i="9"/>
  <c r="Z20" i="9"/>
  <c r="Z10" i="9"/>
  <c r="D48" i="9"/>
  <c r="Z19" i="9"/>
  <c r="D47" i="9"/>
  <c r="Z8" i="9"/>
  <c r="D46" i="9"/>
  <c r="Z11" i="9"/>
  <c r="Z18" i="9"/>
  <c r="D44" i="9"/>
  <c r="Z9" i="9"/>
  <c r="D23" i="1"/>
  <c r="D22" i="1"/>
  <c r="D21" i="1"/>
  <c r="D20" i="1"/>
  <c r="D19" i="1"/>
  <c r="D18" i="1"/>
  <c r="D17" i="1"/>
  <c r="D16" i="1"/>
  <c r="F23" i="1"/>
  <c r="H18" i="1"/>
  <c r="H21" i="1"/>
  <c r="S20" i="3" l="1"/>
  <c r="S20" i="18"/>
  <c r="AB25" i="18"/>
  <c r="AB30" i="18"/>
  <c r="AB20" i="18"/>
  <c r="AB22" i="18"/>
  <c r="AB27" i="18"/>
  <c r="AB28" i="18"/>
  <c r="AB31" i="18"/>
  <c r="AB24" i="18"/>
  <c r="AB26" i="18"/>
  <c r="AB21" i="18"/>
  <c r="AB29" i="18"/>
  <c r="AB23" i="18"/>
  <c r="AA29" i="3"/>
  <c r="AA31" i="3"/>
  <c r="AA23" i="3"/>
  <c r="AA24" i="3"/>
  <c r="AA27" i="3"/>
  <c r="AA30" i="3"/>
  <c r="AA21" i="3"/>
  <c r="AA25" i="3"/>
  <c r="AA26" i="3"/>
  <c r="AA28" i="3"/>
  <c r="AA20" i="3"/>
  <c r="AA22" i="3"/>
  <c r="D21" i="9"/>
  <c r="D31" i="9"/>
  <c r="H23" i="1"/>
  <c r="F26" i="1" s="1"/>
  <c r="C24" i="1"/>
  <c r="T20" i="3"/>
  <c r="S21" i="3"/>
  <c r="E13" i="3" s="1"/>
  <c r="G23" i="1"/>
  <c r="D8" i="4"/>
  <c r="D7" i="4"/>
  <c r="AB33" i="18" l="1"/>
  <c r="T20" i="18"/>
  <c r="E12" i="18"/>
  <c r="S21" i="18"/>
  <c r="S22" i="18" s="1"/>
  <c r="D33" i="9"/>
  <c r="AA32" i="3"/>
  <c r="S22" i="3"/>
  <c r="T21" i="3"/>
  <c r="E20" i="3"/>
  <c r="V20" i="18" l="1"/>
  <c r="S26" i="18"/>
  <c r="R20" i="18"/>
  <c r="V34" i="18"/>
  <c r="V39" i="18"/>
  <c r="V36" i="18"/>
  <c r="V25" i="18"/>
  <c r="V35" i="18"/>
  <c r="T22" i="18"/>
  <c r="V28" i="18"/>
  <c r="V33" i="18"/>
  <c r="V22" i="18"/>
  <c r="V29" i="18"/>
  <c r="V19" i="18"/>
  <c r="V31" i="18"/>
  <c r="V30" i="18"/>
  <c r="E13" i="18"/>
  <c r="F13" i="18" s="1"/>
  <c r="G13" i="18" s="1"/>
  <c r="H13" i="18" s="1"/>
  <c r="I13" i="18" s="1"/>
  <c r="J13" i="18" s="1"/>
  <c r="K13" i="18" s="1"/>
  <c r="L13" i="18" s="1"/>
  <c r="M13" i="18" s="1"/>
  <c r="N13" i="18" s="1"/>
  <c r="T21" i="18"/>
  <c r="V21" i="18"/>
  <c r="F12" i="18"/>
  <c r="D12" i="18"/>
  <c r="D11" i="18"/>
  <c r="U21" i="3"/>
  <c r="U25" i="3"/>
  <c r="F20" i="3"/>
  <c r="G20" i="3" s="1"/>
  <c r="H20" i="3" s="1"/>
  <c r="I20" i="3" s="1"/>
  <c r="J20" i="3" s="1"/>
  <c r="K20" i="3" s="1"/>
  <c r="L20" i="3" s="1"/>
  <c r="M20" i="3" s="1"/>
  <c r="N20" i="3" s="1"/>
  <c r="U29" i="3"/>
  <c r="U22" i="3"/>
  <c r="U33" i="3"/>
  <c r="U37" i="3"/>
  <c r="U27" i="3"/>
  <c r="U30" i="3"/>
  <c r="U32" i="3"/>
  <c r="U31" i="3"/>
  <c r="S26" i="3"/>
  <c r="T22" i="3"/>
  <c r="U28" i="3"/>
  <c r="U19" i="3"/>
  <c r="U34" i="3"/>
  <c r="U20" i="3"/>
  <c r="R20" i="3"/>
  <c r="E22" i="3"/>
  <c r="E21" i="3"/>
  <c r="F21" i="3" s="1"/>
  <c r="G21" i="3" s="1"/>
  <c r="H21" i="3" s="1"/>
  <c r="I21" i="3" s="1"/>
  <c r="J21" i="3" s="1"/>
  <c r="K21" i="3" s="1"/>
  <c r="L21" i="3" s="1"/>
  <c r="M21" i="3" s="1"/>
  <c r="N21" i="3" s="1"/>
  <c r="E19" i="3"/>
  <c r="F19" i="3" s="1"/>
  <c r="G19" i="3" s="1"/>
  <c r="H19" i="3" s="1"/>
  <c r="I19" i="3" s="1"/>
  <c r="J19" i="3" s="1"/>
  <c r="K19" i="3" s="1"/>
  <c r="L19" i="3" s="1"/>
  <c r="M19" i="3" s="1"/>
  <c r="N19" i="3" s="1"/>
  <c r="E25" i="3"/>
  <c r="F25" i="3" s="1"/>
  <c r="G25" i="3" s="1"/>
  <c r="H25" i="3" s="1"/>
  <c r="I25" i="3" s="1"/>
  <c r="J25" i="3" s="1"/>
  <c r="K25" i="3" s="1"/>
  <c r="L25" i="3" s="1"/>
  <c r="M25" i="3" s="1"/>
  <c r="N25" i="3" s="1"/>
  <c r="E24" i="3"/>
  <c r="F24" i="3" s="1"/>
  <c r="G24" i="3" s="1"/>
  <c r="H24" i="3" s="1"/>
  <c r="I24" i="3" s="1"/>
  <c r="J24" i="3" s="1"/>
  <c r="K24" i="3" s="1"/>
  <c r="L24" i="3" s="1"/>
  <c r="M24" i="3" s="1"/>
  <c r="N24" i="3" s="1"/>
  <c r="E17" i="3"/>
  <c r="E11" i="3"/>
  <c r="E23" i="3"/>
  <c r="F23" i="3" s="1"/>
  <c r="G23" i="3" s="1"/>
  <c r="H23" i="3" s="1"/>
  <c r="I23" i="3" s="1"/>
  <c r="J23" i="3" s="1"/>
  <c r="K23" i="3" s="1"/>
  <c r="L23" i="3" s="1"/>
  <c r="M23" i="3" s="1"/>
  <c r="N23" i="3" s="1"/>
  <c r="E26" i="3"/>
  <c r="F26" i="3" s="1"/>
  <c r="G26" i="3" s="1"/>
  <c r="H26" i="3" s="1"/>
  <c r="I26" i="3" s="1"/>
  <c r="J26" i="3" s="1"/>
  <c r="K26" i="3" s="1"/>
  <c r="L26" i="3" s="1"/>
  <c r="M26" i="3" s="1"/>
  <c r="N26" i="3" s="1"/>
  <c r="G56" i="1"/>
  <c r="G55" i="1"/>
  <c r="G52" i="1"/>
  <c r="B42" i="1"/>
  <c r="B41" i="1"/>
  <c r="K35" i="1"/>
  <c r="F39" i="1"/>
  <c r="F33" i="1"/>
  <c r="D13" i="18" l="1"/>
  <c r="D14" i="18" s="1"/>
  <c r="D22" i="18" s="1"/>
  <c r="D5" i="20"/>
  <c r="D9" i="20" s="1"/>
  <c r="E4" i="20"/>
  <c r="D17" i="18"/>
  <c r="D26" i="18"/>
  <c r="G12" i="18"/>
  <c r="F14" i="18"/>
  <c r="F32" i="18" s="1"/>
  <c r="D30" i="18"/>
  <c r="D32" i="18"/>
  <c r="D18" i="18"/>
  <c r="E14" i="18"/>
  <c r="F11" i="3"/>
  <c r="D11" i="3"/>
  <c r="F22" i="3"/>
  <c r="G22" i="3" s="1"/>
  <c r="H22" i="3" s="1"/>
  <c r="I22" i="3" s="1"/>
  <c r="J22" i="3" s="1"/>
  <c r="K22" i="3" s="1"/>
  <c r="L22" i="3" s="1"/>
  <c r="M22" i="3" s="1"/>
  <c r="N22" i="3" s="1"/>
  <c r="T26" i="3"/>
  <c r="U26" i="3"/>
  <c r="S35" i="3"/>
  <c r="S38" i="3" s="1"/>
  <c r="G58" i="1"/>
  <c r="E30" i="3"/>
  <c r="F30" i="3" s="1"/>
  <c r="G30" i="3" s="1"/>
  <c r="H30" i="3" s="1"/>
  <c r="I30" i="3" s="1"/>
  <c r="J30" i="3" s="1"/>
  <c r="K30" i="3" s="1"/>
  <c r="L30" i="3" s="1"/>
  <c r="M30" i="3" s="1"/>
  <c r="N30" i="3" s="1"/>
  <c r="F17" i="3"/>
  <c r="G57" i="1"/>
  <c r="G54" i="1"/>
  <c r="G53" i="1"/>
  <c r="D23" i="18" l="1"/>
  <c r="D19" i="18"/>
  <c r="D21" i="18"/>
  <c r="D20" i="18"/>
  <c r="D25" i="18"/>
  <c r="D24" i="18"/>
  <c r="E32" i="18"/>
  <c r="H12" i="18"/>
  <c r="G14" i="18"/>
  <c r="G32" i="18" s="1"/>
  <c r="T35" i="3"/>
  <c r="U35" i="3"/>
  <c r="M26" i="1"/>
  <c r="M25" i="1"/>
  <c r="M27" i="1"/>
  <c r="M23" i="1"/>
  <c r="G17" i="3"/>
  <c r="G11" i="3"/>
  <c r="F59" i="1"/>
  <c r="F9" i="1" s="1"/>
  <c r="D27" i="18" l="1"/>
  <c r="D29" i="18" s="1"/>
  <c r="D31" i="18" s="1"/>
  <c r="I12" i="18"/>
  <c r="H14" i="18"/>
  <c r="H32" i="18" s="1"/>
  <c r="T38" i="3"/>
  <c r="U38" i="3"/>
  <c r="E12" i="3"/>
  <c r="H11" i="3"/>
  <c r="H17" i="3"/>
  <c r="F28" i="1"/>
  <c r="F29" i="1" s="1"/>
  <c r="D50" i="18" l="1"/>
  <c r="D51" i="18" s="1"/>
  <c r="D52" i="18" s="1"/>
  <c r="J12" i="18"/>
  <c r="I14" i="18"/>
  <c r="I32" i="18" s="1"/>
  <c r="F12" i="3"/>
  <c r="I11" i="3"/>
  <c r="I17" i="3"/>
  <c r="K12" i="18" l="1"/>
  <c r="J14" i="18"/>
  <c r="J32" i="18" s="1"/>
  <c r="G12" i="3"/>
  <c r="J11" i="3"/>
  <c r="J17" i="3"/>
  <c r="L12" i="18" l="1"/>
  <c r="K14" i="18"/>
  <c r="K32" i="18" s="1"/>
  <c r="H12" i="3"/>
  <c r="K11" i="3"/>
  <c r="K17" i="3"/>
  <c r="M12" i="18" l="1"/>
  <c r="L14" i="18"/>
  <c r="L32" i="18" s="1"/>
  <c r="I12" i="3"/>
  <c r="L17" i="3"/>
  <c r="L11" i="3"/>
  <c r="N12" i="18" l="1"/>
  <c r="N14" i="18" s="1"/>
  <c r="N32" i="18" s="1"/>
  <c r="M14" i="18"/>
  <c r="M32" i="18" s="1"/>
  <c r="J12" i="3"/>
  <c r="M11" i="3"/>
  <c r="M17" i="3"/>
  <c r="K12" i="3" l="1"/>
  <c r="N11" i="3"/>
  <c r="N17" i="3"/>
  <c r="L12" i="3" l="1"/>
  <c r="M12" i="3" l="1"/>
  <c r="N12" i="3" l="1"/>
  <c r="B13" i="3" l="1"/>
  <c r="F13" i="3"/>
  <c r="G13" i="3" l="1"/>
  <c r="F14" i="3"/>
  <c r="E14" i="3"/>
  <c r="E18" i="3" l="1"/>
  <c r="H13" i="3"/>
  <c r="G14" i="3"/>
  <c r="F30" i="1" l="1"/>
  <c r="E27" i="3"/>
  <c r="A27" i="3" s="1"/>
  <c r="F18" i="3"/>
  <c r="I13" i="3"/>
  <c r="H14" i="3"/>
  <c r="E29" i="3" l="1"/>
  <c r="G18" i="3"/>
  <c r="F27" i="3"/>
  <c r="F29" i="3" s="1"/>
  <c r="H30" i="1"/>
  <c r="F31" i="1"/>
  <c r="J13" i="3"/>
  <c r="I14" i="3"/>
  <c r="F48" i="3" l="1"/>
  <c r="F49" i="3" s="1"/>
  <c r="F50" i="3" s="1"/>
  <c r="F31" i="3"/>
  <c r="E31" i="3"/>
  <c r="E48" i="3"/>
  <c r="E49" i="3" s="1"/>
  <c r="E50" i="3" s="1"/>
  <c r="F32" i="1"/>
  <c r="F34" i="1" s="1"/>
  <c r="F7" i="1" s="1"/>
  <c r="L50" i="1"/>
  <c r="H18" i="3"/>
  <c r="G27" i="3"/>
  <c r="G29" i="3" s="1"/>
  <c r="K13" i="3"/>
  <c r="J14" i="3"/>
  <c r="G48" i="3" l="1"/>
  <c r="G49" i="3" s="1"/>
  <c r="G50" i="3" s="1"/>
  <c r="G31" i="3"/>
  <c r="H27" i="3"/>
  <c r="H29" i="3" s="1"/>
  <c r="I18" i="3"/>
  <c r="L13" i="3"/>
  <c r="K14" i="3"/>
  <c r="H48" i="3" l="1"/>
  <c r="H49" i="3" s="1"/>
  <c r="H50" i="3" s="1"/>
  <c r="H31" i="3"/>
  <c r="I27" i="3"/>
  <c r="I29" i="3" s="1"/>
  <c r="J18" i="3"/>
  <c r="M13" i="3"/>
  <c r="L14" i="3"/>
  <c r="I48" i="3" l="1"/>
  <c r="I49" i="3" s="1"/>
  <c r="I50" i="3" s="1"/>
  <c r="I31" i="3"/>
  <c r="J27" i="3"/>
  <c r="J29" i="3" s="1"/>
  <c r="K18" i="3"/>
  <c r="M14" i="3"/>
  <c r="N13" i="3"/>
  <c r="J48" i="3" l="1"/>
  <c r="J49" i="3" s="1"/>
  <c r="J50" i="3" s="1"/>
  <c r="J31" i="3"/>
  <c r="L18" i="3"/>
  <c r="K27" i="3"/>
  <c r="K29" i="3" s="1"/>
  <c r="N14" i="3"/>
  <c r="K48" i="3" l="1"/>
  <c r="K49" i="3" s="1"/>
  <c r="K50" i="3" s="1"/>
  <c r="K31" i="3"/>
  <c r="L27" i="3"/>
  <c r="L29" i="3" s="1"/>
  <c r="M18" i="3"/>
  <c r="L48" i="3" l="1"/>
  <c r="L49" i="3" s="1"/>
  <c r="L50" i="3" s="1"/>
  <c r="L31" i="3"/>
  <c r="N18" i="3"/>
  <c r="M27" i="3"/>
  <c r="M29" i="3" s="1"/>
  <c r="M48" i="3" l="1"/>
  <c r="M49" i="3" s="1"/>
  <c r="M50" i="3" s="1"/>
  <c r="M31" i="3"/>
  <c r="N27" i="3"/>
  <c r="N29" i="3" s="1"/>
  <c r="N48" i="3" l="1"/>
  <c r="N49" i="3" s="1"/>
  <c r="N50" i="3" s="1"/>
  <c r="N31" i="3"/>
  <c r="D12" i="3" l="1"/>
  <c r="D13" i="3" l="1"/>
  <c r="D14" i="3" s="1"/>
  <c r="D25" i="3" l="1"/>
  <c r="D23" i="3"/>
  <c r="D17" i="3"/>
  <c r="D24" i="3"/>
  <c r="D20" i="3"/>
  <c r="D22" i="3"/>
  <c r="D26" i="3"/>
  <c r="D19" i="3"/>
  <c r="D21" i="3"/>
  <c r="D30" i="3"/>
  <c r="D18" i="3"/>
  <c r="D27" i="3" l="1"/>
  <c r="D29" i="3" l="1"/>
  <c r="D48" i="3" l="1"/>
  <c r="D49" i="3" s="1"/>
  <c r="D50" i="3" s="1"/>
  <c r="D31" i="3"/>
  <c r="D30" i="14" l="1"/>
  <c r="D42" i="14"/>
  <c r="D56" i="14"/>
  <c r="D73" i="14"/>
  <c r="D82" i="14"/>
  <c r="D29" i="14"/>
  <c r="D41" i="14"/>
  <c r="D55" i="14"/>
  <c r="D72" i="14"/>
  <c r="D81" i="14"/>
  <c r="P8" i="1"/>
  <c r="P9" i="1"/>
  <c r="P10" i="1"/>
  <c r="N3" i="4" l="1"/>
  <c r="F41" i="12"/>
  <c r="G3" i="9"/>
  <c r="N3" i="3"/>
  <c r="M3" i="1"/>
  <c r="N3" i="18"/>
  <c r="M3" i="19"/>
  <c r="I3" i="7"/>
  <c r="P3" i="5"/>
  <c r="P3" i="11"/>
  <c r="D3" i="10"/>
  <c r="R3" i="14"/>
  <c r="AR23" i="4" l="1"/>
  <c r="AR35" i="4"/>
  <c r="AR47" i="4"/>
  <c r="AR59" i="4"/>
  <c r="AR71" i="4"/>
  <c r="AR83" i="4"/>
  <c r="AR95" i="4"/>
  <c r="AR107" i="4"/>
  <c r="AR119" i="4"/>
  <c r="AR131" i="4"/>
  <c r="AR143" i="4"/>
  <c r="AR155" i="4"/>
  <c r="AR167" i="4"/>
  <c r="AR179" i="4"/>
  <c r="E18" i="18" l="1"/>
  <c r="F18" i="18" s="1"/>
  <c r="T26" i="18"/>
  <c r="E27" i="18"/>
  <c r="E29" i="18" s="1"/>
  <c r="S37" i="18"/>
  <c r="S40" i="18" s="1"/>
  <c r="T37" i="18"/>
  <c r="A27" i="18" l="1"/>
  <c r="T40" i="18"/>
  <c r="V40" i="18"/>
  <c r="E31" i="18"/>
  <c r="E50" i="18"/>
  <c r="G18" i="18"/>
  <c r="F27" i="18"/>
  <c r="F29" i="18" s="1"/>
  <c r="V37" i="18"/>
  <c r="H18" i="18" l="1"/>
  <c r="G27" i="18"/>
  <c r="G29" i="18" s="1"/>
  <c r="E51" i="18"/>
  <c r="E52" i="18" s="1"/>
  <c r="G43" i="19"/>
  <c r="F31" i="18"/>
  <c r="F50" i="18"/>
  <c r="F51" i="18" l="1"/>
  <c r="F52" i="18"/>
  <c r="G31" i="18"/>
  <c r="G50" i="18"/>
  <c r="H27" i="18"/>
  <c r="H29" i="18" s="1"/>
  <c r="I18" i="18"/>
  <c r="I27" i="18" l="1"/>
  <c r="I29" i="18" s="1"/>
  <c r="J18" i="18"/>
  <c r="G51" i="18"/>
  <c r="G52" i="18" s="1"/>
  <c r="H31" i="18"/>
  <c r="H50" i="18"/>
  <c r="H51" i="18" l="1"/>
  <c r="H52" i="18" s="1"/>
  <c r="J27" i="18"/>
  <c r="J29" i="18" s="1"/>
  <c r="K18" i="18"/>
  <c r="I31" i="18"/>
  <c r="I50" i="18"/>
  <c r="I51" i="18" l="1"/>
  <c r="I52" i="18" s="1"/>
  <c r="K27" i="18"/>
  <c r="K29" i="18" s="1"/>
  <c r="L18" i="18"/>
  <c r="J31" i="18"/>
  <c r="J50" i="18"/>
  <c r="J51" i="18" l="1"/>
  <c r="J52" i="18" s="1"/>
  <c r="L27" i="18"/>
  <c r="L29" i="18" s="1"/>
  <c r="M18" i="18"/>
  <c r="K50" i="18"/>
  <c r="K31" i="18"/>
  <c r="K51" i="18" l="1"/>
  <c r="K52" i="18" s="1"/>
  <c r="M27" i="18"/>
  <c r="M29" i="18" s="1"/>
  <c r="N18" i="18"/>
  <c r="N27" i="18" s="1"/>
  <c r="N29" i="18" s="1"/>
  <c r="L50" i="18"/>
  <c r="L31" i="18"/>
  <c r="L51" i="18" l="1"/>
  <c r="L52" i="18" s="1"/>
  <c r="M50" i="18"/>
  <c r="M31" i="18"/>
  <c r="N50" i="18"/>
  <c r="N31" i="18"/>
  <c r="M51" i="18" l="1"/>
  <c r="M52" i="18" s="1"/>
  <c r="N51" i="18"/>
  <c r="N52" i="18" s="1"/>
  <c r="G18" i="19"/>
  <c r="G20" i="19" s="1"/>
  <c r="G19" i="19"/>
  <c r="G23" i="19" s="1"/>
  <c r="M93" i="18"/>
  <c r="N93" i="18"/>
  <c r="M100" i="18"/>
  <c r="N100" i="18"/>
  <c r="I86" i="18" a="1"/>
  <c r="I86" i="18" s="1"/>
  <c r="I100" i="18" s="1"/>
  <c r="J86" i="18" a="1"/>
  <c r="J86" i="18" s="1"/>
  <c r="J100" i="18" s="1"/>
  <c r="K86" i="18" a="1"/>
  <c r="K86" i="18" s="1"/>
  <c r="K100" i="18" s="1"/>
  <c r="L86" i="18" a="1"/>
  <c r="L86" i="18" s="1"/>
  <c r="L93" i="18" l="1"/>
  <c r="L100" i="18"/>
  <c r="J93" i="18"/>
  <c r="I93" i="18"/>
  <c r="K93" i="18"/>
  <c r="D6" i="4" l="1"/>
  <c r="D9" i="4"/>
  <c r="D12" i="4"/>
  <c r="D13" i="4"/>
  <c r="E13" i="4"/>
  <c r="F13" i="4"/>
  <c r="G13" i="4"/>
  <c r="H13" i="4"/>
  <c r="I13" i="4"/>
  <c r="D14" i="4"/>
  <c r="E14" i="4"/>
  <c r="F14" i="4"/>
  <c r="G14" i="4"/>
  <c r="H14" i="4"/>
  <c r="I14" i="4"/>
  <c r="D15" i="4"/>
  <c r="E15" i="4"/>
  <c r="F15" i="4"/>
  <c r="G15" i="4"/>
  <c r="H15" i="4"/>
  <c r="I15" i="4"/>
  <c r="D16" i="4"/>
  <c r="E16" i="4"/>
  <c r="F16" i="4"/>
  <c r="G16" i="4"/>
  <c r="H16" i="4"/>
  <c r="I16" i="4"/>
  <c r="D17" i="4"/>
  <c r="E17" i="4"/>
  <c r="F17" i="4"/>
  <c r="G17" i="4"/>
  <c r="H17" i="4"/>
  <c r="I17" i="4"/>
  <c r="D18" i="4"/>
  <c r="E18" i="4"/>
  <c r="F18" i="4"/>
  <c r="G18" i="4"/>
  <c r="H18" i="4"/>
  <c r="I18" i="4"/>
  <c r="D19" i="4"/>
  <c r="E19" i="4"/>
  <c r="F19" i="4"/>
  <c r="G19" i="4"/>
  <c r="H19" i="4"/>
  <c r="I19" i="4"/>
  <c r="D20" i="4"/>
  <c r="E20" i="4"/>
  <c r="F20" i="4"/>
  <c r="G20" i="4"/>
  <c r="H20" i="4"/>
  <c r="I20" i="4"/>
  <c r="D21" i="4"/>
  <c r="E21" i="4"/>
  <c r="F21" i="4"/>
  <c r="G21" i="4"/>
  <c r="H21" i="4"/>
  <c r="I21" i="4"/>
  <c r="D22" i="4"/>
  <c r="E22" i="4"/>
  <c r="F22" i="4"/>
  <c r="G22" i="4"/>
  <c r="H22" i="4"/>
  <c r="I22" i="4"/>
  <c r="D23" i="4"/>
  <c r="E23" i="4"/>
  <c r="F23" i="4"/>
  <c r="G23" i="4"/>
  <c r="H23" i="4"/>
  <c r="I23" i="4"/>
  <c r="D24" i="4"/>
  <c r="E24" i="4"/>
  <c r="F24" i="4"/>
  <c r="G24" i="4"/>
  <c r="H24" i="4"/>
  <c r="I24" i="4"/>
  <c r="K24" i="4"/>
  <c r="L24" i="4"/>
  <c r="M24" i="4"/>
  <c r="N24" i="4"/>
  <c r="D25" i="4"/>
  <c r="E25" i="4"/>
  <c r="F25" i="4"/>
  <c r="G25" i="4"/>
  <c r="H25" i="4"/>
  <c r="I25" i="4"/>
  <c r="D26" i="4"/>
  <c r="E26" i="4"/>
  <c r="F26" i="4"/>
  <c r="G26" i="4"/>
  <c r="H26" i="4"/>
  <c r="I26" i="4"/>
  <c r="D27" i="4"/>
  <c r="E27" i="4"/>
  <c r="F27" i="4"/>
  <c r="G27" i="4"/>
  <c r="H27" i="4"/>
  <c r="I27" i="4"/>
  <c r="D28" i="4"/>
  <c r="E28" i="4"/>
  <c r="F28" i="4"/>
  <c r="G28" i="4"/>
  <c r="H28" i="4"/>
  <c r="I28" i="4"/>
  <c r="D29" i="4"/>
  <c r="E29" i="4"/>
  <c r="F29" i="4"/>
  <c r="G29" i="4"/>
  <c r="H29" i="4"/>
  <c r="I29" i="4"/>
  <c r="D30" i="4"/>
  <c r="E30" i="4"/>
  <c r="F30" i="4"/>
  <c r="G30" i="4"/>
  <c r="H30" i="4"/>
  <c r="I30" i="4"/>
  <c r="D31" i="4"/>
  <c r="E31" i="4"/>
  <c r="F31" i="4"/>
  <c r="G31" i="4"/>
  <c r="H31" i="4"/>
  <c r="I31" i="4"/>
  <c r="D32" i="4"/>
  <c r="E32" i="4"/>
  <c r="F32" i="4"/>
  <c r="G32" i="4"/>
  <c r="H32" i="4"/>
  <c r="I32" i="4"/>
  <c r="D33" i="4"/>
  <c r="E33" i="4"/>
  <c r="F33" i="4"/>
  <c r="G33" i="4"/>
  <c r="H33" i="4"/>
  <c r="I33" i="4"/>
  <c r="D34" i="4"/>
  <c r="E34" i="4"/>
  <c r="F34" i="4"/>
  <c r="G34" i="4"/>
  <c r="H34" i="4"/>
  <c r="I34" i="4"/>
  <c r="D35" i="4"/>
  <c r="E35" i="4"/>
  <c r="F35" i="4"/>
  <c r="G35" i="4"/>
  <c r="H35" i="4"/>
  <c r="I35" i="4"/>
  <c r="D36" i="4"/>
  <c r="E36" i="4"/>
  <c r="F36" i="4"/>
  <c r="G36" i="4"/>
  <c r="H36" i="4"/>
  <c r="I36" i="4"/>
  <c r="K36" i="4"/>
  <c r="L36" i="4"/>
  <c r="M36" i="4"/>
  <c r="N36" i="4"/>
  <c r="D37" i="4"/>
  <c r="E37" i="4"/>
  <c r="F37" i="4"/>
  <c r="G37" i="4"/>
  <c r="H37" i="4"/>
  <c r="I37" i="4"/>
  <c r="D38" i="4"/>
  <c r="E38" i="4"/>
  <c r="F38" i="4"/>
  <c r="G38" i="4"/>
  <c r="H38" i="4"/>
  <c r="I38" i="4"/>
  <c r="D39" i="4"/>
  <c r="E39" i="4"/>
  <c r="F39" i="4"/>
  <c r="G39" i="4"/>
  <c r="H39" i="4"/>
  <c r="I39" i="4"/>
  <c r="D40" i="4"/>
  <c r="E40" i="4"/>
  <c r="F40" i="4"/>
  <c r="G40" i="4"/>
  <c r="H40" i="4"/>
  <c r="I40" i="4"/>
  <c r="D41" i="4"/>
  <c r="E41" i="4"/>
  <c r="F41" i="4"/>
  <c r="G41" i="4"/>
  <c r="H41" i="4"/>
  <c r="I41" i="4"/>
  <c r="D42" i="4"/>
  <c r="E42" i="4"/>
  <c r="F42" i="4"/>
  <c r="G42" i="4"/>
  <c r="H42" i="4"/>
  <c r="I42" i="4"/>
  <c r="D43" i="4"/>
  <c r="E43" i="4"/>
  <c r="F43" i="4"/>
  <c r="G43" i="4"/>
  <c r="H43" i="4"/>
  <c r="I43" i="4"/>
  <c r="D44" i="4"/>
  <c r="E44" i="4"/>
  <c r="F44" i="4"/>
  <c r="G44" i="4"/>
  <c r="H44" i="4"/>
  <c r="I44" i="4"/>
  <c r="D45" i="4"/>
  <c r="E45" i="4"/>
  <c r="F45" i="4"/>
  <c r="G45" i="4"/>
  <c r="H45" i="4"/>
  <c r="I45" i="4"/>
  <c r="D46" i="4"/>
  <c r="E46" i="4"/>
  <c r="F46" i="4"/>
  <c r="G46" i="4"/>
  <c r="H46" i="4"/>
  <c r="I46" i="4"/>
  <c r="D47" i="4"/>
  <c r="E47" i="4"/>
  <c r="F47" i="4"/>
  <c r="G47" i="4"/>
  <c r="H47" i="4"/>
  <c r="I47" i="4"/>
  <c r="D48" i="4"/>
  <c r="E48" i="4"/>
  <c r="F48" i="4"/>
  <c r="G48" i="4"/>
  <c r="H48" i="4"/>
  <c r="I48" i="4"/>
  <c r="K48" i="4"/>
  <c r="L48" i="4"/>
  <c r="M48" i="4"/>
  <c r="N48" i="4"/>
  <c r="D49" i="4"/>
  <c r="E49" i="4"/>
  <c r="F49" i="4"/>
  <c r="G49" i="4"/>
  <c r="H49" i="4"/>
  <c r="I49" i="4"/>
  <c r="D50" i="4"/>
  <c r="E50" i="4"/>
  <c r="F50" i="4"/>
  <c r="G50" i="4"/>
  <c r="H50" i="4"/>
  <c r="I50" i="4"/>
  <c r="D51" i="4"/>
  <c r="E51" i="4"/>
  <c r="F51" i="4"/>
  <c r="G51" i="4"/>
  <c r="H51" i="4"/>
  <c r="I51" i="4"/>
  <c r="D52" i="4"/>
  <c r="E52" i="4"/>
  <c r="F52" i="4"/>
  <c r="G52" i="4"/>
  <c r="H52" i="4"/>
  <c r="I52" i="4"/>
  <c r="D53" i="4"/>
  <c r="E53" i="4"/>
  <c r="F53" i="4"/>
  <c r="G53" i="4"/>
  <c r="H53" i="4"/>
  <c r="I53" i="4"/>
  <c r="D54" i="4"/>
  <c r="E54" i="4"/>
  <c r="F54" i="4"/>
  <c r="G54" i="4"/>
  <c r="H54" i="4"/>
  <c r="I54" i="4"/>
  <c r="D55" i="4"/>
  <c r="E55" i="4"/>
  <c r="F55" i="4"/>
  <c r="G55" i="4"/>
  <c r="H55" i="4"/>
  <c r="I55" i="4"/>
  <c r="D56" i="4"/>
  <c r="E56" i="4"/>
  <c r="F56" i="4"/>
  <c r="G56" i="4"/>
  <c r="H56" i="4"/>
  <c r="I56" i="4"/>
  <c r="D57" i="4"/>
  <c r="E57" i="4"/>
  <c r="F57" i="4"/>
  <c r="G57" i="4"/>
  <c r="H57" i="4"/>
  <c r="I57" i="4"/>
  <c r="D58" i="4"/>
  <c r="E58" i="4"/>
  <c r="F58" i="4"/>
  <c r="G58" i="4"/>
  <c r="H58" i="4"/>
  <c r="I58" i="4"/>
  <c r="D59" i="4"/>
  <c r="E59" i="4"/>
  <c r="F59" i="4"/>
  <c r="G59" i="4"/>
  <c r="H59" i="4"/>
  <c r="I59" i="4"/>
  <c r="D60" i="4"/>
  <c r="E60" i="4"/>
  <c r="F60" i="4"/>
  <c r="G60" i="4"/>
  <c r="H60" i="4"/>
  <c r="I60" i="4"/>
  <c r="K60" i="4"/>
  <c r="L60" i="4"/>
  <c r="M60" i="4"/>
  <c r="N60" i="4"/>
  <c r="D61" i="4"/>
  <c r="E61" i="4"/>
  <c r="F61" i="4"/>
  <c r="G61" i="4"/>
  <c r="H61" i="4"/>
  <c r="I61" i="4"/>
  <c r="D62" i="4"/>
  <c r="E62" i="4"/>
  <c r="F62" i="4"/>
  <c r="G62" i="4"/>
  <c r="H62" i="4"/>
  <c r="I62" i="4"/>
  <c r="D63" i="4"/>
  <c r="E63" i="4"/>
  <c r="F63" i="4"/>
  <c r="G63" i="4"/>
  <c r="H63" i="4"/>
  <c r="I63" i="4"/>
  <c r="D64" i="4"/>
  <c r="E64" i="4"/>
  <c r="F64" i="4"/>
  <c r="G64" i="4"/>
  <c r="H64" i="4"/>
  <c r="I64" i="4"/>
  <c r="D65" i="4"/>
  <c r="E65" i="4"/>
  <c r="F65" i="4"/>
  <c r="G65" i="4"/>
  <c r="H65" i="4"/>
  <c r="I65" i="4"/>
  <c r="D66" i="4"/>
  <c r="E66" i="4"/>
  <c r="F66" i="4"/>
  <c r="G66" i="4"/>
  <c r="H66" i="4"/>
  <c r="I66" i="4"/>
  <c r="D67" i="4"/>
  <c r="E67" i="4"/>
  <c r="F67" i="4"/>
  <c r="G67" i="4"/>
  <c r="H67" i="4"/>
  <c r="I67" i="4"/>
  <c r="D68" i="4"/>
  <c r="E68" i="4"/>
  <c r="F68" i="4"/>
  <c r="G68" i="4"/>
  <c r="H68" i="4"/>
  <c r="I68" i="4"/>
  <c r="D69" i="4"/>
  <c r="E69" i="4"/>
  <c r="F69" i="4"/>
  <c r="G69" i="4"/>
  <c r="H69" i="4"/>
  <c r="I69" i="4"/>
  <c r="D70" i="4"/>
  <c r="E70" i="4"/>
  <c r="F70" i="4"/>
  <c r="G70" i="4"/>
  <c r="H70" i="4"/>
  <c r="I70" i="4"/>
  <c r="D71" i="4"/>
  <c r="E71" i="4"/>
  <c r="F71" i="4"/>
  <c r="G71" i="4"/>
  <c r="H71" i="4"/>
  <c r="I71" i="4"/>
  <c r="D72" i="4"/>
  <c r="E72" i="4"/>
  <c r="F72" i="4"/>
  <c r="G72" i="4"/>
  <c r="H72" i="4"/>
  <c r="I72" i="4"/>
  <c r="K72" i="4"/>
  <c r="L72" i="4"/>
  <c r="M72" i="4"/>
  <c r="N72" i="4"/>
  <c r="D73" i="4"/>
  <c r="E73" i="4"/>
  <c r="F73" i="4"/>
  <c r="G73" i="4"/>
  <c r="H73" i="4"/>
  <c r="I73" i="4"/>
  <c r="D74" i="4"/>
  <c r="E74" i="4"/>
  <c r="F74" i="4"/>
  <c r="G74" i="4"/>
  <c r="H74" i="4"/>
  <c r="I74" i="4"/>
  <c r="D75" i="4"/>
  <c r="E75" i="4"/>
  <c r="F75" i="4"/>
  <c r="G75" i="4"/>
  <c r="H75" i="4"/>
  <c r="I75" i="4"/>
  <c r="D76" i="4"/>
  <c r="E76" i="4"/>
  <c r="F76" i="4"/>
  <c r="G76" i="4"/>
  <c r="H76" i="4"/>
  <c r="I76" i="4"/>
  <c r="D77" i="4"/>
  <c r="E77" i="4"/>
  <c r="F77" i="4"/>
  <c r="G77" i="4"/>
  <c r="H77" i="4"/>
  <c r="I77" i="4"/>
  <c r="D78" i="4"/>
  <c r="E78" i="4"/>
  <c r="F78" i="4"/>
  <c r="G78" i="4"/>
  <c r="H78" i="4"/>
  <c r="I78" i="4"/>
  <c r="D79" i="4"/>
  <c r="E79" i="4"/>
  <c r="F79" i="4"/>
  <c r="G79" i="4"/>
  <c r="H79" i="4"/>
  <c r="I79" i="4"/>
  <c r="D80" i="4"/>
  <c r="E80" i="4"/>
  <c r="F80" i="4"/>
  <c r="G80" i="4"/>
  <c r="H80" i="4"/>
  <c r="I80" i="4"/>
  <c r="D81" i="4"/>
  <c r="E81" i="4"/>
  <c r="F81" i="4"/>
  <c r="G81" i="4"/>
  <c r="H81" i="4"/>
  <c r="I81" i="4"/>
  <c r="D82" i="4"/>
  <c r="E82" i="4"/>
  <c r="F82" i="4"/>
  <c r="G82" i="4"/>
  <c r="H82" i="4"/>
  <c r="I82" i="4"/>
  <c r="D83" i="4"/>
  <c r="E83" i="4"/>
  <c r="F83" i="4"/>
  <c r="G83" i="4"/>
  <c r="H83" i="4"/>
  <c r="I83" i="4"/>
  <c r="D84" i="4"/>
  <c r="E84" i="4"/>
  <c r="F84" i="4"/>
  <c r="G84" i="4"/>
  <c r="H84" i="4"/>
  <c r="I84" i="4"/>
  <c r="K84" i="4"/>
  <c r="L84" i="4"/>
  <c r="M84" i="4"/>
  <c r="N84" i="4"/>
  <c r="D85" i="4"/>
  <c r="E85" i="4"/>
  <c r="F85" i="4"/>
  <c r="G85" i="4"/>
  <c r="H85" i="4"/>
  <c r="I85" i="4"/>
  <c r="D86" i="4"/>
  <c r="E86" i="4"/>
  <c r="F86" i="4"/>
  <c r="G86" i="4"/>
  <c r="H86" i="4"/>
  <c r="I86" i="4"/>
  <c r="D87" i="4"/>
  <c r="E87" i="4"/>
  <c r="F87" i="4"/>
  <c r="G87" i="4"/>
  <c r="H87" i="4"/>
  <c r="I87" i="4"/>
  <c r="D88" i="4"/>
  <c r="E88" i="4"/>
  <c r="F88" i="4"/>
  <c r="G88" i="4"/>
  <c r="H88" i="4"/>
  <c r="I88" i="4"/>
  <c r="D89" i="4"/>
  <c r="E89" i="4"/>
  <c r="F89" i="4"/>
  <c r="G89" i="4"/>
  <c r="H89" i="4"/>
  <c r="I89" i="4"/>
  <c r="D90" i="4"/>
  <c r="E90" i="4"/>
  <c r="F90" i="4"/>
  <c r="G90" i="4"/>
  <c r="H90" i="4"/>
  <c r="I90" i="4"/>
  <c r="D91" i="4"/>
  <c r="E91" i="4"/>
  <c r="F91" i="4"/>
  <c r="G91" i="4"/>
  <c r="H91" i="4"/>
  <c r="I91" i="4"/>
  <c r="D92" i="4"/>
  <c r="E92" i="4"/>
  <c r="F92" i="4"/>
  <c r="G92" i="4"/>
  <c r="H92" i="4"/>
  <c r="I92" i="4"/>
  <c r="D93" i="4"/>
  <c r="E93" i="4"/>
  <c r="F93" i="4"/>
  <c r="G93" i="4"/>
  <c r="H93" i="4"/>
  <c r="I93" i="4"/>
  <c r="D94" i="4"/>
  <c r="E94" i="4"/>
  <c r="F94" i="4"/>
  <c r="G94" i="4"/>
  <c r="H94" i="4"/>
  <c r="I94" i="4"/>
  <c r="D95" i="4"/>
  <c r="E95" i="4"/>
  <c r="F95" i="4"/>
  <c r="G95" i="4"/>
  <c r="H95" i="4"/>
  <c r="I95" i="4"/>
  <c r="D96" i="4"/>
  <c r="E96" i="4"/>
  <c r="F96" i="4"/>
  <c r="G96" i="4"/>
  <c r="H96" i="4"/>
  <c r="I96" i="4"/>
  <c r="K96" i="4"/>
  <c r="L96" i="4"/>
  <c r="M96" i="4"/>
  <c r="N96" i="4"/>
  <c r="D97" i="4"/>
  <c r="E97" i="4"/>
  <c r="F97" i="4"/>
  <c r="G97" i="4"/>
  <c r="H97" i="4"/>
  <c r="I97" i="4"/>
  <c r="D98" i="4"/>
  <c r="E98" i="4"/>
  <c r="F98" i="4"/>
  <c r="G98" i="4"/>
  <c r="H98" i="4"/>
  <c r="I98" i="4"/>
  <c r="D99" i="4"/>
  <c r="E99" i="4"/>
  <c r="F99" i="4"/>
  <c r="G99" i="4"/>
  <c r="H99" i="4"/>
  <c r="I99" i="4"/>
  <c r="D100" i="4"/>
  <c r="E100" i="4"/>
  <c r="F100" i="4"/>
  <c r="G100" i="4"/>
  <c r="H100" i="4"/>
  <c r="I100" i="4"/>
  <c r="D101" i="4"/>
  <c r="E101" i="4"/>
  <c r="F101" i="4"/>
  <c r="G101" i="4"/>
  <c r="H101" i="4"/>
  <c r="I101" i="4"/>
  <c r="D102" i="4"/>
  <c r="E102" i="4"/>
  <c r="F102" i="4"/>
  <c r="G102" i="4"/>
  <c r="H102" i="4"/>
  <c r="I102" i="4"/>
  <c r="D103" i="4"/>
  <c r="E103" i="4"/>
  <c r="F103" i="4"/>
  <c r="G103" i="4"/>
  <c r="H103" i="4"/>
  <c r="I103" i="4"/>
  <c r="D104" i="4"/>
  <c r="E104" i="4"/>
  <c r="F104" i="4"/>
  <c r="G104" i="4"/>
  <c r="H104" i="4"/>
  <c r="I104" i="4"/>
  <c r="D105" i="4"/>
  <c r="E105" i="4"/>
  <c r="F105" i="4"/>
  <c r="G105" i="4"/>
  <c r="H105" i="4"/>
  <c r="I105" i="4"/>
  <c r="D106" i="4"/>
  <c r="E106" i="4"/>
  <c r="F106" i="4"/>
  <c r="G106" i="4"/>
  <c r="H106" i="4"/>
  <c r="I106" i="4"/>
  <c r="D107" i="4"/>
  <c r="E107" i="4"/>
  <c r="F107" i="4"/>
  <c r="G107" i="4"/>
  <c r="H107" i="4"/>
  <c r="I107" i="4"/>
  <c r="D108" i="4"/>
  <c r="E108" i="4"/>
  <c r="F108" i="4"/>
  <c r="G108" i="4"/>
  <c r="H108" i="4"/>
  <c r="I108" i="4"/>
  <c r="K108" i="4"/>
  <c r="L108" i="4"/>
  <c r="M108" i="4"/>
  <c r="N108" i="4"/>
  <c r="D109" i="4"/>
  <c r="E109" i="4"/>
  <c r="F109" i="4"/>
  <c r="G109" i="4"/>
  <c r="H109" i="4"/>
  <c r="I109" i="4"/>
  <c r="D110" i="4"/>
  <c r="E110" i="4"/>
  <c r="F110" i="4"/>
  <c r="G110" i="4"/>
  <c r="H110" i="4"/>
  <c r="I110" i="4"/>
  <c r="D111" i="4"/>
  <c r="E111" i="4"/>
  <c r="F111" i="4"/>
  <c r="G111" i="4"/>
  <c r="H111" i="4"/>
  <c r="I111" i="4"/>
  <c r="D112" i="4"/>
  <c r="E112" i="4"/>
  <c r="F112" i="4"/>
  <c r="G112" i="4"/>
  <c r="H112" i="4"/>
  <c r="I112" i="4"/>
  <c r="D113" i="4"/>
  <c r="E113" i="4"/>
  <c r="F113" i="4"/>
  <c r="G113" i="4"/>
  <c r="H113" i="4"/>
  <c r="I113" i="4"/>
  <c r="D114" i="4"/>
  <c r="E114" i="4"/>
  <c r="F114" i="4"/>
  <c r="G114" i="4"/>
  <c r="H114" i="4"/>
  <c r="I114" i="4"/>
  <c r="D115" i="4"/>
  <c r="E115" i="4"/>
  <c r="F115" i="4"/>
  <c r="G115" i="4"/>
  <c r="H115" i="4"/>
  <c r="I115" i="4"/>
  <c r="D116" i="4"/>
  <c r="E116" i="4"/>
  <c r="F116" i="4"/>
  <c r="G116" i="4"/>
  <c r="H116" i="4"/>
  <c r="I116" i="4"/>
  <c r="D117" i="4"/>
  <c r="E117" i="4"/>
  <c r="F117" i="4"/>
  <c r="G117" i="4"/>
  <c r="H117" i="4"/>
  <c r="I117" i="4"/>
  <c r="D118" i="4"/>
  <c r="E118" i="4"/>
  <c r="F118" i="4"/>
  <c r="G118" i="4"/>
  <c r="H118" i="4"/>
  <c r="I118" i="4"/>
  <c r="D119" i="4"/>
  <c r="E119" i="4"/>
  <c r="F119" i="4"/>
  <c r="G119" i="4"/>
  <c r="H119" i="4"/>
  <c r="I119" i="4"/>
  <c r="D120" i="4"/>
  <c r="E120" i="4"/>
  <c r="F120" i="4"/>
  <c r="G120" i="4"/>
  <c r="H120" i="4"/>
  <c r="I120" i="4"/>
  <c r="K120" i="4"/>
  <c r="L120" i="4"/>
  <c r="M120" i="4"/>
  <c r="N120" i="4"/>
  <c r="D121" i="4"/>
  <c r="E121" i="4"/>
  <c r="F121" i="4"/>
  <c r="G121" i="4"/>
  <c r="H121" i="4"/>
  <c r="I121" i="4"/>
  <c r="D122" i="4"/>
  <c r="E122" i="4"/>
  <c r="F122" i="4"/>
  <c r="G122" i="4"/>
  <c r="H122" i="4"/>
  <c r="I122" i="4"/>
  <c r="D123" i="4"/>
  <c r="E123" i="4"/>
  <c r="F123" i="4"/>
  <c r="G123" i="4"/>
  <c r="H123" i="4"/>
  <c r="I123" i="4"/>
  <c r="D124" i="4"/>
  <c r="E124" i="4"/>
  <c r="F124" i="4"/>
  <c r="G124" i="4"/>
  <c r="H124" i="4"/>
  <c r="I124" i="4"/>
  <c r="D125" i="4"/>
  <c r="E125" i="4"/>
  <c r="F125" i="4"/>
  <c r="G125" i="4"/>
  <c r="H125" i="4"/>
  <c r="I125" i="4"/>
  <c r="D126" i="4"/>
  <c r="E126" i="4"/>
  <c r="F126" i="4"/>
  <c r="G126" i="4"/>
  <c r="H126" i="4"/>
  <c r="I126" i="4"/>
  <c r="D127" i="4"/>
  <c r="E127" i="4"/>
  <c r="F127" i="4"/>
  <c r="G127" i="4"/>
  <c r="H127" i="4"/>
  <c r="I127" i="4"/>
  <c r="D128" i="4"/>
  <c r="E128" i="4"/>
  <c r="F128" i="4"/>
  <c r="G128" i="4"/>
  <c r="H128" i="4"/>
  <c r="I128" i="4"/>
  <c r="D129" i="4"/>
  <c r="E129" i="4"/>
  <c r="F129" i="4"/>
  <c r="G129" i="4"/>
  <c r="H129" i="4"/>
  <c r="I129" i="4"/>
  <c r="D130" i="4"/>
  <c r="E130" i="4"/>
  <c r="F130" i="4"/>
  <c r="G130" i="4"/>
  <c r="H130" i="4"/>
  <c r="I130" i="4"/>
  <c r="D131" i="4"/>
  <c r="E131" i="4"/>
  <c r="F131" i="4"/>
  <c r="G131" i="4"/>
  <c r="H131" i="4"/>
  <c r="I131" i="4"/>
  <c r="D132" i="4"/>
  <c r="E132" i="4"/>
  <c r="F132" i="4"/>
  <c r="G132" i="4"/>
  <c r="H132" i="4"/>
  <c r="I132" i="4"/>
  <c r="K132" i="4"/>
  <c r="L132" i="4"/>
  <c r="M132" i="4"/>
  <c r="N132" i="4"/>
  <c r="D133" i="4"/>
  <c r="E133" i="4"/>
  <c r="F133" i="4"/>
  <c r="G133" i="4"/>
  <c r="H133" i="4"/>
  <c r="I133" i="4"/>
  <c r="D134" i="4"/>
  <c r="E134" i="4"/>
  <c r="F134" i="4"/>
  <c r="G134" i="4"/>
  <c r="H134" i="4"/>
  <c r="I134" i="4"/>
  <c r="D135" i="4"/>
  <c r="E135" i="4"/>
  <c r="F135" i="4"/>
  <c r="G135" i="4"/>
  <c r="H135" i="4"/>
  <c r="I135" i="4"/>
  <c r="D136" i="4"/>
  <c r="E136" i="4"/>
  <c r="F136" i="4"/>
  <c r="G136" i="4"/>
  <c r="H136" i="4"/>
  <c r="I136" i="4"/>
  <c r="D137" i="4"/>
  <c r="E137" i="4"/>
  <c r="F137" i="4"/>
  <c r="G137" i="4"/>
  <c r="H137" i="4"/>
  <c r="I137" i="4"/>
  <c r="D138" i="4"/>
  <c r="E138" i="4"/>
  <c r="F138" i="4"/>
  <c r="G138" i="4"/>
  <c r="H138" i="4"/>
  <c r="I138" i="4"/>
  <c r="D139" i="4"/>
  <c r="E139" i="4"/>
  <c r="F139" i="4"/>
  <c r="G139" i="4"/>
  <c r="H139" i="4"/>
  <c r="I139" i="4"/>
  <c r="D140" i="4"/>
  <c r="E140" i="4"/>
  <c r="F140" i="4"/>
  <c r="G140" i="4"/>
  <c r="H140" i="4"/>
  <c r="I140" i="4"/>
  <c r="D141" i="4"/>
  <c r="E141" i="4"/>
  <c r="F141" i="4"/>
  <c r="G141" i="4"/>
  <c r="H141" i="4"/>
  <c r="I141" i="4"/>
  <c r="D142" i="4"/>
  <c r="E142" i="4"/>
  <c r="F142" i="4"/>
  <c r="G142" i="4"/>
  <c r="H142" i="4"/>
  <c r="I142" i="4"/>
  <c r="D143" i="4"/>
  <c r="E143" i="4"/>
  <c r="F143" i="4"/>
  <c r="G143" i="4"/>
  <c r="H143" i="4"/>
  <c r="I143" i="4"/>
  <c r="D144" i="4"/>
  <c r="E144" i="4"/>
  <c r="F144" i="4"/>
  <c r="G144" i="4"/>
  <c r="H144" i="4"/>
  <c r="I144" i="4"/>
  <c r="K144" i="4"/>
  <c r="L144" i="4"/>
  <c r="M144" i="4"/>
  <c r="N144" i="4"/>
  <c r="D145" i="4"/>
  <c r="E145" i="4"/>
  <c r="F145" i="4"/>
  <c r="G145" i="4"/>
  <c r="H145" i="4"/>
  <c r="I145" i="4"/>
  <c r="D146" i="4"/>
  <c r="E146" i="4"/>
  <c r="F146" i="4"/>
  <c r="G146" i="4"/>
  <c r="H146" i="4"/>
  <c r="I146" i="4"/>
  <c r="D147" i="4"/>
  <c r="E147" i="4"/>
  <c r="F147" i="4"/>
  <c r="G147" i="4"/>
  <c r="H147" i="4"/>
  <c r="I147" i="4"/>
  <c r="D148" i="4"/>
  <c r="E148" i="4"/>
  <c r="F148" i="4"/>
  <c r="G148" i="4"/>
  <c r="H148" i="4"/>
  <c r="I148" i="4"/>
  <c r="D149" i="4"/>
  <c r="E149" i="4"/>
  <c r="F149" i="4"/>
  <c r="G149" i="4"/>
  <c r="H149" i="4"/>
  <c r="I149" i="4"/>
  <c r="D150" i="4"/>
  <c r="E150" i="4"/>
  <c r="F150" i="4"/>
  <c r="G150" i="4"/>
  <c r="H150" i="4"/>
  <c r="I150" i="4"/>
  <c r="D151" i="4"/>
  <c r="E151" i="4"/>
  <c r="F151" i="4"/>
  <c r="G151" i="4"/>
  <c r="H151" i="4"/>
  <c r="I151" i="4"/>
  <c r="D152" i="4"/>
  <c r="E152" i="4"/>
  <c r="F152" i="4"/>
  <c r="G152" i="4"/>
  <c r="H152" i="4"/>
  <c r="I152" i="4"/>
  <c r="D153" i="4"/>
  <c r="E153" i="4"/>
  <c r="F153" i="4"/>
  <c r="G153" i="4"/>
  <c r="H153" i="4"/>
  <c r="I153" i="4"/>
  <c r="D154" i="4"/>
  <c r="E154" i="4"/>
  <c r="F154" i="4"/>
  <c r="G154" i="4"/>
  <c r="H154" i="4"/>
  <c r="I154" i="4"/>
  <c r="D155" i="4"/>
  <c r="E155" i="4"/>
  <c r="F155" i="4"/>
  <c r="G155" i="4"/>
  <c r="H155" i="4"/>
  <c r="I155" i="4"/>
  <c r="D156" i="4"/>
  <c r="E156" i="4"/>
  <c r="F156" i="4"/>
  <c r="G156" i="4"/>
  <c r="H156" i="4"/>
  <c r="I156" i="4"/>
  <c r="K156" i="4"/>
  <c r="L156" i="4"/>
  <c r="M156" i="4"/>
  <c r="N156" i="4"/>
  <c r="D157" i="4"/>
  <c r="E157" i="4"/>
  <c r="F157" i="4"/>
  <c r="G157" i="4"/>
  <c r="H157" i="4"/>
  <c r="I157" i="4"/>
  <c r="D158" i="4"/>
  <c r="E158" i="4"/>
  <c r="F158" i="4"/>
  <c r="G158" i="4"/>
  <c r="H158" i="4"/>
  <c r="I158" i="4"/>
  <c r="D159" i="4"/>
  <c r="E159" i="4"/>
  <c r="F159" i="4"/>
  <c r="G159" i="4"/>
  <c r="H159" i="4"/>
  <c r="I159" i="4"/>
  <c r="D160" i="4"/>
  <c r="E160" i="4"/>
  <c r="F160" i="4"/>
  <c r="G160" i="4"/>
  <c r="H160" i="4"/>
  <c r="I160" i="4"/>
  <c r="D161" i="4"/>
  <c r="E161" i="4"/>
  <c r="F161" i="4"/>
  <c r="G161" i="4"/>
  <c r="H161" i="4"/>
  <c r="I161" i="4"/>
  <c r="D162" i="4"/>
  <c r="E162" i="4"/>
  <c r="F162" i="4"/>
  <c r="G162" i="4"/>
  <c r="H162" i="4"/>
  <c r="I162" i="4"/>
  <c r="D163" i="4"/>
  <c r="E163" i="4"/>
  <c r="F163" i="4"/>
  <c r="G163" i="4"/>
  <c r="H163" i="4"/>
  <c r="I163" i="4"/>
  <c r="D164" i="4"/>
  <c r="E164" i="4"/>
  <c r="F164" i="4"/>
  <c r="G164" i="4"/>
  <c r="H164" i="4"/>
  <c r="I164" i="4"/>
  <c r="D165" i="4"/>
  <c r="E165" i="4"/>
  <c r="F165" i="4"/>
  <c r="G165" i="4"/>
  <c r="H165" i="4"/>
  <c r="I165" i="4"/>
  <c r="D166" i="4"/>
  <c r="E166" i="4"/>
  <c r="F166" i="4"/>
  <c r="G166" i="4"/>
  <c r="H166" i="4"/>
  <c r="I166" i="4"/>
  <c r="D167" i="4"/>
  <c r="E167" i="4"/>
  <c r="F167" i="4"/>
  <c r="G167" i="4"/>
  <c r="H167" i="4"/>
  <c r="I167" i="4"/>
  <c r="D168" i="4"/>
  <c r="E168" i="4"/>
  <c r="F168" i="4"/>
  <c r="G168" i="4"/>
  <c r="H168" i="4"/>
  <c r="I168" i="4"/>
  <c r="K168" i="4"/>
  <c r="L168" i="4"/>
  <c r="M168" i="4"/>
  <c r="N168" i="4"/>
  <c r="D169" i="4"/>
  <c r="E169" i="4"/>
  <c r="F169" i="4"/>
  <c r="G169" i="4"/>
  <c r="H169" i="4"/>
  <c r="I169" i="4"/>
  <c r="D170" i="4"/>
  <c r="E170" i="4"/>
  <c r="F170" i="4"/>
  <c r="G170" i="4"/>
  <c r="H170" i="4"/>
  <c r="I170" i="4"/>
  <c r="D171" i="4"/>
  <c r="E171" i="4"/>
  <c r="F171" i="4"/>
  <c r="G171" i="4"/>
  <c r="H171" i="4"/>
  <c r="I171" i="4"/>
  <c r="D172" i="4"/>
  <c r="E172" i="4"/>
  <c r="F172" i="4"/>
  <c r="G172" i="4"/>
  <c r="H172" i="4"/>
  <c r="I172" i="4"/>
  <c r="D173" i="4"/>
  <c r="E173" i="4"/>
  <c r="F173" i="4"/>
  <c r="G173" i="4"/>
  <c r="H173" i="4"/>
  <c r="I173" i="4"/>
  <c r="D174" i="4"/>
  <c r="E174" i="4"/>
  <c r="F174" i="4"/>
  <c r="G174" i="4"/>
  <c r="H174" i="4"/>
  <c r="I174" i="4"/>
  <c r="D175" i="4"/>
  <c r="E175" i="4"/>
  <c r="F175" i="4"/>
  <c r="G175" i="4"/>
  <c r="H175" i="4"/>
  <c r="I175" i="4"/>
  <c r="D176" i="4"/>
  <c r="E176" i="4"/>
  <c r="F176" i="4"/>
  <c r="G176" i="4"/>
  <c r="H176" i="4"/>
  <c r="I176" i="4"/>
  <c r="D177" i="4"/>
  <c r="E177" i="4"/>
  <c r="F177" i="4"/>
  <c r="G177" i="4"/>
  <c r="H177" i="4"/>
  <c r="I177" i="4"/>
  <c r="D178" i="4"/>
  <c r="E178" i="4"/>
  <c r="F178" i="4"/>
  <c r="G178" i="4"/>
  <c r="H178" i="4"/>
  <c r="I178" i="4"/>
  <c r="D179" i="4"/>
  <c r="E179" i="4"/>
  <c r="F179" i="4"/>
  <c r="G179" i="4"/>
  <c r="H179" i="4"/>
  <c r="I179" i="4"/>
  <c r="D180" i="4"/>
  <c r="E180" i="4"/>
  <c r="F180" i="4"/>
  <c r="G180" i="4"/>
  <c r="H180" i="4"/>
  <c r="I180" i="4"/>
  <c r="K180" i="4"/>
  <c r="L180" i="4"/>
  <c r="M180" i="4"/>
  <c r="N180" i="4"/>
  <c r="D181" i="4"/>
  <c r="E181" i="4"/>
  <c r="F181" i="4"/>
  <c r="G181" i="4"/>
  <c r="H181" i="4"/>
  <c r="I181" i="4"/>
  <c r="D182" i="4"/>
  <c r="E182" i="4"/>
  <c r="F182" i="4"/>
  <c r="G182" i="4"/>
  <c r="H182" i="4"/>
  <c r="I182" i="4"/>
  <c r="D183" i="4"/>
  <c r="E183" i="4"/>
  <c r="F183" i="4"/>
  <c r="G183" i="4"/>
  <c r="H183" i="4"/>
  <c r="I183" i="4"/>
  <c r="D184" i="4"/>
  <c r="E184" i="4"/>
  <c r="F184" i="4"/>
  <c r="G184" i="4"/>
  <c r="H184" i="4"/>
  <c r="I184" i="4"/>
  <c r="D185" i="4"/>
  <c r="E185" i="4"/>
  <c r="F185" i="4"/>
  <c r="G185" i="4"/>
  <c r="H185" i="4"/>
  <c r="I185" i="4"/>
  <c r="D186" i="4"/>
  <c r="E186" i="4"/>
  <c r="F186" i="4"/>
  <c r="G186" i="4"/>
  <c r="H186" i="4"/>
  <c r="I186" i="4"/>
  <c r="D187" i="4"/>
  <c r="E187" i="4"/>
  <c r="F187" i="4"/>
  <c r="G187" i="4"/>
  <c r="H187" i="4"/>
  <c r="I187" i="4"/>
  <c r="D188" i="4"/>
  <c r="E188" i="4"/>
  <c r="F188" i="4"/>
  <c r="G188" i="4"/>
  <c r="H188" i="4"/>
  <c r="I188" i="4"/>
  <c r="D189" i="4"/>
  <c r="E189" i="4"/>
  <c r="F189" i="4"/>
  <c r="G189" i="4"/>
  <c r="H189" i="4"/>
  <c r="I189" i="4"/>
  <c r="D190" i="4"/>
  <c r="E190" i="4"/>
  <c r="F190" i="4"/>
  <c r="G190" i="4"/>
  <c r="H190" i="4"/>
  <c r="I190" i="4"/>
  <c r="D191" i="4"/>
  <c r="E191" i="4"/>
  <c r="F191" i="4"/>
  <c r="G191" i="4"/>
  <c r="H191" i="4"/>
  <c r="I191" i="4"/>
  <c r="D192" i="4"/>
  <c r="E192" i="4"/>
  <c r="F192" i="4"/>
  <c r="G192" i="4"/>
  <c r="H192" i="4"/>
  <c r="I192" i="4"/>
  <c r="K192" i="4"/>
  <c r="L192" i="4"/>
  <c r="D193" i="4"/>
  <c r="E193" i="4"/>
  <c r="F193" i="4"/>
  <c r="G193" i="4"/>
  <c r="H193" i="4"/>
  <c r="I193" i="4"/>
  <c r="D194" i="4"/>
  <c r="E194" i="4"/>
  <c r="F194" i="4"/>
  <c r="G194" i="4"/>
  <c r="H194" i="4"/>
  <c r="I194" i="4"/>
  <c r="D195" i="4"/>
  <c r="E195" i="4"/>
  <c r="F195" i="4"/>
  <c r="G195" i="4"/>
  <c r="H195" i="4"/>
  <c r="I195" i="4"/>
  <c r="D196" i="4"/>
  <c r="E196" i="4"/>
  <c r="F196" i="4"/>
  <c r="G196" i="4"/>
  <c r="H196" i="4"/>
  <c r="I196" i="4"/>
  <c r="D197" i="4"/>
  <c r="E197" i="4"/>
  <c r="F197" i="4"/>
  <c r="G197" i="4"/>
  <c r="H197" i="4"/>
  <c r="I197" i="4"/>
  <c r="D198" i="4"/>
  <c r="E198" i="4"/>
  <c r="F198" i="4"/>
  <c r="G198" i="4"/>
  <c r="H198" i="4"/>
  <c r="I198" i="4"/>
  <c r="D199" i="4"/>
  <c r="E199" i="4"/>
  <c r="F199" i="4"/>
  <c r="G199" i="4"/>
  <c r="H199" i="4"/>
  <c r="I199" i="4"/>
  <c r="D200" i="4"/>
  <c r="E200" i="4"/>
  <c r="F200" i="4"/>
  <c r="G200" i="4"/>
  <c r="H200" i="4"/>
  <c r="I200" i="4"/>
  <c r="D201" i="4"/>
  <c r="E201" i="4"/>
  <c r="F201" i="4"/>
  <c r="G201" i="4"/>
  <c r="H201" i="4"/>
  <c r="I201" i="4"/>
  <c r="D202" i="4"/>
  <c r="E202" i="4"/>
  <c r="F202" i="4"/>
  <c r="G202" i="4"/>
  <c r="H202" i="4"/>
  <c r="I202" i="4"/>
  <c r="D203" i="4"/>
  <c r="E203" i="4"/>
  <c r="F203" i="4"/>
  <c r="G203" i="4"/>
  <c r="H203" i="4"/>
  <c r="I203" i="4"/>
  <c r="D204" i="4"/>
  <c r="E204" i="4"/>
  <c r="F204" i="4"/>
  <c r="G204" i="4"/>
  <c r="H204" i="4"/>
  <c r="I204" i="4"/>
  <c r="K204" i="4"/>
  <c r="L204" i="4"/>
  <c r="D205" i="4"/>
  <c r="E205" i="4"/>
  <c r="F205" i="4"/>
  <c r="G205" i="4"/>
  <c r="H205" i="4"/>
  <c r="I205" i="4"/>
  <c r="D206" i="4"/>
  <c r="E206" i="4"/>
  <c r="F206" i="4"/>
  <c r="G206" i="4"/>
  <c r="H206" i="4"/>
  <c r="I206" i="4"/>
  <c r="D207" i="4"/>
  <c r="E207" i="4"/>
  <c r="F207" i="4"/>
  <c r="G207" i="4"/>
  <c r="H207" i="4"/>
  <c r="I207" i="4"/>
  <c r="D208" i="4"/>
  <c r="E208" i="4"/>
  <c r="F208" i="4"/>
  <c r="G208" i="4"/>
  <c r="H208" i="4"/>
  <c r="I208" i="4"/>
  <c r="D209" i="4"/>
  <c r="E209" i="4"/>
  <c r="F209" i="4"/>
  <c r="G209" i="4"/>
  <c r="H209" i="4"/>
  <c r="I209" i="4"/>
  <c r="D210" i="4"/>
  <c r="E210" i="4"/>
  <c r="F210" i="4"/>
  <c r="G210" i="4"/>
  <c r="H210" i="4"/>
  <c r="I210" i="4"/>
  <c r="D211" i="4"/>
  <c r="E211" i="4"/>
  <c r="F211" i="4"/>
  <c r="G211" i="4"/>
  <c r="H211" i="4"/>
  <c r="I211" i="4"/>
  <c r="D212" i="4"/>
  <c r="E212" i="4"/>
  <c r="F212" i="4"/>
  <c r="G212" i="4"/>
  <c r="H212" i="4"/>
  <c r="I212" i="4"/>
  <c r="D213" i="4"/>
  <c r="E213" i="4"/>
  <c r="F213" i="4"/>
  <c r="G213" i="4"/>
  <c r="H213" i="4"/>
  <c r="I213" i="4"/>
  <c r="D214" i="4"/>
  <c r="E214" i="4"/>
  <c r="F214" i="4"/>
  <c r="G214" i="4"/>
  <c r="H214" i="4"/>
  <c r="I214" i="4"/>
  <c r="D215" i="4"/>
  <c r="E215" i="4"/>
  <c r="F215" i="4"/>
  <c r="G215" i="4"/>
  <c r="H215" i="4"/>
  <c r="I215" i="4"/>
  <c r="D216" i="4"/>
  <c r="E216" i="4"/>
  <c r="F216" i="4"/>
  <c r="G216" i="4"/>
  <c r="H216" i="4"/>
  <c r="I216" i="4"/>
  <c r="K216" i="4"/>
  <c r="L216" i="4"/>
  <c r="D217" i="4"/>
  <c r="E217" i="4"/>
  <c r="F217" i="4"/>
  <c r="G217" i="4"/>
  <c r="H217" i="4"/>
  <c r="I217" i="4"/>
  <c r="D218" i="4"/>
  <c r="E218" i="4"/>
  <c r="F218" i="4"/>
  <c r="G218" i="4"/>
  <c r="H218" i="4"/>
  <c r="I218" i="4"/>
  <c r="D219" i="4"/>
  <c r="E219" i="4"/>
  <c r="F219" i="4"/>
  <c r="G219" i="4"/>
  <c r="H219" i="4"/>
  <c r="I219" i="4"/>
  <c r="D220" i="4"/>
  <c r="E220" i="4"/>
  <c r="F220" i="4"/>
  <c r="G220" i="4"/>
  <c r="H220" i="4"/>
  <c r="I220" i="4"/>
  <c r="D221" i="4"/>
  <c r="E221" i="4"/>
  <c r="F221" i="4"/>
  <c r="G221" i="4"/>
  <c r="H221" i="4"/>
  <c r="I221" i="4"/>
  <c r="D222" i="4"/>
  <c r="E222" i="4"/>
  <c r="F222" i="4"/>
  <c r="G222" i="4"/>
  <c r="H222" i="4"/>
  <c r="I222" i="4"/>
  <c r="D223" i="4"/>
  <c r="E223" i="4"/>
  <c r="F223" i="4"/>
  <c r="G223" i="4"/>
  <c r="H223" i="4"/>
  <c r="I223" i="4"/>
  <c r="D224" i="4"/>
  <c r="E224" i="4"/>
  <c r="F224" i="4"/>
  <c r="G224" i="4"/>
  <c r="H224" i="4"/>
  <c r="I224" i="4"/>
  <c r="D225" i="4"/>
  <c r="E225" i="4"/>
  <c r="F225" i="4"/>
  <c r="G225" i="4"/>
  <c r="H225" i="4"/>
  <c r="I225" i="4"/>
  <c r="D226" i="4"/>
  <c r="E226" i="4"/>
  <c r="F226" i="4"/>
  <c r="G226" i="4"/>
  <c r="H226" i="4"/>
  <c r="I226" i="4"/>
  <c r="D227" i="4"/>
  <c r="E227" i="4"/>
  <c r="F227" i="4"/>
  <c r="G227" i="4"/>
  <c r="H227" i="4"/>
  <c r="I227" i="4"/>
  <c r="D228" i="4"/>
  <c r="E228" i="4"/>
  <c r="F228" i="4"/>
  <c r="G228" i="4"/>
  <c r="H228" i="4"/>
  <c r="I228" i="4"/>
  <c r="K228" i="4"/>
  <c r="L228" i="4"/>
  <c r="D229" i="4"/>
  <c r="E229" i="4"/>
  <c r="F229" i="4"/>
  <c r="G229" i="4"/>
  <c r="H229" i="4"/>
  <c r="I229" i="4"/>
  <c r="D230" i="4"/>
  <c r="E230" i="4"/>
  <c r="F230" i="4"/>
  <c r="G230" i="4"/>
  <c r="H230" i="4"/>
  <c r="I230" i="4"/>
  <c r="D231" i="4"/>
  <c r="E231" i="4"/>
  <c r="F231" i="4"/>
  <c r="G231" i="4"/>
  <c r="H231" i="4"/>
  <c r="I231" i="4"/>
  <c r="D232" i="4"/>
  <c r="E232" i="4"/>
  <c r="F232" i="4"/>
  <c r="G232" i="4"/>
  <c r="H232" i="4"/>
  <c r="I232" i="4"/>
  <c r="D233" i="4"/>
  <c r="E233" i="4"/>
  <c r="F233" i="4"/>
  <c r="G233" i="4"/>
  <c r="H233" i="4"/>
  <c r="I233" i="4"/>
  <c r="D234" i="4"/>
  <c r="E234" i="4"/>
  <c r="F234" i="4"/>
  <c r="G234" i="4"/>
  <c r="H234" i="4"/>
  <c r="I234" i="4"/>
  <c r="D235" i="4"/>
  <c r="E235" i="4"/>
  <c r="F235" i="4"/>
  <c r="G235" i="4"/>
  <c r="H235" i="4"/>
  <c r="I235" i="4"/>
  <c r="D236" i="4"/>
  <c r="E236" i="4"/>
  <c r="F236" i="4"/>
  <c r="G236" i="4"/>
  <c r="H236" i="4"/>
  <c r="I236" i="4"/>
  <c r="D237" i="4"/>
  <c r="E237" i="4"/>
  <c r="F237" i="4"/>
  <c r="G237" i="4"/>
  <c r="H237" i="4"/>
  <c r="I237" i="4"/>
  <c r="D238" i="4"/>
  <c r="E238" i="4"/>
  <c r="F238" i="4"/>
  <c r="G238" i="4"/>
  <c r="H238" i="4"/>
  <c r="I238" i="4"/>
  <c r="D239" i="4"/>
  <c r="E239" i="4"/>
  <c r="F239" i="4"/>
  <c r="G239" i="4"/>
  <c r="H239" i="4"/>
  <c r="I239" i="4"/>
  <c r="D240" i="4"/>
  <c r="E240" i="4"/>
  <c r="F240" i="4"/>
  <c r="G240" i="4"/>
  <c r="H240" i="4"/>
  <c r="I240" i="4"/>
  <c r="K240" i="4"/>
  <c r="L240" i="4"/>
  <c r="D241" i="4"/>
  <c r="E241" i="4"/>
  <c r="F241" i="4"/>
  <c r="G241" i="4"/>
  <c r="H241" i="4"/>
  <c r="I241" i="4"/>
  <c r="D242" i="4"/>
  <c r="E242" i="4"/>
  <c r="F242" i="4"/>
  <c r="G242" i="4"/>
  <c r="H242" i="4"/>
  <c r="I242" i="4"/>
  <c r="D243" i="4"/>
  <c r="E243" i="4"/>
  <c r="F243" i="4"/>
  <c r="G243" i="4"/>
  <c r="H243" i="4"/>
  <c r="I243" i="4"/>
  <c r="D244" i="4"/>
  <c r="E244" i="4"/>
  <c r="F244" i="4"/>
  <c r="G244" i="4"/>
  <c r="H244" i="4"/>
  <c r="I244" i="4"/>
  <c r="D245" i="4"/>
  <c r="E245" i="4"/>
  <c r="F245" i="4"/>
  <c r="G245" i="4"/>
  <c r="H245" i="4"/>
  <c r="I245" i="4"/>
  <c r="D246" i="4"/>
  <c r="E246" i="4"/>
  <c r="F246" i="4"/>
  <c r="G246" i="4"/>
  <c r="H246" i="4"/>
  <c r="I246" i="4"/>
  <c r="D247" i="4"/>
  <c r="E247" i="4"/>
  <c r="F247" i="4"/>
  <c r="G247" i="4"/>
  <c r="H247" i="4"/>
  <c r="I247" i="4"/>
  <c r="D248" i="4"/>
  <c r="E248" i="4"/>
  <c r="F248" i="4"/>
  <c r="G248" i="4"/>
  <c r="H248" i="4"/>
  <c r="I248" i="4"/>
  <c r="D249" i="4"/>
  <c r="E249" i="4"/>
  <c r="F249" i="4"/>
  <c r="G249" i="4"/>
  <c r="H249" i="4"/>
  <c r="I249" i="4"/>
  <c r="D250" i="4"/>
  <c r="E250" i="4"/>
  <c r="F250" i="4"/>
  <c r="G250" i="4"/>
  <c r="H250" i="4"/>
  <c r="I250" i="4"/>
  <c r="D251" i="4"/>
  <c r="E251" i="4"/>
  <c r="F251" i="4"/>
  <c r="G251" i="4"/>
  <c r="H251" i="4"/>
  <c r="I251" i="4"/>
  <c r="D252" i="4"/>
  <c r="E252" i="4"/>
  <c r="F252" i="4"/>
  <c r="G252" i="4"/>
  <c r="H252" i="4"/>
  <c r="I252" i="4"/>
  <c r="K252" i="4"/>
  <c r="L252" i="4"/>
  <c r="D253" i="4"/>
  <c r="E253" i="4"/>
  <c r="F253" i="4"/>
  <c r="G253" i="4"/>
  <c r="H253" i="4"/>
  <c r="I253" i="4"/>
  <c r="D254" i="4"/>
  <c r="E254" i="4"/>
  <c r="F254" i="4"/>
  <c r="G254" i="4"/>
  <c r="H254" i="4"/>
  <c r="I254" i="4"/>
  <c r="D255" i="4"/>
  <c r="E255" i="4"/>
  <c r="F255" i="4"/>
  <c r="G255" i="4"/>
  <c r="H255" i="4"/>
  <c r="I255" i="4"/>
  <c r="D256" i="4"/>
  <c r="E256" i="4"/>
  <c r="F256" i="4"/>
  <c r="G256" i="4"/>
  <c r="H256" i="4"/>
  <c r="I256" i="4"/>
  <c r="D257" i="4"/>
  <c r="E257" i="4"/>
  <c r="F257" i="4"/>
  <c r="G257" i="4"/>
  <c r="H257" i="4"/>
  <c r="I257" i="4"/>
  <c r="D258" i="4"/>
  <c r="E258" i="4"/>
  <c r="F258" i="4"/>
  <c r="G258" i="4"/>
  <c r="H258" i="4"/>
  <c r="I258" i="4"/>
  <c r="D259" i="4"/>
  <c r="E259" i="4"/>
  <c r="F259" i="4"/>
  <c r="G259" i="4"/>
  <c r="H259" i="4"/>
  <c r="I259" i="4"/>
  <c r="D260" i="4"/>
  <c r="E260" i="4"/>
  <c r="F260" i="4"/>
  <c r="G260" i="4"/>
  <c r="H260" i="4"/>
  <c r="I260" i="4"/>
  <c r="D261" i="4"/>
  <c r="E261" i="4"/>
  <c r="F261" i="4"/>
  <c r="G261" i="4"/>
  <c r="H261" i="4"/>
  <c r="I261" i="4"/>
  <c r="D262" i="4"/>
  <c r="E262" i="4"/>
  <c r="F262" i="4"/>
  <c r="G262" i="4"/>
  <c r="H262" i="4"/>
  <c r="I262" i="4"/>
  <c r="D263" i="4"/>
  <c r="E263" i="4"/>
  <c r="F263" i="4"/>
  <c r="G263" i="4"/>
  <c r="H263" i="4"/>
  <c r="I263" i="4"/>
  <c r="D264" i="4"/>
  <c r="E264" i="4"/>
  <c r="F264" i="4"/>
  <c r="G264" i="4"/>
  <c r="H264" i="4"/>
  <c r="I264" i="4"/>
  <c r="K264" i="4"/>
  <c r="L264" i="4"/>
  <c r="D265" i="4"/>
  <c r="E265" i="4"/>
  <c r="F265" i="4"/>
  <c r="G265" i="4"/>
  <c r="H265" i="4"/>
  <c r="I265" i="4"/>
  <c r="D266" i="4"/>
  <c r="E266" i="4"/>
  <c r="F266" i="4"/>
  <c r="G266" i="4"/>
  <c r="H266" i="4"/>
  <c r="I266" i="4"/>
  <c r="D267" i="4"/>
  <c r="E267" i="4"/>
  <c r="F267" i="4"/>
  <c r="G267" i="4"/>
  <c r="H267" i="4"/>
  <c r="I267" i="4"/>
  <c r="D268" i="4"/>
  <c r="E268" i="4"/>
  <c r="F268" i="4"/>
  <c r="G268" i="4"/>
  <c r="H268" i="4"/>
  <c r="I268" i="4"/>
  <c r="D269" i="4"/>
  <c r="E269" i="4"/>
  <c r="F269" i="4"/>
  <c r="G269" i="4"/>
  <c r="H269" i="4"/>
  <c r="I269" i="4"/>
  <c r="D270" i="4"/>
  <c r="E270" i="4"/>
  <c r="F270" i="4"/>
  <c r="G270" i="4"/>
  <c r="H270" i="4"/>
  <c r="I270" i="4"/>
  <c r="D271" i="4"/>
  <c r="E271" i="4"/>
  <c r="F271" i="4"/>
  <c r="G271" i="4"/>
  <c r="H271" i="4"/>
  <c r="I271" i="4"/>
  <c r="D272" i="4"/>
  <c r="E272" i="4"/>
  <c r="F272" i="4"/>
  <c r="G272" i="4"/>
  <c r="H272" i="4"/>
  <c r="I272" i="4"/>
  <c r="D273" i="4"/>
  <c r="E273" i="4"/>
  <c r="F273" i="4"/>
  <c r="G273" i="4"/>
  <c r="H273" i="4"/>
  <c r="I273" i="4"/>
  <c r="D274" i="4"/>
  <c r="E274" i="4"/>
  <c r="F274" i="4"/>
  <c r="G274" i="4"/>
  <c r="H274" i="4"/>
  <c r="I274" i="4"/>
  <c r="D275" i="4"/>
  <c r="E275" i="4"/>
  <c r="F275" i="4"/>
  <c r="G275" i="4"/>
  <c r="H275" i="4"/>
  <c r="I275" i="4"/>
  <c r="D276" i="4"/>
  <c r="E276" i="4"/>
  <c r="F276" i="4"/>
  <c r="G276" i="4"/>
  <c r="H276" i="4"/>
  <c r="I276" i="4"/>
  <c r="K276" i="4"/>
  <c r="L276" i="4"/>
  <c r="D277" i="4"/>
  <c r="E277" i="4"/>
  <c r="F277" i="4"/>
  <c r="G277" i="4"/>
  <c r="H277" i="4"/>
  <c r="I277" i="4"/>
  <c r="D278" i="4"/>
  <c r="E278" i="4"/>
  <c r="F278" i="4"/>
  <c r="G278" i="4"/>
  <c r="H278" i="4"/>
  <c r="I278" i="4"/>
  <c r="D279" i="4"/>
  <c r="E279" i="4"/>
  <c r="F279" i="4"/>
  <c r="G279" i="4"/>
  <c r="H279" i="4"/>
  <c r="I279" i="4"/>
  <c r="D280" i="4"/>
  <c r="E280" i="4"/>
  <c r="F280" i="4"/>
  <c r="G280" i="4"/>
  <c r="H280" i="4"/>
  <c r="I280" i="4"/>
  <c r="D281" i="4"/>
  <c r="E281" i="4"/>
  <c r="F281" i="4"/>
  <c r="G281" i="4"/>
  <c r="H281" i="4"/>
  <c r="I281" i="4"/>
  <c r="D282" i="4"/>
  <c r="E282" i="4"/>
  <c r="F282" i="4"/>
  <c r="G282" i="4"/>
  <c r="H282" i="4"/>
  <c r="I282" i="4"/>
  <c r="D283" i="4"/>
  <c r="E283" i="4"/>
  <c r="F283" i="4"/>
  <c r="G283" i="4"/>
  <c r="H283" i="4"/>
  <c r="I283" i="4"/>
  <c r="D284" i="4"/>
  <c r="E284" i="4"/>
  <c r="F284" i="4"/>
  <c r="G284" i="4"/>
  <c r="H284" i="4"/>
  <c r="I284" i="4"/>
  <c r="D285" i="4"/>
  <c r="E285" i="4"/>
  <c r="F285" i="4"/>
  <c r="G285" i="4"/>
  <c r="H285" i="4"/>
  <c r="I285" i="4"/>
  <c r="D286" i="4"/>
  <c r="E286" i="4"/>
  <c r="F286" i="4"/>
  <c r="G286" i="4"/>
  <c r="H286" i="4"/>
  <c r="I286" i="4"/>
  <c r="D287" i="4"/>
  <c r="E287" i="4"/>
  <c r="F287" i="4"/>
  <c r="G287" i="4"/>
  <c r="H287" i="4"/>
  <c r="I287" i="4"/>
  <c r="D288" i="4"/>
  <c r="E288" i="4"/>
  <c r="F288" i="4"/>
  <c r="G288" i="4"/>
  <c r="H288" i="4"/>
  <c r="I288" i="4"/>
  <c r="K288" i="4"/>
  <c r="L288" i="4"/>
  <c r="D289" i="4"/>
  <c r="E289" i="4"/>
  <c r="F289" i="4"/>
  <c r="G289" i="4"/>
  <c r="H289" i="4"/>
  <c r="I289" i="4"/>
  <c r="D290" i="4"/>
  <c r="E290" i="4"/>
  <c r="F290" i="4"/>
  <c r="G290" i="4"/>
  <c r="H290" i="4"/>
  <c r="I290" i="4"/>
  <c r="D291" i="4"/>
  <c r="E291" i="4"/>
  <c r="F291" i="4"/>
  <c r="G291" i="4"/>
  <c r="H291" i="4"/>
  <c r="I291" i="4"/>
  <c r="D292" i="4"/>
  <c r="E292" i="4"/>
  <c r="F292" i="4"/>
  <c r="G292" i="4"/>
  <c r="H292" i="4"/>
  <c r="I292" i="4"/>
  <c r="D293" i="4"/>
  <c r="E293" i="4"/>
  <c r="F293" i="4"/>
  <c r="G293" i="4"/>
  <c r="H293" i="4"/>
  <c r="I293" i="4"/>
  <c r="D294" i="4"/>
  <c r="E294" i="4"/>
  <c r="F294" i="4"/>
  <c r="G294" i="4"/>
  <c r="H294" i="4"/>
  <c r="I294" i="4"/>
  <c r="D295" i="4"/>
  <c r="E295" i="4"/>
  <c r="F295" i="4"/>
  <c r="G295" i="4"/>
  <c r="H295" i="4"/>
  <c r="I295" i="4"/>
  <c r="D296" i="4"/>
  <c r="E296" i="4"/>
  <c r="F296" i="4"/>
  <c r="G296" i="4"/>
  <c r="H296" i="4"/>
  <c r="I296" i="4"/>
  <c r="D297" i="4"/>
  <c r="E297" i="4"/>
  <c r="F297" i="4"/>
  <c r="G297" i="4"/>
  <c r="H297" i="4"/>
  <c r="I297" i="4"/>
  <c r="D298" i="4"/>
  <c r="E298" i="4"/>
  <c r="F298" i="4"/>
  <c r="G298" i="4"/>
  <c r="H298" i="4"/>
  <c r="I298" i="4"/>
  <c r="D299" i="4"/>
  <c r="E299" i="4"/>
  <c r="F299" i="4"/>
  <c r="G299" i="4"/>
  <c r="H299" i="4"/>
  <c r="I299" i="4"/>
  <c r="D300" i="4"/>
  <c r="E300" i="4"/>
  <c r="F300" i="4"/>
  <c r="G300" i="4"/>
  <c r="H300" i="4"/>
  <c r="I300" i="4"/>
  <c r="K300" i="4"/>
  <c r="L300" i="4"/>
  <c r="D301" i="4"/>
  <c r="E301" i="4"/>
  <c r="F301" i="4"/>
  <c r="G301" i="4"/>
  <c r="H301" i="4"/>
  <c r="I301" i="4"/>
  <c r="D302" i="4"/>
  <c r="E302" i="4"/>
  <c r="F302" i="4"/>
  <c r="G302" i="4"/>
  <c r="H302" i="4"/>
  <c r="I302" i="4"/>
  <c r="D303" i="4"/>
  <c r="E303" i="4"/>
  <c r="F303" i="4"/>
  <c r="G303" i="4"/>
  <c r="H303" i="4"/>
  <c r="I303" i="4"/>
  <c r="D304" i="4"/>
  <c r="E304" i="4"/>
  <c r="F304" i="4"/>
  <c r="G304" i="4"/>
  <c r="H304" i="4"/>
  <c r="I304" i="4"/>
  <c r="D305" i="4"/>
  <c r="E305" i="4"/>
  <c r="F305" i="4"/>
  <c r="G305" i="4"/>
  <c r="H305" i="4"/>
  <c r="I305" i="4"/>
  <c r="D306" i="4"/>
  <c r="E306" i="4"/>
  <c r="F306" i="4"/>
  <c r="G306" i="4"/>
  <c r="H306" i="4"/>
  <c r="I306" i="4"/>
  <c r="D307" i="4"/>
  <c r="E307" i="4"/>
  <c r="F307" i="4"/>
  <c r="G307" i="4"/>
  <c r="H307" i="4"/>
  <c r="I307" i="4"/>
  <c r="D308" i="4"/>
  <c r="E308" i="4"/>
  <c r="F308" i="4"/>
  <c r="G308" i="4"/>
  <c r="H308" i="4"/>
  <c r="I308" i="4"/>
  <c r="D309" i="4"/>
  <c r="E309" i="4"/>
  <c r="F309" i="4"/>
  <c r="G309" i="4"/>
  <c r="H309" i="4"/>
  <c r="I309" i="4"/>
  <c r="D310" i="4"/>
  <c r="E310" i="4"/>
  <c r="F310" i="4"/>
  <c r="G310" i="4"/>
  <c r="H310" i="4"/>
  <c r="I310" i="4"/>
  <c r="D311" i="4"/>
  <c r="E311" i="4"/>
  <c r="F311" i="4"/>
  <c r="G311" i="4"/>
  <c r="H311" i="4"/>
  <c r="I311" i="4"/>
  <c r="D312" i="4"/>
  <c r="E312" i="4"/>
  <c r="F312" i="4"/>
  <c r="G312" i="4"/>
  <c r="H312" i="4"/>
  <c r="I312" i="4"/>
  <c r="K312" i="4"/>
  <c r="L312" i="4"/>
  <c r="D313" i="4"/>
  <c r="E313" i="4"/>
  <c r="F313" i="4"/>
  <c r="G313" i="4"/>
  <c r="H313" i="4"/>
  <c r="I313" i="4"/>
  <c r="D314" i="4"/>
  <c r="E314" i="4"/>
  <c r="F314" i="4"/>
  <c r="G314" i="4"/>
  <c r="H314" i="4"/>
  <c r="I314" i="4"/>
  <c r="D315" i="4"/>
  <c r="E315" i="4"/>
  <c r="F315" i="4"/>
  <c r="G315" i="4"/>
  <c r="H315" i="4"/>
  <c r="I315" i="4"/>
  <c r="D316" i="4"/>
  <c r="E316" i="4"/>
  <c r="F316" i="4"/>
  <c r="G316" i="4"/>
  <c r="H316" i="4"/>
  <c r="I316" i="4"/>
  <c r="D317" i="4"/>
  <c r="E317" i="4"/>
  <c r="F317" i="4"/>
  <c r="G317" i="4"/>
  <c r="H317" i="4"/>
  <c r="I317" i="4"/>
  <c r="D318" i="4"/>
  <c r="E318" i="4"/>
  <c r="F318" i="4"/>
  <c r="G318" i="4"/>
  <c r="H318" i="4"/>
  <c r="I318" i="4"/>
  <c r="D319" i="4"/>
  <c r="E319" i="4"/>
  <c r="F319" i="4"/>
  <c r="G319" i="4"/>
  <c r="H319" i="4"/>
  <c r="I319" i="4"/>
  <c r="D320" i="4"/>
  <c r="E320" i="4"/>
  <c r="F320" i="4"/>
  <c r="G320" i="4"/>
  <c r="H320" i="4"/>
  <c r="I320" i="4"/>
  <c r="D321" i="4"/>
  <c r="E321" i="4"/>
  <c r="F321" i="4"/>
  <c r="G321" i="4"/>
  <c r="H321" i="4"/>
  <c r="I321" i="4"/>
  <c r="D322" i="4"/>
  <c r="E322" i="4"/>
  <c r="F322" i="4"/>
  <c r="G322" i="4"/>
  <c r="H322" i="4"/>
  <c r="I322" i="4"/>
  <c r="D323" i="4"/>
  <c r="E323" i="4"/>
  <c r="F323" i="4"/>
  <c r="G323" i="4"/>
  <c r="H323" i="4"/>
  <c r="I323" i="4"/>
  <c r="D324" i="4"/>
  <c r="E324" i="4"/>
  <c r="F324" i="4"/>
  <c r="G324" i="4"/>
  <c r="H324" i="4"/>
  <c r="I324" i="4"/>
  <c r="K324" i="4"/>
  <c r="L324" i="4"/>
  <c r="D325" i="4"/>
  <c r="E325" i="4"/>
  <c r="F325" i="4"/>
  <c r="G325" i="4"/>
  <c r="H325" i="4"/>
  <c r="I325" i="4"/>
  <c r="D326" i="4"/>
  <c r="E326" i="4"/>
  <c r="F326" i="4"/>
  <c r="G326" i="4"/>
  <c r="H326" i="4"/>
  <c r="I326" i="4"/>
  <c r="D327" i="4"/>
  <c r="E327" i="4"/>
  <c r="F327" i="4"/>
  <c r="G327" i="4"/>
  <c r="H327" i="4"/>
  <c r="I327" i="4"/>
  <c r="D328" i="4"/>
  <c r="E328" i="4"/>
  <c r="F328" i="4"/>
  <c r="G328" i="4"/>
  <c r="H328" i="4"/>
  <c r="I328" i="4"/>
  <c r="D329" i="4"/>
  <c r="E329" i="4"/>
  <c r="F329" i="4"/>
  <c r="G329" i="4"/>
  <c r="H329" i="4"/>
  <c r="I329" i="4"/>
  <c r="D330" i="4"/>
  <c r="E330" i="4"/>
  <c r="F330" i="4"/>
  <c r="G330" i="4"/>
  <c r="H330" i="4"/>
  <c r="I330" i="4"/>
  <c r="D331" i="4"/>
  <c r="E331" i="4"/>
  <c r="F331" i="4"/>
  <c r="G331" i="4"/>
  <c r="H331" i="4"/>
  <c r="I331" i="4"/>
  <c r="D332" i="4"/>
  <c r="E332" i="4"/>
  <c r="F332" i="4"/>
  <c r="G332" i="4"/>
  <c r="H332" i="4"/>
  <c r="I332" i="4"/>
  <c r="D333" i="4"/>
  <c r="E333" i="4"/>
  <c r="F333" i="4"/>
  <c r="G333" i="4"/>
  <c r="H333" i="4"/>
  <c r="I333" i="4"/>
  <c r="D334" i="4"/>
  <c r="E334" i="4"/>
  <c r="F334" i="4"/>
  <c r="G334" i="4"/>
  <c r="H334" i="4"/>
  <c r="I334" i="4"/>
  <c r="D335" i="4"/>
  <c r="E335" i="4"/>
  <c r="F335" i="4"/>
  <c r="G335" i="4"/>
  <c r="H335" i="4"/>
  <c r="I335" i="4"/>
  <c r="D336" i="4"/>
  <c r="E336" i="4"/>
  <c r="F336" i="4"/>
  <c r="G336" i="4"/>
  <c r="H336" i="4"/>
  <c r="I336" i="4"/>
  <c r="K336" i="4"/>
  <c r="L336" i="4"/>
  <c r="D337" i="4"/>
  <c r="E337" i="4"/>
  <c r="F337" i="4"/>
  <c r="G337" i="4"/>
  <c r="H337" i="4"/>
  <c r="I337" i="4"/>
  <c r="D338" i="4"/>
  <c r="E338" i="4"/>
  <c r="F338" i="4"/>
  <c r="G338" i="4"/>
  <c r="H338" i="4"/>
  <c r="I338" i="4"/>
  <c r="D339" i="4"/>
  <c r="E339" i="4"/>
  <c r="F339" i="4"/>
  <c r="G339" i="4"/>
  <c r="H339" i="4"/>
  <c r="I339" i="4"/>
  <c r="D340" i="4"/>
  <c r="E340" i="4"/>
  <c r="F340" i="4"/>
  <c r="G340" i="4"/>
  <c r="H340" i="4"/>
  <c r="I340" i="4"/>
  <c r="D341" i="4"/>
  <c r="E341" i="4"/>
  <c r="F341" i="4"/>
  <c r="G341" i="4"/>
  <c r="H341" i="4"/>
  <c r="I341" i="4"/>
  <c r="D342" i="4"/>
  <c r="E342" i="4"/>
  <c r="F342" i="4"/>
  <c r="G342" i="4"/>
  <c r="H342" i="4"/>
  <c r="I342" i="4"/>
  <c r="D343" i="4"/>
  <c r="E343" i="4"/>
  <c r="F343" i="4"/>
  <c r="G343" i="4"/>
  <c r="H343" i="4"/>
  <c r="I343" i="4"/>
  <c r="D344" i="4"/>
  <c r="E344" i="4"/>
  <c r="F344" i="4"/>
  <c r="G344" i="4"/>
  <c r="H344" i="4"/>
  <c r="I344" i="4"/>
  <c r="D345" i="4"/>
  <c r="E345" i="4"/>
  <c r="F345" i="4"/>
  <c r="G345" i="4"/>
  <c r="H345" i="4"/>
  <c r="I345" i="4"/>
  <c r="D346" i="4"/>
  <c r="E346" i="4"/>
  <c r="F346" i="4"/>
  <c r="G346" i="4"/>
  <c r="H346" i="4"/>
  <c r="I346" i="4"/>
  <c r="D347" i="4"/>
  <c r="E347" i="4"/>
  <c r="F347" i="4"/>
  <c r="G347" i="4"/>
  <c r="H347" i="4"/>
  <c r="I347" i="4"/>
  <c r="D348" i="4"/>
  <c r="E348" i="4"/>
  <c r="F348" i="4"/>
  <c r="G348" i="4"/>
  <c r="H348" i="4"/>
  <c r="I348" i="4"/>
  <c r="K348" i="4"/>
  <c r="L348" i="4"/>
  <c r="D349" i="4"/>
  <c r="E349" i="4"/>
  <c r="F349" i="4"/>
  <c r="G349" i="4"/>
  <c r="H349" i="4"/>
  <c r="I349" i="4"/>
  <c r="D350" i="4"/>
  <c r="E350" i="4"/>
  <c r="F350" i="4"/>
  <c r="G350" i="4"/>
  <c r="H350" i="4"/>
  <c r="I350" i="4"/>
  <c r="D351" i="4"/>
  <c r="E351" i="4"/>
  <c r="F351" i="4"/>
  <c r="G351" i="4"/>
  <c r="H351" i="4"/>
  <c r="I351" i="4"/>
  <c r="D352" i="4"/>
  <c r="E352" i="4"/>
  <c r="F352" i="4"/>
  <c r="G352" i="4"/>
  <c r="H352" i="4"/>
  <c r="I352" i="4"/>
  <c r="D353" i="4"/>
  <c r="E353" i="4"/>
  <c r="F353" i="4"/>
  <c r="G353" i="4"/>
  <c r="H353" i="4"/>
  <c r="I353" i="4"/>
  <c r="D354" i="4"/>
  <c r="E354" i="4"/>
  <c r="F354" i="4"/>
  <c r="G354" i="4"/>
  <c r="H354" i="4"/>
  <c r="I354" i="4"/>
  <c r="D355" i="4"/>
  <c r="E355" i="4"/>
  <c r="F355" i="4"/>
  <c r="G355" i="4"/>
  <c r="H355" i="4"/>
  <c r="I355" i="4"/>
  <c r="D356" i="4"/>
  <c r="E356" i="4"/>
  <c r="F356" i="4"/>
  <c r="G356" i="4"/>
  <c r="H356" i="4"/>
  <c r="I356" i="4"/>
  <c r="D357" i="4"/>
  <c r="E357" i="4"/>
  <c r="F357" i="4"/>
  <c r="G357" i="4"/>
  <c r="H357" i="4"/>
  <c r="I357" i="4"/>
  <c r="D358" i="4"/>
  <c r="E358" i="4"/>
  <c r="F358" i="4"/>
  <c r="G358" i="4"/>
  <c r="H358" i="4"/>
  <c r="I358" i="4"/>
  <c r="D359" i="4"/>
  <c r="E359" i="4"/>
  <c r="F359" i="4"/>
  <c r="G359" i="4"/>
  <c r="H359" i="4"/>
  <c r="I359" i="4"/>
  <c r="D360" i="4"/>
  <c r="E360" i="4"/>
  <c r="F360" i="4"/>
  <c r="G360" i="4"/>
  <c r="H360" i="4"/>
  <c r="I360" i="4"/>
  <c r="K360" i="4"/>
  <c r="L360" i="4"/>
  <c r="D361" i="4"/>
  <c r="E361" i="4"/>
  <c r="F361" i="4"/>
  <c r="G361" i="4"/>
  <c r="H361" i="4"/>
  <c r="I361" i="4"/>
  <c r="D362" i="4"/>
  <c r="E362" i="4"/>
  <c r="F362" i="4"/>
  <c r="G362" i="4"/>
  <c r="H362" i="4"/>
  <c r="I362" i="4"/>
  <c r="D363" i="4"/>
  <c r="E363" i="4"/>
  <c r="F363" i="4"/>
  <c r="G363" i="4"/>
  <c r="H363" i="4"/>
  <c r="I363" i="4"/>
  <c r="D364" i="4"/>
  <c r="E364" i="4"/>
  <c r="F364" i="4"/>
  <c r="G364" i="4"/>
  <c r="H364" i="4"/>
  <c r="I364" i="4"/>
  <c r="D365" i="4"/>
  <c r="E365" i="4"/>
  <c r="F365" i="4"/>
  <c r="G365" i="4"/>
  <c r="H365" i="4"/>
  <c r="I365" i="4"/>
  <c r="D366" i="4"/>
  <c r="E366" i="4"/>
  <c r="F366" i="4"/>
  <c r="G366" i="4"/>
  <c r="H366" i="4"/>
  <c r="I366" i="4"/>
  <c r="D367" i="4"/>
  <c r="E367" i="4"/>
  <c r="F367" i="4"/>
  <c r="G367" i="4"/>
  <c r="H367" i="4"/>
  <c r="I367" i="4"/>
  <c r="D368" i="4"/>
  <c r="E368" i="4"/>
  <c r="F368" i="4"/>
  <c r="G368" i="4"/>
  <c r="H368" i="4"/>
  <c r="I368" i="4"/>
  <c r="D369" i="4"/>
  <c r="E369" i="4"/>
  <c r="F369" i="4"/>
  <c r="G369" i="4"/>
  <c r="H369" i="4"/>
  <c r="I369" i="4"/>
  <c r="D370" i="4"/>
  <c r="E370" i="4"/>
  <c r="F370" i="4"/>
  <c r="G370" i="4"/>
  <c r="H370" i="4"/>
  <c r="I370" i="4"/>
  <c r="D371" i="4"/>
  <c r="E371" i="4"/>
  <c r="F371" i="4"/>
  <c r="G371" i="4"/>
  <c r="H371" i="4"/>
  <c r="I371" i="4"/>
  <c r="D372" i="4"/>
  <c r="E372" i="4"/>
  <c r="F372" i="4"/>
  <c r="G372" i="4"/>
  <c r="H372" i="4"/>
  <c r="I372" i="4"/>
  <c r="K372" i="4"/>
  <c r="L372" i="4"/>
  <c r="D373" i="4"/>
  <c r="E373" i="4"/>
  <c r="F373" i="4"/>
  <c r="G373" i="4"/>
  <c r="H373" i="4"/>
  <c r="I373" i="4"/>
  <c r="D374" i="4"/>
  <c r="E374" i="4"/>
  <c r="F374" i="4"/>
  <c r="G374" i="4"/>
  <c r="H374" i="4"/>
  <c r="I374" i="4"/>
  <c r="D375" i="4"/>
  <c r="E375" i="4"/>
  <c r="F375" i="4"/>
  <c r="G375" i="4"/>
  <c r="H375" i="4"/>
  <c r="I375" i="4"/>
  <c r="D376" i="4"/>
  <c r="E376" i="4"/>
  <c r="F376" i="4"/>
  <c r="G376" i="4"/>
  <c r="H376" i="4"/>
  <c r="I376" i="4"/>
  <c r="D377" i="4"/>
  <c r="E377" i="4"/>
  <c r="F377" i="4"/>
  <c r="G377" i="4"/>
  <c r="H377" i="4"/>
  <c r="I377" i="4"/>
  <c r="D378" i="4"/>
  <c r="E378" i="4"/>
  <c r="F378" i="4"/>
  <c r="G378" i="4"/>
  <c r="H378" i="4"/>
  <c r="I378" i="4"/>
  <c r="D379" i="4"/>
  <c r="E379" i="4"/>
  <c r="F379" i="4"/>
  <c r="G379" i="4"/>
  <c r="H379" i="4"/>
  <c r="I379" i="4"/>
  <c r="D380" i="4"/>
  <c r="E380" i="4"/>
  <c r="F380" i="4"/>
  <c r="G380" i="4"/>
  <c r="H380" i="4"/>
  <c r="I380" i="4"/>
  <c r="D381" i="4"/>
  <c r="E381" i="4"/>
  <c r="F381" i="4"/>
  <c r="G381" i="4"/>
  <c r="H381" i="4"/>
  <c r="I381" i="4"/>
  <c r="D382" i="4"/>
  <c r="E382" i="4"/>
  <c r="F382" i="4"/>
  <c r="G382" i="4"/>
  <c r="H382" i="4"/>
  <c r="I382" i="4"/>
  <c r="D383" i="4"/>
  <c r="E383" i="4"/>
  <c r="F383" i="4"/>
  <c r="G383" i="4"/>
  <c r="H383" i="4"/>
  <c r="I383" i="4"/>
  <c r="D384" i="4"/>
  <c r="E384" i="4"/>
  <c r="F384" i="4"/>
  <c r="G384" i="4"/>
  <c r="H384" i="4"/>
  <c r="I384" i="4"/>
  <c r="K384" i="4"/>
  <c r="L384" i="4"/>
  <c r="D385" i="4"/>
  <c r="E385" i="4"/>
  <c r="F385" i="4"/>
  <c r="G385" i="4"/>
  <c r="H385" i="4"/>
  <c r="I385" i="4"/>
  <c r="D386" i="4"/>
  <c r="E386" i="4"/>
  <c r="F386" i="4"/>
  <c r="G386" i="4"/>
  <c r="H386" i="4"/>
  <c r="I386" i="4"/>
  <c r="D387" i="4"/>
  <c r="E387" i="4"/>
  <c r="F387" i="4"/>
  <c r="G387" i="4"/>
  <c r="H387" i="4"/>
  <c r="I387" i="4"/>
  <c r="D388" i="4"/>
  <c r="E388" i="4"/>
  <c r="F388" i="4"/>
  <c r="G388" i="4"/>
  <c r="H388" i="4"/>
  <c r="I388" i="4"/>
  <c r="D389" i="4"/>
  <c r="E389" i="4"/>
  <c r="F389" i="4"/>
  <c r="G389" i="4"/>
  <c r="H389" i="4"/>
  <c r="I389" i="4"/>
  <c r="D390" i="4"/>
  <c r="E390" i="4"/>
  <c r="F390" i="4"/>
  <c r="G390" i="4"/>
  <c r="H390" i="4"/>
  <c r="I390" i="4"/>
  <c r="D391" i="4"/>
  <c r="E391" i="4"/>
  <c r="F391" i="4"/>
  <c r="G391" i="4"/>
  <c r="H391" i="4"/>
  <c r="I391" i="4"/>
  <c r="D392" i="4"/>
  <c r="E392" i="4"/>
  <c r="F392" i="4"/>
  <c r="G392" i="4"/>
  <c r="H392" i="4"/>
  <c r="I392" i="4"/>
  <c r="D393" i="4"/>
  <c r="E393" i="4"/>
  <c r="F393" i="4"/>
  <c r="G393" i="4"/>
  <c r="H393" i="4"/>
  <c r="I393" i="4"/>
  <c r="D394" i="4"/>
  <c r="E394" i="4"/>
  <c r="F394" i="4"/>
  <c r="G394" i="4"/>
  <c r="H394" i="4"/>
  <c r="I394" i="4"/>
  <c r="D395" i="4"/>
  <c r="E395" i="4"/>
  <c r="F395" i="4"/>
  <c r="G395" i="4"/>
  <c r="H395" i="4"/>
  <c r="I395" i="4"/>
  <c r="D396" i="4"/>
  <c r="E396" i="4"/>
  <c r="F396" i="4"/>
  <c r="G396" i="4"/>
  <c r="H396" i="4"/>
  <c r="I396" i="4"/>
  <c r="K396" i="4"/>
  <c r="L396" i="4"/>
  <c r="D397" i="4"/>
  <c r="E397" i="4"/>
  <c r="F397" i="4"/>
  <c r="G397" i="4"/>
  <c r="H397" i="4"/>
  <c r="I397" i="4"/>
  <c r="D398" i="4"/>
  <c r="E398" i="4"/>
  <c r="F398" i="4"/>
  <c r="G398" i="4"/>
  <c r="H398" i="4"/>
  <c r="I398" i="4"/>
  <c r="D399" i="4"/>
  <c r="E399" i="4"/>
  <c r="F399" i="4"/>
  <c r="G399" i="4"/>
  <c r="H399" i="4"/>
  <c r="I399" i="4"/>
  <c r="D400" i="4"/>
  <c r="E400" i="4"/>
  <c r="F400" i="4"/>
  <c r="G400" i="4"/>
  <c r="H400" i="4"/>
  <c r="I400" i="4"/>
  <c r="D401" i="4"/>
  <c r="E401" i="4"/>
  <c r="F401" i="4"/>
  <c r="G401" i="4"/>
  <c r="H401" i="4"/>
  <c r="I401" i="4"/>
  <c r="D402" i="4"/>
  <c r="E402" i="4"/>
  <c r="F402" i="4"/>
  <c r="G402" i="4"/>
  <c r="H402" i="4"/>
  <c r="I402" i="4"/>
  <c r="D403" i="4"/>
  <c r="E403" i="4"/>
  <c r="F403" i="4"/>
  <c r="G403" i="4"/>
  <c r="H403" i="4"/>
  <c r="I403" i="4"/>
  <c r="D404" i="4"/>
  <c r="E404" i="4"/>
  <c r="F404" i="4"/>
  <c r="G404" i="4"/>
  <c r="H404" i="4"/>
  <c r="I404" i="4"/>
  <c r="D405" i="4"/>
  <c r="E405" i="4"/>
  <c r="F405" i="4"/>
  <c r="G405" i="4"/>
  <c r="H405" i="4"/>
  <c r="I405" i="4"/>
  <c r="D406" i="4"/>
  <c r="E406" i="4"/>
  <c r="F406" i="4"/>
  <c r="G406" i="4"/>
  <c r="H406" i="4"/>
  <c r="I406" i="4"/>
  <c r="D407" i="4"/>
  <c r="E407" i="4"/>
  <c r="F407" i="4"/>
  <c r="G407" i="4"/>
  <c r="H407" i="4"/>
  <c r="I407" i="4"/>
  <c r="D408" i="4"/>
  <c r="E408" i="4"/>
  <c r="F408" i="4"/>
  <c r="G408" i="4"/>
  <c r="H408" i="4"/>
  <c r="I408" i="4"/>
  <c r="K408" i="4"/>
  <c r="L408" i="4"/>
  <c r="D409" i="4"/>
  <c r="E409" i="4"/>
  <c r="F409" i="4"/>
  <c r="G409" i="4"/>
  <c r="H409" i="4"/>
  <c r="I409" i="4"/>
  <c r="D410" i="4"/>
  <c r="E410" i="4"/>
  <c r="F410" i="4"/>
  <c r="G410" i="4"/>
  <c r="H410" i="4"/>
  <c r="I410" i="4"/>
  <c r="D411" i="4"/>
  <c r="E411" i="4"/>
  <c r="F411" i="4"/>
  <c r="G411" i="4"/>
  <c r="H411" i="4"/>
  <c r="I411" i="4"/>
  <c r="D412" i="4"/>
  <c r="E412" i="4"/>
  <c r="F412" i="4"/>
  <c r="G412" i="4"/>
  <c r="H412" i="4"/>
  <c r="I412" i="4"/>
  <c r="D413" i="4"/>
  <c r="E413" i="4"/>
  <c r="F413" i="4"/>
  <c r="G413" i="4"/>
  <c r="H413" i="4"/>
  <c r="I413" i="4"/>
  <c r="D414" i="4"/>
  <c r="E414" i="4"/>
  <c r="F414" i="4"/>
  <c r="G414" i="4"/>
  <c r="H414" i="4"/>
  <c r="I414" i="4"/>
  <c r="D415" i="4"/>
  <c r="E415" i="4"/>
  <c r="F415" i="4"/>
  <c r="G415" i="4"/>
  <c r="H415" i="4"/>
  <c r="I415" i="4"/>
  <c r="D416" i="4"/>
  <c r="E416" i="4"/>
  <c r="F416" i="4"/>
  <c r="G416" i="4"/>
  <c r="H416" i="4"/>
  <c r="I416" i="4"/>
  <c r="D417" i="4"/>
  <c r="E417" i="4"/>
  <c r="F417" i="4"/>
  <c r="G417" i="4"/>
  <c r="H417" i="4"/>
  <c r="I417" i="4"/>
  <c r="D418" i="4"/>
  <c r="E418" i="4"/>
  <c r="F418" i="4"/>
  <c r="G418" i="4"/>
  <c r="H418" i="4"/>
  <c r="I418" i="4"/>
  <c r="D419" i="4"/>
  <c r="E419" i="4"/>
  <c r="F419" i="4"/>
  <c r="G419" i="4"/>
  <c r="H419" i="4"/>
  <c r="I419" i="4"/>
  <c r="D420" i="4"/>
  <c r="E420" i="4"/>
  <c r="F420" i="4"/>
  <c r="G420" i="4"/>
  <c r="H420" i="4"/>
  <c r="I420" i="4"/>
  <c r="K420" i="4"/>
  <c r="L420" i="4"/>
  <c r="D421" i="4"/>
  <c r="E421" i="4"/>
  <c r="F421" i="4"/>
  <c r="G421" i="4"/>
  <c r="H421" i="4"/>
  <c r="I421" i="4"/>
  <c r="D422" i="4"/>
  <c r="E422" i="4"/>
  <c r="F422" i="4"/>
  <c r="G422" i="4"/>
  <c r="H422" i="4"/>
  <c r="I422" i="4"/>
  <c r="D423" i="4"/>
  <c r="E423" i="4"/>
  <c r="F423" i="4"/>
  <c r="G423" i="4"/>
  <c r="H423" i="4"/>
  <c r="I423" i="4"/>
  <c r="D424" i="4"/>
  <c r="E424" i="4"/>
  <c r="F424" i="4"/>
  <c r="G424" i="4"/>
  <c r="H424" i="4"/>
  <c r="I424" i="4"/>
  <c r="D425" i="4"/>
  <c r="E425" i="4"/>
  <c r="F425" i="4"/>
  <c r="G425" i="4"/>
  <c r="H425" i="4"/>
  <c r="I425" i="4"/>
  <c r="D426" i="4"/>
  <c r="E426" i="4"/>
  <c r="F426" i="4"/>
  <c r="G426" i="4"/>
  <c r="H426" i="4"/>
  <c r="I426" i="4"/>
  <c r="D427" i="4"/>
  <c r="E427" i="4"/>
  <c r="F427" i="4"/>
  <c r="G427" i="4"/>
  <c r="H427" i="4"/>
  <c r="I427" i="4"/>
  <c r="D428" i="4"/>
  <c r="E428" i="4"/>
  <c r="F428" i="4"/>
  <c r="G428" i="4"/>
  <c r="H428" i="4"/>
  <c r="I428" i="4"/>
  <c r="D429" i="4"/>
  <c r="E429" i="4"/>
  <c r="F429" i="4"/>
  <c r="G429" i="4"/>
  <c r="H429" i="4"/>
  <c r="I429" i="4"/>
  <c r="D430" i="4"/>
  <c r="E430" i="4"/>
  <c r="F430" i="4"/>
  <c r="G430" i="4"/>
  <c r="H430" i="4"/>
  <c r="I430" i="4"/>
  <c r="D431" i="4"/>
  <c r="E431" i="4"/>
  <c r="F431" i="4"/>
  <c r="G431" i="4"/>
  <c r="H431" i="4"/>
  <c r="I431" i="4"/>
  <c r="D432" i="4"/>
  <c r="E432" i="4"/>
  <c r="F432" i="4"/>
  <c r="G432" i="4"/>
  <c r="H432" i="4"/>
  <c r="I432" i="4"/>
  <c r="K432" i="4"/>
  <c r="L432" i="4"/>
  <c r="D433" i="4"/>
  <c r="E433" i="4"/>
  <c r="F433" i="4"/>
  <c r="G433" i="4"/>
  <c r="H433" i="4"/>
  <c r="I433" i="4"/>
  <c r="D434" i="4"/>
  <c r="E434" i="4"/>
  <c r="F434" i="4"/>
  <c r="G434" i="4"/>
  <c r="H434" i="4"/>
  <c r="I434" i="4"/>
  <c r="D435" i="4"/>
  <c r="E435" i="4"/>
  <c r="F435" i="4"/>
  <c r="G435" i="4"/>
  <c r="H435" i="4"/>
  <c r="I435" i="4"/>
  <c r="D436" i="4"/>
  <c r="E436" i="4"/>
  <c r="F436" i="4"/>
  <c r="G436" i="4"/>
  <c r="H436" i="4"/>
  <c r="I436" i="4"/>
  <c r="D437" i="4"/>
  <c r="E437" i="4"/>
  <c r="F437" i="4"/>
  <c r="G437" i="4"/>
  <c r="H437" i="4"/>
  <c r="I437" i="4"/>
  <c r="D438" i="4"/>
  <c r="E438" i="4"/>
  <c r="F438" i="4"/>
  <c r="G438" i="4"/>
  <c r="H438" i="4"/>
  <c r="I438" i="4"/>
  <c r="D439" i="4"/>
  <c r="E439" i="4"/>
  <c r="F439" i="4"/>
  <c r="G439" i="4"/>
  <c r="H439" i="4"/>
  <c r="I439" i="4"/>
  <c r="D440" i="4"/>
  <c r="E440" i="4"/>
  <c r="F440" i="4"/>
  <c r="G440" i="4"/>
  <c r="H440" i="4"/>
  <c r="I440" i="4"/>
  <c r="D441" i="4"/>
  <c r="E441" i="4"/>
  <c r="F441" i="4"/>
  <c r="G441" i="4"/>
  <c r="H441" i="4"/>
  <c r="I441" i="4"/>
  <c r="D442" i="4"/>
  <c r="E442" i="4"/>
  <c r="F442" i="4"/>
  <c r="G442" i="4"/>
  <c r="H442" i="4"/>
  <c r="I442" i="4"/>
  <c r="D443" i="4"/>
  <c r="E443" i="4"/>
  <c r="F443" i="4"/>
  <c r="G443" i="4"/>
  <c r="H443" i="4"/>
  <c r="I443" i="4"/>
  <c r="D444" i="4"/>
  <c r="E444" i="4"/>
  <c r="F444" i="4"/>
  <c r="G444" i="4"/>
  <c r="H444" i="4"/>
  <c r="I444" i="4"/>
  <c r="K444" i="4"/>
  <c r="L444" i="4"/>
  <c r="D445" i="4"/>
  <c r="E445" i="4"/>
  <c r="F445" i="4"/>
  <c r="G445" i="4"/>
  <c r="H445" i="4"/>
  <c r="I445" i="4"/>
  <c r="D446" i="4"/>
  <c r="E446" i="4"/>
  <c r="F446" i="4"/>
  <c r="G446" i="4"/>
  <c r="H446" i="4"/>
  <c r="I446" i="4"/>
  <c r="D447" i="4"/>
  <c r="E447" i="4"/>
  <c r="F447" i="4"/>
  <c r="G447" i="4"/>
  <c r="H447" i="4"/>
  <c r="I447" i="4"/>
  <c r="D448" i="4"/>
  <c r="E448" i="4"/>
  <c r="F448" i="4"/>
  <c r="G448" i="4"/>
  <c r="H448" i="4"/>
  <c r="I448" i="4"/>
  <c r="D449" i="4"/>
  <c r="E449" i="4"/>
  <c r="F449" i="4"/>
  <c r="G449" i="4"/>
  <c r="H449" i="4"/>
  <c r="I449" i="4"/>
  <c r="D450" i="4"/>
  <c r="E450" i="4"/>
  <c r="F450" i="4"/>
  <c r="G450" i="4"/>
  <c r="H450" i="4"/>
  <c r="I450" i="4"/>
  <c r="D451" i="4"/>
  <c r="E451" i="4"/>
  <c r="F451" i="4"/>
  <c r="G451" i="4"/>
  <c r="H451" i="4"/>
  <c r="I451" i="4"/>
  <c r="D452" i="4"/>
  <c r="E452" i="4"/>
  <c r="F452" i="4"/>
  <c r="G452" i="4"/>
  <c r="H452" i="4"/>
  <c r="I452" i="4"/>
  <c r="D453" i="4"/>
  <c r="E453" i="4"/>
  <c r="F453" i="4"/>
  <c r="G453" i="4"/>
  <c r="H453" i="4"/>
  <c r="I453" i="4"/>
  <c r="D454" i="4"/>
  <c r="E454" i="4"/>
  <c r="F454" i="4"/>
  <c r="G454" i="4"/>
  <c r="H454" i="4"/>
  <c r="I454" i="4"/>
  <c r="D455" i="4"/>
  <c r="E455" i="4"/>
  <c r="F455" i="4"/>
  <c r="G455" i="4"/>
  <c r="H455" i="4"/>
  <c r="I455" i="4"/>
  <c r="D456" i="4"/>
  <c r="E456" i="4"/>
  <c r="F456" i="4"/>
  <c r="G456" i="4"/>
  <c r="H456" i="4"/>
  <c r="I456" i="4"/>
  <c r="K456" i="4"/>
  <c r="L456" i="4"/>
  <c r="D457" i="4"/>
  <c r="E457" i="4"/>
  <c r="F457" i="4"/>
  <c r="G457" i="4"/>
  <c r="H457" i="4"/>
  <c r="I457" i="4"/>
  <c r="D458" i="4"/>
  <c r="E458" i="4"/>
  <c r="F458" i="4"/>
  <c r="G458" i="4"/>
  <c r="H458" i="4"/>
  <c r="I458" i="4"/>
  <c r="D459" i="4"/>
  <c r="E459" i="4"/>
  <c r="F459" i="4"/>
  <c r="G459" i="4"/>
  <c r="H459" i="4"/>
  <c r="I459" i="4"/>
  <c r="D460" i="4"/>
  <c r="E460" i="4"/>
  <c r="F460" i="4"/>
  <c r="G460" i="4"/>
  <c r="H460" i="4"/>
  <c r="I460" i="4"/>
  <c r="D461" i="4"/>
  <c r="E461" i="4"/>
  <c r="F461" i="4"/>
  <c r="G461" i="4"/>
  <c r="H461" i="4"/>
  <c r="I461" i="4"/>
  <c r="D462" i="4"/>
  <c r="E462" i="4"/>
  <c r="F462" i="4"/>
  <c r="G462" i="4"/>
  <c r="H462" i="4"/>
  <c r="I462" i="4"/>
  <c r="D463" i="4"/>
  <c r="E463" i="4"/>
  <c r="F463" i="4"/>
  <c r="G463" i="4"/>
  <c r="H463" i="4"/>
  <c r="I463" i="4"/>
  <c r="D464" i="4"/>
  <c r="E464" i="4"/>
  <c r="F464" i="4"/>
  <c r="G464" i="4"/>
  <c r="H464" i="4"/>
  <c r="I464" i="4"/>
  <c r="D465" i="4"/>
  <c r="E465" i="4"/>
  <c r="F465" i="4"/>
  <c r="G465" i="4"/>
  <c r="H465" i="4"/>
  <c r="I465" i="4"/>
  <c r="D466" i="4"/>
  <c r="E466" i="4"/>
  <c r="F466" i="4"/>
  <c r="G466" i="4"/>
  <c r="H466" i="4"/>
  <c r="I466" i="4"/>
  <c r="D467" i="4"/>
  <c r="E467" i="4"/>
  <c r="F467" i="4"/>
  <c r="G467" i="4"/>
  <c r="H467" i="4"/>
  <c r="I467" i="4"/>
  <c r="D468" i="4"/>
  <c r="E468" i="4"/>
  <c r="F468" i="4"/>
  <c r="G468" i="4"/>
  <c r="H468" i="4"/>
  <c r="I468" i="4"/>
  <c r="K468" i="4"/>
  <c r="L468" i="4"/>
  <c r="D469" i="4"/>
  <c r="E469" i="4"/>
  <c r="F469" i="4"/>
  <c r="G469" i="4"/>
  <c r="H469" i="4"/>
  <c r="I469" i="4"/>
  <c r="D470" i="4"/>
  <c r="E470" i="4"/>
  <c r="F470" i="4"/>
  <c r="G470" i="4"/>
  <c r="H470" i="4"/>
  <c r="I470" i="4"/>
  <c r="D471" i="4"/>
  <c r="E471" i="4"/>
  <c r="F471" i="4"/>
  <c r="G471" i="4"/>
  <c r="H471" i="4"/>
  <c r="I471" i="4"/>
  <c r="D472" i="4"/>
  <c r="E472" i="4"/>
  <c r="F472" i="4"/>
  <c r="G472" i="4"/>
  <c r="H472" i="4"/>
  <c r="I472" i="4"/>
  <c r="D473" i="4"/>
  <c r="E473" i="4"/>
  <c r="F473" i="4"/>
  <c r="G473" i="4"/>
  <c r="H473" i="4"/>
  <c r="I473" i="4"/>
  <c r="D474" i="4"/>
  <c r="E474" i="4"/>
  <c r="F474" i="4"/>
  <c r="G474" i="4"/>
  <c r="H474" i="4"/>
  <c r="I474" i="4"/>
  <c r="D475" i="4"/>
  <c r="E475" i="4"/>
  <c r="F475" i="4"/>
  <c r="G475" i="4"/>
  <c r="H475" i="4"/>
  <c r="I475" i="4"/>
  <c r="D476" i="4"/>
  <c r="E476" i="4"/>
  <c r="F476" i="4"/>
  <c r="G476" i="4"/>
  <c r="H476" i="4"/>
  <c r="I476" i="4"/>
  <c r="D477" i="4"/>
  <c r="E477" i="4"/>
  <c r="F477" i="4"/>
  <c r="G477" i="4"/>
  <c r="H477" i="4"/>
  <c r="I477" i="4"/>
  <c r="D478" i="4"/>
  <c r="E478" i="4"/>
  <c r="F478" i="4"/>
  <c r="G478" i="4"/>
  <c r="H478" i="4"/>
  <c r="I478" i="4"/>
  <c r="D479" i="4"/>
  <c r="E479" i="4"/>
  <c r="F479" i="4"/>
  <c r="G479" i="4"/>
  <c r="H479" i="4"/>
  <c r="I479" i="4"/>
  <c r="D480" i="4"/>
  <c r="E480" i="4"/>
  <c r="F480" i="4"/>
  <c r="G480" i="4"/>
  <c r="H480" i="4"/>
  <c r="I480" i="4"/>
  <c r="K480" i="4"/>
  <c r="L480" i="4"/>
  <c r="D481" i="4"/>
  <c r="E481" i="4"/>
  <c r="F481" i="4"/>
  <c r="G481" i="4"/>
  <c r="H481" i="4"/>
  <c r="I481" i="4"/>
  <c r="D482" i="4"/>
  <c r="E482" i="4"/>
  <c r="F482" i="4"/>
  <c r="G482" i="4"/>
  <c r="H482" i="4"/>
  <c r="I482" i="4"/>
  <c r="D483" i="4"/>
  <c r="E483" i="4"/>
  <c r="F483" i="4"/>
  <c r="G483" i="4"/>
  <c r="H483" i="4"/>
  <c r="I483" i="4"/>
  <c r="D484" i="4"/>
  <c r="E484" i="4"/>
  <c r="F484" i="4"/>
  <c r="G484" i="4"/>
  <c r="H484" i="4"/>
  <c r="I484" i="4"/>
  <c r="D485" i="4"/>
  <c r="E485" i="4"/>
  <c r="F485" i="4"/>
  <c r="G485" i="4"/>
  <c r="H485" i="4"/>
  <c r="I485" i="4"/>
  <c r="D486" i="4"/>
  <c r="E486" i="4"/>
  <c r="F486" i="4"/>
  <c r="G486" i="4"/>
  <c r="H486" i="4"/>
  <c r="I486" i="4"/>
  <c r="D487" i="4"/>
  <c r="E487" i="4"/>
  <c r="F487" i="4"/>
  <c r="G487" i="4"/>
  <c r="H487" i="4"/>
  <c r="I487" i="4"/>
  <c r="D488" i="4"/>
  <c r="E488" i="4"/>
  <c r="F488" i="4"/>
  <c r="G488" i="4"/>
  <c r="H488" i="4"/>
  <c r="I488" i="4"/>
  <c r="D489" i="4"/>
  <c r="E489" i="4"/>
  <c r="F489" i="4"/>
  <c r="G489" i="4"/>
  <c r="H489" i="4"/>
  <c r="I489" i="4"/>
  <c r="D490" i="4"/>
  <c r="E490" i="4"/>
  <c r="F490" i="4"/>
  <c r="G490" i="4"/>
  <c r="H490" i="4"/>
  <c r="I490" i="4"/>
  <c r="D491" i="4"/>
  <c r="E491" i="4"/>
  <c r="F491" i="4"/>
  <c r="G491" i="4"/>
  <c r="H491" i="4"/>
  <c r="I491" i="4"/>
  <c r="D492" i="4"/>
  <c r="E492" i="4"/>
  <c r="F492" i="4"/>
  <c r="G492" i="4"/>
  <c r="H492" i="4"/>
  <c r="I492" i="4"/>
  <c r="K492" i="4"/>
  <c r="L492" i="4"/>
  <c r="D7" i="20"/>
  <c r="D8" i="20"/>
  <c r="D10" i="20"/>
  <c r="D34" i="3"/>
  <c r="E34" i="3"/>
  <c r="F34" i="3"/>
  <c r="G34" i="3"/>
  <c r="H34" i="3"/>
  <c r="I34" i="3"/>
  <c r="J34" i="3"/>
  <c r="K34" i="3"/>
  <c r="L34" i="3"/>
  <c r="M34" i="3"/>
  <c r="N34" i="3"/>
  <c r="D35" i="3"/>
  <c r="E35" i="3"/>
  <c r="F35" i="3"/>
  <c r="G35" i="3"/>
  <c r="H35" i="3"/>
  <c r="I35" i="3"/>
  <c r="J35" i="3"/>
  <c r="K35" i="3"/>
  <c r="L35" i="3"/>
  <c r="M35" i="3"/>
  <c r="N35" i="3"/>
  <c r="D36" i="3"/>
  <c r="E36" i="3"/>
  <c r="F36" i="3"/>
  <c r="G36" i="3"/>
  <c r="H36" i="3"/>
  <c r="I36" i="3"/>
  <c r="J36" i="3"/>
  <c r="K36" i="3"/>
  <c r="L36" i="3"/>
  <c r="M36" i="3"/>
  <c r="N36" i="3"/>
  <c r="D37" i="3"/>
  <c r="E37" i="3"/>
  <c r="F37" i="3"/>
  <c r="G37" i="3"/>
  <c r="H37" i="3"/>
  <c r="I37" i="3"/>
  <c r="J37" i="3"/>
  <c r="K37" i="3"/>
  <c r="L37" i="3"/>
  <c r="M37" i="3"/>
  <c r="N37" i="3"/>
  <c r="D39" i="3"/>
  <c r="E39" i="3"/>
  <c r="F39" i="3"/>
  <c r="G39" i="3"/>
  <c r="H39" i="3"/>
  <c r="I39" i="3"/>
  <c r="J39" i="3"/>
  <c r="K39" i="3"/>
  <c r="L39" i="3"/>
  <c r="M39" i="3"/>
  <c r="N39" i="3"/>
  <c r="E41" i="3"/>
  <c r="F41" i="3"/>
  <c r="G41" i="3"/>
  <c r="H41" i="3"/>
  <c r="I41" i="3"/>
  <c r="J41" i="3"/>
  <c r="K41" i="3"/>
  <c r="L41" i="3"/>
  <c r="M41" i="3"/>
  <c r="N41" i="3"/>
  <c r="D43" i="3"/>
  <c r="E43" i="3"/>
  <c r="F43" i="3"/>
  <c r="G43" i="3"/>
  <c r="H43" i="3"/>
  <c r="I43" i="3"/>
  <c r="J43" i="3"/>
  <c r="K43" i="3"/>
  <c r="L43" i="3"/>
  <c r="M43" i="3"/>
  <c r="N43" i="3"/>
  <c r="D44" i="3"/>
  <c r="E44" i="3"/>
  <c r="F44" i="3"/>
  <c r="G44" i="3"/>
  <c r="H44" i="3"/>
  <c r="I44" i="3"/>
  <c r="J44" i="3"/>
  <c r="K44" i="3"/>
  <c r="L44" i="3"/>
  <c r="M44" i="3"/>
  <c r="N44" i="3"/>
  <c r="D46" i="3"/>
  <c r="E46" i="3"/>
  <c r="F46" i="3"/>
  <c r="G46" i="3"/>
  <c r="H46" i="3"/>
  <c r="I46" i="3"/>
  <c r="J46" i="3"/>
  <c r="K46" i="3"/>
  <c r="L46" i="3"/>
  <c r="M46" i="3"/>
  <c r="N46" i="3"/>
  <c r="E52" i="3"/>
  <c r="F52" i="3"/>
  <c r="G52" i="3"/>
  <c r="H52" i="3"/>
  <c r="I52" i="3"/>
  <c r="J52" i="3"/>
  <c r="K52" i="3"/>
  <c r="L52" i="3"/>
  <c r="M52" i="3"/>
  <c r="N52" i="3"/>
  <c r="C56" i="3"/>
  <c r="D56" i="3"/>
  <c r="E56" i="3"/>
  <c r="F56" i="3"/>
  <c r="G56" i="3"/>
  <c r="H56" i="3"/>
  <c r="I56" i="3"/>
  <c r="J56" i="3"/>
  <c r="K56" i="3"/>
  <c r="L56" i="3"/>
  <c r="M56" i="3"/>
  <c r="N56" i="3"/>
  <c r="C57" i="3"/>
  <c r="C58" i="3"/>
  <c r="C63" i="3"/>
  <c r="D63" i="3"/>
  <c r="E63" i="3"/>
  <c r="F63" i="3"/>
  <c r="G63" i="3"/>
  <c r="H63" i="3"/>
  <c r="I63" i="3"/>
  <c r="J63" i="3"/>
  <c r="K63" i="3"/>
  <c r="L63" i="3"/>
  <c r="M63" i="3"/>
  <c r="N63" i="3"/>
  <c r="D64" i="3"/>
  <c r="E64" i="3"/>
  <c r="F64" i="3"/>
  <c r="G64" i="3"/>
  <c r="H64" i="3"/>
  <c r="I64" i="3"/>
  <c r="J64" i="3"/>
  <c r="K64" i="3"/>
  <c r="L64" i="3"/>
  <c r="M64" i="3"/>
  <c r="N64" i="3"/>
  <c r="E65" i="3"/>
  <c r="F65" i="3"/>
  <c r="G65" i="3"/>
  <c r="H65" i="3"/>
  <c r="I65" i="3"/>
  <c r="J65" i="3"/>
  <c r="K65" i="3"/>
  <c r="L65" i="3"/>
  <c r="M65" i="3"/>
  <c r="N65" i="3"/>
  <c r="F66" i="3"/>
  <c r="G66" i="3"/>
  <c r="H66" i="3"/>
  <c r="I66" i="3"/>
  <c r="J66" i="3"/>
  <c r="K66" i="3"/>
  <c r="L66" i="3"/>
  <c r="M66" i="3"/>
  <c r="N66" i="3"/>
  <c r="G67" i="3"/>
  <c r="H67" i="3"/>
  <c r="I67" i="3"/>
  <c r="J67" i="3"/>
  <c r="K67" i="3"/>
  <c r="L67" i="3"/>
  <c r="M67" i="3"/>
  <c r="N67" i="3"/>
  <c r="H68" i="3"/>
  <c r="I68" i="3"/>
  <c r="J68" i="3"/>
  <c r="K68" i="3"/>
  <c r="L68" i="3"/>
  <c r="M68" i="3"/>
  <c r="N68" i="3"/>
  <c r="I69" i="3"/>
  <c r="J69" i="3"/>
  <c r="K69" i="3"/>
  <c r="L69" i="3"/>
  <c r="M69" i="3"/>
  <c r="N69" i="3"/>
  <c r="J70" i="3"/>
  <c r="K70" i="3"/>
  <c r="L70" i="3"/>
  <c r="M70" i="3"/>
  <c r="N70" i="3"/>
  <c r="K71" i="3"/>
  <c r="L71" i="3"/>
  <c r="M71" i="3"/>
  <c r="N71" i="3"/>
  <c r="L72" i="3"/>
  <c r="M72" i="3"/>
  <c r="N72" i="3"/>
  <c r="M73" i="3"/>
  <c r="N73" i="3"/>
  <c r="N74" i="3"/>
  <c r="E75" i="3"/>
  <c r="F75" i="3"/>
  <c r="G75" i="3"/>
  <c r="H75" i="3"/>
  <c r="I75" i="3"/>
  <c r="J75" i="3"/>
  <c r="K75" i="3"/>
  <c r="L75" i="3"/>
  <c r="M75" i="3"/>
  <c r="N75" i="3"/>
  <c r="E76" i="3"/>
  <c r="F76" i="3"/>
  <c r="G76" i="3"/>
  <c r="H76" i="3"/>
  <c r="I76" i="3"/>
  <c r="J76" i="3"/>
  <c r="K76" i="3"/>
  <c r="L76" i="3"/>
  <c r="M76" i="3"/>
  <c r="N76" i="3"/>
  <c r="B4" i="1"/>
  <c r="K7" i="1"/>
  <c r="F8" i="1"/>
  <c r="F12" i="1"/>
  <c r="K12" i="1"/>
  <c r="M15" i="1"/>
  <c r="L16" i="1"/>
  <c r="M16" i="1"/>
  <c r="L17" i="1"/>
  <c r="M17" i="1"/>
  <c r="L18" i="1"/>
  <c r="L20" i="1"/>
  <c r="M21" i="1"/>
  <c r="L34" i="1"/>
  <c r="L35" i="1"/>
  <c r="L36" i="1"/>
  <c r="G37" i="1"/>
  <c r="L37" i="1"/>
  <c r="G38" i="1"/>
  <c r="L38" i="1"/>
  <c r="K39" i="1"/>
  <c r="F41" i="1"/>
  <c r="L41" i="1"/>
  <c r="F42" i="1"/>
  <c r="G43" i="1"/>
  <c r="G44" i="1"/>
  <c r="G46" i="1"/>
  <c r="L46" i="1"/>
  <c r="F47" i="1"/>
  <c r="L47" i="1"/>
  <c r="L51" i="1"/>
  <c r="L52" i="1"/>
  <c r="L53" i="1"/>
  <c r="L54" i="1"/>
  <c r="J55" i="1"/>
  <c r="D35" i="18"/>
  <c r="E35" i="18"/>
  <c r="F35" i="18"/>
  <c r="G35" i="18"/>
  <c r="H35" i="18"/>
  <c r="I35" i="18"/>
  <c r="J35" i="18"/>
  <c r="K35" i="18"/>
  <c r="L35" i="18"/>
  <c r="M35" i="18"/>
  <c r="N35" i="18"/>
  <c r="D36" i="18"/>
  <c r="E36" i="18"/>
  <c r="F36" i="18"/>
  <c r="G36" i="18"/>
  <c r="H36" i="18"/>
  <c r="I36" i="18"/>
  <c r="J36" i="18"/>
  <c r="K36" i="18"/>
  <c r="L36" i="18"/>
  <c r="M36" i="18"/>
  <c r="N36" i="18"/>
  <c r="D37" i="18"/>
  <c r="E37" i="18"/>
  <c r="F37" i="18"/>
  <c r="G37" i="18"/>
  <c r="H37" i="18"/>
  <c r="I37" i="18"/>
  <c r="J37" i="18"/>
  <c r="K37" i="18"/>
  <c r="L37" i="18"/>
  <c r="M37" i="18"/>
  <c r="N37" i="18"/>
  <c r="D38" i="18"/>
  <c r="E38" i="18"/>
  <c r="F38" i="18"/>
  <c r="G38" i="18"/>
  <c r="H38" i="18"/>
  <c r="I38" i="18"/>
  <c r="J38" i="18"/>
  <c r="K38" i="18"/>
  <c r="L38" i="18"/>
  <c r="M38" i="18"/>
  <c r="N38" i="18"/>
  <c r="D39" i="18"/>
  <c r="E39" i="18"/>
  <c r="F39" i="18"/>
  <c r="G39" i="18"/>
  <c r="H39" i="18"/>
  <c r="I39" i="18"/>
  <c r="J39" i="18"/>
  <c r="K39" i="18"/>
  <c r="L39" i="18"/>
  <c r="M39" i="18"/>
  <c r="N39" i="18"/>
  <c r="D41" i="18"/>
  <c r="E41" i="18"/>
  <c r="F41" i="18"/>
  <c r="G41" i="18"/>
  <c r="H41" i="18"/>
  <c r="I41" i="18"/>
  <c r="J41" i="18"/>
  <c r="K41" i="18"/>
  <c r="L41" i="18"/>
  <c r="M41" i="18"/>
  <c r="N41" i="18"/>
  <c r="D45" i="18"/>
  <c r="E45" i="18"/>
  <c r="F45" i="18"/>
  <c r="G45" i="18"/>
  <c r="H45" i="18"/>
  <c r="I45" i="18"/>
  <c r="J45" i="18"/>
  <c r="K45" i="18"/>
  <c r="L45" i="18"/>
  <c r="M45" i="18"/>
  <c r="N45" i="18"/>
  <c r="D46" i="18"/>
  <c r="E46" i="18"/>
  <c r="F46" i="18"/>
  <c r="G46" i="18"/>
  <c r="H46" i="18"/>
  <c r="I46" i="18"/>
  <c r="J46" i="18"/>
  <c r="K46" i="18"/>
  <c r="L46" i="18"/>
  <c r="M46" i="18"/>
  <c r="N46" i="18"/>
  <c r="D48" i="18"/>
  <c r="E48" i="18"/>
  <c r="F48" i="18"/>
  <c r="G48" i="18"/>
  <c r="H48" i="18"/>
  <c r="I48" i="18"/>
  <c r="J48" i="18"/>
  <c r="K48" i="18"/>
  <c r="L48" i="18"/>
  <c r="M48" i="18"/>
  <c r="N48" i="18"/>
  <c r="E54" i="18"/>
  <c r="F54" i="18"/>
  <c r="G54" i="18"/>
  <c r="H54" i="18"/>
  <c r="I54" i="18"/>
  <c r="J54" i="18"/>
  <c r="K54" i="18"/>
  <c r="L54" i="18"/>
  <c r="M54" i="18"/>
  <c r="N54" i="18"/>
  <c r="C58" i="18"/>
  <c r="D58" i="18"/>
  <c r="E58" i="18"/>
  <c r="F58" i="18"/>
  <c r="G58" i="18"/>
  <c r="H58" i="18"/>
  <c r="I58" i="18"/>
  <c r="J58" i="18"/>
  <c r="K58" i="18"/>
  <c r="L58" i="18"/>
  <c r="M58" i="18"/>
  <c r="N58" i="18"/>
  <c r="C59" i="18"/>
  <c r="C60" i="18"/>
  <c r="C65" i="18"/>
  <c r="D65" i="18"/>
  <c r="E65" i="18"/>
  <c r="F65" i="18"/>
  <c r="G65" i="18"/>
  <c r="H65" i="18"/>
  <c r="I65" i="18"/>
  <c r="J65" i="18"/>
  <c r="K65" i="18"/>
  <c r="L65" i="18"/>
  <c r="M65" i="18"/>
  <c r="N65" i="18"/>
  <c r="D66" i="18"/>
  <c r="E66" i="18"/>
  <c r="F66" i="18"/>
  <c r="G66" i="18"/>
  <c r="H66" i="18"/>
  <c r="I66" i="18"/>
  <c r="J66" i="18"/>
  <c r="K66" i="18"/>
  <c r="L66" i="18"/>
  <c r="M66" i="18"/>
  <c r="N66" i="18"/>
  <c r="E67" i="18"/>
  <c r="F67" i="18"/>
  <c r="G67" i="18"/>
  <c r="H67" i="18"/>
  <c r="I67" i="18"/>
  <c r="J67" i="18"/>
  <c r="K67" i="18"/>
  <c r="L67" i="18"/>
  <c r="M67" i="18"/>
  <c r="N67" i="18"/>
  <c r="F68" i="18"/>
  <c r="G68" i="18"/>
  <c r="H68" i="18"/>
  <c r="I68" i="18"/>
  <c r="J68" i="18"/>
  <c r="K68" i="18"/>
  <c r="L68" i="18"/>
  <c r="M68" i="18"/>
  <c r="N68" i="18"/>
  <c r="G69" i="18"/>
  <c r="H69" i="18"/>
  <c r="I69" i="18"/>
  <c r="J69" i="18"/>
  <c r="K69" i="18"/>
  <c r="L69" i="18"/>
  <c r="M69" i="18"/>
  <c r="N69" i="18"/>
  <c r="H70" i="18"/>
  <c r="I70" i="18"/>
  <c r="J70" i="18"/>
  <c r="K70" i="18"/>
  <c r="L70" i="18"/>
  <c r="M70" i="18"/>
  <c r="N70" i="18"/>
  <c r="I71" i="18"/>
  <c r="J71" i="18"/>
  <c r="K71" i="18"/>
  <c r="L71" i="18"/>
  <c r="M71" i="18"/>
  <c r="N71" i="18"/>
  <c r="J72" i="18"/>
  <c r="K72" i="18"/>
  <c r="L72" i="18"/>
  <c r="M72" i="18"/>
  <c r="N72" i="18"/>
  <c r="K73" i="18"/>
  <c r="L73" i="18"/>
  <c r="M73" i="18"/>
  <c r="N73" i="18"/>
  <c r="L74" i="18"/>
  <c r="M74" i="18"/>
  <c r="N74" i="18"/>
  <c r="M75" i="18"/>
  <c r="N75" i="18"/>
  <c r="N76" i="18"/>
  <c r="E77" i="18"/>
  <c r="F77" i="18"/>
  <c r="G77" i="18"/>
  <c r="H77" i="18"/>
  <c r="I77" i="18"/>
  <c r="J77" i="18"/>
  <c r="K77" i="18"/>
  <c r="L77" i="18"/>
  <c r="M77" i="18"/>
  <c r="N77" i="18"/>
  <c r="E78" i="18"/>
  <c r="F78" i="18"/>
  <c r="G78" i="18"/>
  <c r="H78" i="18"/>
  <c r="I78" i="18"/>
  <c r="J78" i="18"/>
  <c r="K78" i="18"/>
  <c r="L78" i="18"/>
  <c r="M78" i="18"/>
  <c r="N78" i="18"/>
  <c r="C86" i="18" a="1"/>
  <c r="C86" i="18"/>
  <c r="D86" i="18" a="1"/>
  <c r="D86" i="18"/>
  <c r="E86" i="18" a="1"/>
  <c r="E86" i="18"/>
  <c r="F86" i="18" a="1"/>
  <c r="F86" i="18"/>
  <c r="G86" i="18" a="1"/>
  <c r="G86" i="18"/>
  <c r="H86" i="18" a="1"/>
  <c r="H86" i="18"/>
  <c r="C87" i="18"/>
  <c r="C88" i="18"/>
  <c r="C92" i="18"/>
  <c r="D92" i="18"/>
  <c r="E92" i="18"/>
  <c r="F92" i="18"/>
  <c r="G92" i="18"/>
  <c r="H92" i="18"/>
  <c r="I92" i="18"/>
  <c r="J92" i="18"/>
  <c r="K92" i="18"/>
  <c r="L92" i="18"/>
  <c r="M92" i="18"/>
  <c r="N92" i="18"/>
  <c r="C93" i="18"/>
  <c r="D93" i="18"/>
  <c r="E93" i="18"/>
  <c r="F93" i="18"/>
  <c r="G93" i="18"/>
  <c r="H93" i="18"/>
  <c r="D94" i="18"/>
  <c r="E94" i="18"/>
  <c r="F94" i="18"/>
  <c r="G94" i="18"/>
  <c r="H94" i="18"/>
  <c r="I94" i="18"/>
  <c r="J94" i="18"/>
  <c r="K94" i="18"/>
  <c r="L94" i="18"/>
  <c r="M94" i="18"/>
  <c r="N94" i="18"/>
  <c r="C95" i="18"/>
  <c r="D95" i="18"/>
  <c r="E95" i="18"/>
  <c r="F95" i="18"/>
  <c r="G95" i="18"/>
  <c r="H95" i="18"/>
  <c r="I95" i="18"/>
  <c r="J95" i="18"/>
  <c r="K95" i="18"/>
  <c r="L95" i="18"/>
  <c r="M95" i="18"/>
  <c r="N95" i="18"/>
  <c r="C96" i="18"/>
  <c r="D96" i="18"/>
  <c r="E96" i="18"/>
  <c r="F96" i="18"/>
  <c r="G96" i="18"/>
  <c r="H96" i="18"/>
  <c r="I96" i="18"/>
  <c r="J96" i="18"/>
  <c r="K96" i="18"/>
  <c r="L96" i="18"/>
  <c r="M96" i="18"/>
  <c r="N96" i="18"/>
  <c r="C99" i="18"/>
  <c r="D99" i="18"/>
  <c r="E99" i="18"/>
  <c r="F99" i="18"/>
  <c r="G99" i="18"/>
  <c r="H99" i="18"/>
  <c r="I99" i="18"/>
  <c r="J99" i="18"/>
  <c r="K99" i="18"/>
  <c r="L99" i="18"/>
  <c r="M99" i="18"/>
  <c r="N99" i="18"/>
  <c r="C100" i="18"/>
  <c r="D100" i="18"/>
  <c r="E100" i="18"/>
  <c r="F100" i="18"/>
  <c r="G100" i="18"/>
  <c r="H100" i="18"/>
  <c r="D101" i="18"/>
  <c r="E101" i="18"/>
  <c r="F101" i="18"/>
  <c r="G101" i="18"/>
  <c r="H101" i="18"/>
  <c r="I101" i="18"/>
  <c r="J101" i="18"/>
  <c r="K101" i="18"/>
  <c r="L101" i="18"/>
  <c r="M101" i="18"/>
  <c r="N101" i="18"/>
  <c r="C102" i="18"/>
  <c r="D102" i="18"/>
  <c r="E102" i="18"/>
  <c r="F102" i="18"/>
  <c r="G102" i="18"/>
  <c r="H102" i="18"/>
  <c r="I102" i="18"/>
  <c r="J102" i="18"/>
  <c r="K102" i="18"/>
  <c r="L102" i="18"/>
  <c r="M102" i="18"/>
  <c r="N102" i="18"/>
  <c r="C103" i="18"/>
  <c r="D103" i="18"/>
  <c r="E103" i="18"/>
  <c r="F103" i="18"/>
  <c r="G103" i="18"/>
  <c r="H103" i="18"/>
  <c r="I103" i="18"/>
  <c r="J103" i="18"/>
  <c r="K103" i="18"/>
  <c r="L103" i="18"/>
  <c r="M103" i="18"/>
  <c r="N103" i="18"/>
  <c r="C106" i="18"/>
  <c r="D106" i="18"/>
  <c r="E106" i="18"/>
  <c r="F106" i="18"/>
  <c r="G106" i="18"/>
  <c r="H106" i="18"/>
  <c r="I106" i="18"/>
  <c r="J106" i="18"/>
  <c r="K106" i="18"/>
  <c r="L106" i="18"/>
  <c r="M106" i="18"/>
  <c r="N106" i="18"/>
  <c r="C107" i="18"/>
  <c r="D107" i="18"/>
  <c r="E107" i="18"/>
  <c r="F107" i="18"/>
  <c r="G107" i="18"/>
  <c r="H107" i="18"/>
  <c r="I107" i="18"/>
  <c r="J107" i="18"/>
  <c r="K107" i="18"/>
  <c r="L107" i="18"/>
  <c r="M107" i="18"/>
  <c r="N107" i="18"/>
  <c r="C108" i="18"/>
  <c r="D108" i="18"/>
  <c r="E108" i="18"/>
  <c r="F108" i="18"/>
  <c r="G108" i="18"/>
  <c r="H108" i="18"/>
  <c r="I108" i="18"/>
  <c r="J108" i="18"/>
  <c r="K108" i="18"/>
  <c r="L108" i="18"/>
  <c r="M108" i="18"/>
  <c r="N108" i="18"/>
  <c r="C111" i="18"/>
  <c r="D111" i="18"/>
  <c r="E111" i="18"/>
  <c r="F111" i="18"/>
  <c r="G111" i="18"/>
  <c r="H111" i="18"/>
  <c r="I111" i="18"/>
  <c r="J111" i="18"/>
  <c r="K111" i="18"/>
  <c r="L111" i="18"/>
  <c r="M111" i="18"/>
  <c r="N111" i="18"/>
  <c r="C114" i="18"/>
  <c r="D114" i="18"/>
  <c r="E114" i="18"/>
  <c r="F114" i="18"/>
  <c r="G114" i="18"/>
  <c r="H114" i="18"/>
  <c r="I114" i="18"/>
  <c r="J114" i="18"/>
  <c r="K114" i="18"/>
  <c r="L114" i="18"/>
  <c r="M114" i="18"/>
  <c r="N114" i="18"/>
  <c r="C115" i="18"/>
  <c r="D115" i="18"/>
  <c r="E115" i="18"/>
  <c r="F115" i="18"/>
  <c r="G115" i="18"/>
  <c r="H115" i="18"/>
  <c r="I115" i="18"/>
  <c r="J115" i="18"/>
  <c r="K115" i="18"/>
  <c r="L115" i="18"/>
  <c r="M115" i="18"/>
  <c r="N115" i="18"/>
  <c r="C116" i="18"/>
  <c r="D116" i="18"/>
  <c r="E116" i="18"/>
  <c r="F116" i="18"/>
  <c r="G116" i="18"/>
  <c r="H116" i="18"/>
  <c r="I116" i="18"/>
  <c r="J116" i="18"/>
  <c r="K116" i="18"/>
  <c r="L116" i="18"/>
  <c r="M116" i="18"/>
  <c r="N116" i="18"/>
  <c r="C117" i="18"/>
  <c r="D117" i="18"/>
  <c r="E117" i="18"/>
  <c r="F117" i="18"/>
  <c r="G117" i="18"/>
  <c r="H117" i="18"/>
  <c r="I117" i="18"/>
  <c r="J117" i="18"/>
  <c r="K117" i="18"/>
  <c r="L117" i="18"/>
  <c r="M117" i="18"/>
  <c r="N117" i="18"/>
  <c r="C119" i="18"/>
  <c r="D119" i="18"/>
  <c r="E119" i="18"/>
  <c r="F119" i="18"/>
  <c r="G119" i="18"/>
  <c r="H119" i="18"/>
  <c r="I119" i="18"/>
  <c r="J119" i="18"/>
  <c r="K119" i="18"/>
  <c r="L119" i="18"/>
  <c r="M119" i="18"/>
  <c r="N119" i="18"/>
  <c r="C120" i="18"/>
  <c r="C121" i="18"/>
  <c r="C123" i="18"/>
  <c r="D123" i="18"/>
  <c r="E123" i="18"/>
  <c r="F123" i="18"/>
  <c r="G123" i="18"/>
  <c r="H123" i="18"/>
  <c r="I123" i="18"/>
  <c r="J123" i="18"/>
  <c r="K123" i="18"/>
  <c r="L123" i="18"/>
  <c r="M123" i="18"/>
  <c r="N123" i="18"/>
  <c r="C124" i="18"/>
  <c r="C125" i="18"/>
  <c r="C129" i="18"/>
  <c r="D129" i="18"/>
  <c r="E129" i="18"/>
  <c r="F129" i="18"/>
  <c r="G129" i="18"/>
  <c r="H129" i="18"/>
  <c r="I129" i="18"/>
  <c r="J129" i="18"/>
  <c r="K129" i="18"/>
  <c r="L129" i="18"/>
  <c r="M129" i="18"/>
  <c r="N129" i="18"/>
  <c r="C130" i="18"/>
  <c r="D130" i="18"/>
  <c r="E130" i="18"/>
  <c r="F130" i="18"/>
  <c r="G130" i="18"/>
  <c r="H130" i="18"/>
  <c r="I130" i="18"/>
  <c r="J130" i="18"/>
  <c r="K130" i="18"/>
  <c r="L130" i="18"/>
  <c r="M130" i="18"/>
  <c r="N130" i="18"/>
  <c r="B4" i="19"/>
  <c r="L7" i="19"/>
  <c r="L12" i="19"/>
  <c r="M17" i="19"/>
  <c r="L18" i="19"/>
  <c r="M18" i="19"/>
  <c r="L19" i="19"/>
  <c r="M19" i="19"/>
  <c r="L20" i="19"/>
  <c r="G22" i="19"/>
  <c r="L22" i="19"/>
  <c r="L23" i="19"/>
  <c r="G24" i="19"/>
  <c r="L24" i="19"/>
  <c r="G26" i="19" a="1"/>
  <c r="G26" i="19"/>
  <c r="M26" i="19"/>
  <c r="G27" i="19"/>
  <c r="G28" i="19"/>
  <c r="G30" i="19"/>
  <c r="G31" i="19"/>
  <c r="G33" i="19"/>
  <c r="G34" i="19"/>
  <c r="G35" i="19"/>
  <c r="F38" i="19"/>
  <c r="G38" i="19"/>
  <c r="L38" i="19"/>
  <c r="L39" i="19"/>
  <c r="L41" i="19"/>
  <c r="L42" i="19"/>
  <c r="L43" i="19"/>
  <c r="G44" i="19"/>
  <c r="L44" i="19"/>
  <c r="G45" i="19"/>
  <c r="L45" i="19"/>
  <c r="G46" i="19"/>
  <c r="K46" i="19"/>
  <c r="G47" i="19"/>
  <c r="L48" i="19"/>
  <c r="B50" i="19"/>
  <c r="L53" i="19"/>
  <c r="L54" i="19"/>
  <c r="I6" i="14"/>
  <c r="M6" i="14"/>
  <c r="C7" i="14"/>
  <c r="C8" i="14"/>
  <c r="C9" i="14"/>
  <c r="D9" i="14"/>
  <c r="I9" i="14"/>
  <c r="M9" i="14"/>
  <c r="I10" i="14"/>
  <c r="M10" i="14"/>
  <c r="I11" i="14"/>
  <c r="M11" i="14"/>
  <c r="I12" i="14"/>
  <c r="M12" i="14"/>
  <c r="D19" i="14"/>
  <c r="G19" i="14"/>
  <c r="H19" i="14"/>
  <c r="I19" i="14"/>
  <c r="J19" i="14"/>
  <c r="K19" i="14"/>
  <c r="L19" i="14"/>
  <c r="M19" i="14"/>
  <c r="N19" i="14"/>
  <c r="O19" i="14"/>
  <c r="P19" i="14"/>
  <c r="Q19" i="14"/>
  <c r="R19" i="14"/>
  <c r="H22" i="14"/>
  <c r="I22" i="14"/>
  <c r="J22" i="14"/>
  <c r="K22" i="14"/>
  <c r="L22" i="14"/>
  <c r="M22" i="14"/>
  <c r="N22" i="14"/>
  <c r="O22" i="14"/>
  <c r="P22" i="14"/>
  <c r="Q22" i="14"/>
  <c r="R22" i="14"/>
  <c r="H23" i="14"/>
  <c r="I23" i="14"/>
  <c r="J23" i="14"/>
  <c r="K23" i="14"/>
  <c r="L23" i="14"/>
  <c r="M23" i="14"/>
  <c r="N23" i="14"/>
  <c r="O23" i="14"/>
  <c r="P23" i="14"/>
  <c r="Q23" i="14"/>
  <c r="R23" i="14"/>
  <c r="G24" i="14"/>
  <c r="H24" i="14"/>
  <c r="I24" i="14"/>
  <c r="J24" i="14"/>
  <c r="K24" i="14"/>
  <c r="L24" i="14"/>
  <c r="M24" i="14"/>
  <c r="N24" i="14"/>
  <c r="O24" i="14"/>
  <c r="P24" i="14"/>
  <c r="Q24" i="14"/>
  <c r="R24" i="14"/>
  <c r="G25" i="14"/>
  <c r="H25" i="14"/>
  <c r="I25" i="14"/>
  <c r="J25" i="14"/>
  <c r="K25" i="14"/>
  <c r="L25" i="14"/>
  <c r="M25" i="14"/>
  <c r="N25" i="14"/>
  <c r="O25" i="14"/>
  <c r="P25" i="14"/>
  <c r="Q25" i="14"/>
  <c r="R25" i="14"/>
  <c r="G26" i="14"/>
  <c r="H26" i="14"/>
  <c r="I26" i="14"/>
  <c r="J26" i="14"/>
  <c r="K26" i="14"/>
  <c r="L26" i="14"/>
  <c r="M26" i="14"/>
  <c r="N26" i="14"/>
  <c r="O26" i="14"/>
  <c r="P26" i="14"/>
  <c r="Q26" i="14"/>
  <c r="R26" i="14"/>
  <c r="G29" i="14"/>
  <c r="H29" i="14"/>
  <c r="I29" i="14"/>
  <c r="J29" i="14"/>
  <c r="K29" i="14"/>
  <c r="L29" i="14"/>
  <c r="M29" i="14"/>
  <c r="N29" i="14"/>
  <c r="O29" i="14"/>
  <c r="P29" i="14"/>
  <c r="Q29" i="14"/>
  <c r="R29" i="14"/>
  <c r="G30" i="14"/>
  <c r="H30" i="14"/>
  <c r="I30" i="14"/>
  <c r="J30" i="14"/>
  <c r="K30" i="14"/>
  <c r="L30" i="14"/>
  <c r="M30" i="14"/>
  <c r="N30" i="14"/>
  <c r="O30" i="14"/>
  <c r="P30" i="14"/>
  <c r="Q30" i="14"/>
  <c r="R30" i="14"/>
  <c r="G31" i="14"/>
  <c r="H31" i="14"/>
  <c r="I31" i="14"/>
  <c r="J31" i="14"/>
  <c r="K31" i="14"/>
  <c r="L31" i="14"/>
  <c r="M31" i="14"/>
  <c r="N31" i="14"/>
  <c r="O31" i="14"/>
  <c r="P31" i="14"/>
  <c r="Q31" i="14"/>
  <c r="R31" i="14"/>
  <c r="G33" i="14"/>
  <c r="H33" i="14"/>
  <c r="I33" i="14"/>
  <c r="J33" i="14"/>
  <c r="K33" i="14"/>
  <c r="L33" i="14"/>
  <c r="M33" i="14"/>
  <c r="N33" i="14"/>
  <c r="O33" i="14"/>
  <c r="P33" i="14"/>
  <c r="Q33" i="14"/>
  <c r="R33" i="14"/>
  <c r="G36" i="14"/>
  <c r="H36" i="14"/>
  <c r="I36" i="14"/>
  <c r="J36" i="14"/>
  <c r="K36" i="14"/>
  <c r="L36" i="14"/>
  <c r="M36" i="14"/>
  <c r="N36" i="14"/>
  <c r="O36" i="14"/>
  <c r="P36" i="14"/>
  <c r="Q36" i="14"/>
  <c r="R36" i="14"/>
  <c r="G37" i="14"/>
  <c r="H37" i="14"/>
  <c r="I37" i="14"/>
  <c r="J37" i="14"/>
  <c r="K37" i="14"/>
  <c r="L37" i="14"/>
  <c r="M37" i="14"/>
  <c r="N37" i="14"/>
  <c r="O37" i="14"/>
  <c r="P37" i="14"/>
  <c r="Q37" i="14"/>
  <c r="R37" i="14"/>
  <c r="G38" i="14"/>
  <c r="H38" i="14"/>
  <c r="I38" i="14"/>
  <c r="J38" i="14"/>
  <c r="K38" i="14"/>
  <c r="L38" i="14"/>
  <c r="M38" i="14"/>
  <c r="N38" i="14"/>
  <c r="O38" i="14"/>
  <c r="P38" i="14"/>
  <c r="Q38" i="14"/>
  <c r="R38" i="14"/>
  <c r="G41" i="14"/>
  <c r="H41" i="14"/>
  <c r="I41" i="14"/>
  <c r="J41" i="14"/>
  <c r="K41" i="14"/>
  <c r="L41" i="14"/>
  <c r="M41" i="14"/>
  <c r="N41" i="14"/>
  <c r="O41" i="14"/>
  <c r="P41" i="14"/>
  <c r="Q41" i="14"/>
  <c r="R41" i="14"/>
  <c r="G42" i="14"/>
  <c r="H42" i="14"/>
  <c r="I42" i="14"/>
  <c r="J42" i="14"/>
  <c r="K42" i="14"/>
  <c r="L42" i="14"/>
  <c r="M42" i="14"/>
  <c r="N42" i="14"/>
  <c r="O42" i="14"/>
  <c r="P42" i="14"/>
  <c r="Q42" i="14"/>
  <c r="R42" i="14"/>
  <c r="G43" i="14"/>
  <c r="H43" i="14"/>
  <c r="I43" i="14"/>
  <c r="J43" i="14"/>
  <c r="K43" i="14"/>
  <c r="L43" i="14"/>
  <c r="M43" i="14"/>
  <c r="N43" i="14"/>
  <c r="O43" i="14"/>
  <c r="P43" i="14"/>
  <c r="Q43" i="14"/>
  <c r="R43" i="14"/>
  <c r="H47" i="14"/>
  <c r="I47" i="14"/>
  <c r="J47" i="14"/>
  <c r="K47" i="14"/>
  <c r="L47" i="14"/>
  <c r="M47" i="14"/>
  <c r="N47" i="14"/>
  <c r="O47" i="14"/>
  <c r="P47" i="14"/>
  <c r="Q47" i="14"/>
  <c r="R47" i="14"/>
  <c r="H48" i="14"/>
  <c r="I48" i="14"/>
  <c r="J48" i="14"/>
  <c r="K48" i="14"/>
  <c r="L48" i="14"/>
  <c r="M48" i="14"/>
  <c r="N48" i="14"/>
  <c r="O48" i="14"/>
  <c r="P48" i="14"/>
  <c r="Q48" i="14"/>
  <c r="R48" i="14"/>
  <c r="G49" i="14"/>
  <c r="H49" i="14"/>
  <c r="I49" i="14"/>
  <c r="J49" i="14"/>
  <c r="K49" i="14"/>
  <c r="L49" i="14"/>
  <c r="M49" i="14"/>
  <c r="N49" i="14"/>
  <c r="O49" i="14"/>
  <c r="P49" i="14"/>
  <c r="Q49" i="14"/>
  <c r="R49" i="14"/>
  <c r="G50" i="14"/>
  <c r="H50" i="14"/>
  <c r="I50" i="14"/>
  <c r="J50" i="14"/>
  <c r="K50" i="14"/>
  <c r="L50" i="14"/>
  <c r="M50" i="14"/>
  <c r="N50" i="14"/>
  <c r="O50" i="14"/>
  <c r="P50" i="14"/>
  <c r="Q50" i="14"/>
  <c r="R50" i="14"/>
  <c r="G51" i="14"/>
  <c r="H51" i="14"/>
  <c r="I51" i="14"/>
  <c r="J51" i="14"/>
  <c r="K51" i="14"/>
  <c r="L51" i="14"/>
  <c r="M51" i="14"/>
  <c r="N51" i="14"/>
  <c r="O51" i="14"/>
  <c r="P51" i="14"/>
  <c r="Q51" i="14"/>
  <c r="R51" i="14"/>
  <c r="G52" i="14"/>
  <c r="H52" i="14"/>
  <c r="I52" i="14"/>
  <c r="J52" i="14"/>
  <c r="K52" i="14"/>
  <c r="L52" i="14"/>
  <c r="M52" i="14"/>
  <c r="N52" i="14"/>
  <c r="O52" i="14"/>
  <c r="P52" i="14"/>
  <c r="Q52" i="14"/>
  <c r="R52" i="14"/>
  <c r="G55" i="14"/>
  <c r="H55" i="14"/>
  <c r="I55" i="14"/>
  <c r="J55" i="14"/>
  <c r="K55" i="14"/>
  <c r="L55" i="14"/>
  <c r="M55" i="14"/>
  <c r="N55" i="14"/>
  <c r="O55" i="14"/>
  <c r="P55" i="14"/>
  <c r="Q55" i="14"/>
  <c r="R55" i="14"/>
  <c r="G56" i="14"/>
  <c r="H56" i="14"/>
  <c r="I56" i="14"/>
  <c r="J56" i="14"/>
  <c r="K56" i="14"/>
  <c r="L56" i="14"/>
  <c r="M56" i="14"/>
  <c r="N56" i="14"/>
  <c r="O56" i="14"/>
  <c r="P56" i="14"/>
  <c r="Q56" i="14"/>
  <c r="R56" i="14"/>
  <c r="G57" i="14"/>
  <c r="H57" i="14"/>
  <c r="I57" i="14"/>
  <c r="J57" i="14"/>
  <c r="K57" i="14"/>
  <c r="L57" i="14"/>
  <c r="M57" i="14"/>
  <c r="N57" i="14"/>
  <c r="O57" i="14"/>
  <c r="P57" i="14"/>
  <c r="Q57" i="14"/>
  <c r="R57" i="14"/>
  <c r="G58" i="14"/>
  <c r="H58" i="14"/>
  <c r="I58" i="14"/>
  <c r="J58" i="14"/>
  <c r="K58" i="14"/>
  <c r="L58" i="14"/>
  <c r="M58" i="14"/>
  <c r="N58" i="14"/>
  <c r="O58" i="14"/>
  <c r="P58" i="14"/>
  <c r="Q58" i="14"/>
  <c r="R58" i="14"/>
  <c r="G60" i="14"/>
  <c r="H60" i="14"/>
  <c r="I60" i="14"/>
  <c r="J60" i="14"/>
  <c r="K60" i="14"/>
  <c r="L60" i="14"/>
  <c r="M60" i="14"/>
  <c r="N60" i="14"/>
  <c r="O60" i="14"/>
  <c r="P60" i="14"/>
  <c r="Q60" i="14"/>
  <c r="R60" i="14"/>
  <c r="H63" i="14"/>
  <c r="I63" i="14"/>
  <c r="J63" i="14"/>
  <c r="K63" i="14"/>
  <c r="L63" i="14"/>
  <c r="M63" i="14"/>
  <c r="N63" i="14"/>
  <c r="O63" i="14"/>
  <c r="P63" i="14"/>
  <c r="Q63" i="14"/>
  <c r="R63" i="14"/>
  <c r="H64" i="14"/>
  <c r="I64" i="14"/>
  <c r="J64" i="14"/>
  <c r="K64" i="14"/>
  <c r="L64" i="14"/>
  <c r="M64" i="14"/>
  <c r="N64" i="14"/>
  <c r="O64" i="14"/>
  <c r="P64" i="14"/>
  <c r="Q64" i="14"/>
  <c r="R64" i="14"/>
  <c r="G65" i="14"/>
  <c r="H65" i="14"/>
  <c r="I65" i="14"/>
  <c r="J65" i="14"/>
  <c r="K65" i="14"/>
  <c r="L65" i="14"/>
  <c r="M65" i="14"/>
  <c r="N65" i="14"/>
  <c r="O65" i="14"/>
  <c r="P65" i="14"/>
  <c r="Q65" i="14"/>
  <c r="R65" i="14"/>
  <c r="G66" i="14"/>
  <c r="H66" i="14"/>
  <c r="I66" i="14"/>
  <c r="J66" i="14"/>
  <c r="K66" i="14"/>
  <c r="L66" i="14"/>
  <c r="M66" i="14"/>
  <c r="N66" i="14"/>
  <c r="O66" i="14"/>
  <c r="P66" i="14"/>
  <c r="Q66" i="14"/>
  <c r="R66" i="14"/>
  <c r="G67" i="14"/>
  <c r="H67" i="14"/>
  <c r="I67" i="14"/>
  <c r="J67" i="14"/>
  <c r="K67" i="14"/>
  <c r="L67" i="14"/>
  <c r="M67" i="14"/>
  <c r="N67" i="14"/>
  <c r="O67" i="14"/>
  <c r="P67" i="14"/>
  <c r="Q67" i="14"/>
  <c r="R67" i="14"/>
  <c r="G68" i="14"/>
  <c r="H68" i="14"/>
  <c r="I68" i="14"/>
  <c r="J68" i="14"/>
  <c r="K68" i="14"/>
  <c r="L68" i="14"/>
  <c r="M68" i="14"/>
  <c r="N68" i="14"/>
  <c r="O68" i="14"/>
  <c r="P68" i="14"/>
  <c r="Q68" i="14"/>
  <c r="R68" i="14"/>
  <c r="G69" i="14"/>
  <c r="H69" i="14"/>
  <c r="I69" i="14"/>
  <c r="J69" i="14"/>
  <c r="K69" i="14"/>
  <c r="L69" i="14"/>
  <c r="M69" i="14"/>
  <c r="N69" i="14"/>
  <c r="O69" i="14"/>
  <c r="P69" i="14"/>
  <c r="Q69" i="14"/>
  <c r="R69" i="14"/>
  <c r="G72" i="14"/>
  <c r="H72" i="14"/>
  <c r="I72" i="14"/>
  <c r="J72" i="14"/>
  <c r="K72" i="14"/>
  <c r="L72" i="14"/>
  <c r="M72" i="14"/>
  <c r="N72" i="14"/>
  <c r="O72" i="14"/>
  <c r="P72" i="14"/>
  <c r="Q72" i="14"/>
  <c r="R72" i="14"/>
  <c r="G73" i="14"/>
  <c r="H73" i="14"/>
  <c r="I73" i="14"/>
  <c r="J73" i="14"/>
  <c r="K73" i="14"/>
  <c r="L73" i="14"/>
  <c r="M73" i="14"/>
  <c r="N73" i="14"/>
  <c r="O73" i="14"/>
  <c r="P73" i="14"/>
  <c r="Q73" i="14"/>
  <c r="R73" i="14"/>
  <c r="G74" i="14"/>
  <c r="H74" i="14"/>
  <c r="I74" i="14"/>
  <c r="J74" i="14"/>
  <c r="K74" i="14"/>
  <c r="L74" i="14"/>
  <c r="M74" i="14"/>
  <c r="N74" i="14"/>
  <c r="O74" i="14"/>
  <c r="P74" i="14"/>
  <c r="Q74" i="14"/>
  <c r="R74" i="14"/>
  <c r="G75" i="14"/>
  <c r="H75" i="14"/>
  <c r="I75" i="14"/>
  <c r="J75" i="14"/>
  <c r="K75" i="14"/>
  <c r="L75" i="14"/>
  <c r="M75" i="14"/>
  <c r="N75" i="14"/>
  <c r="O75" i="14"/>
  <c r="P75" i="14"/>
  <c r="Q75" i="14"/>
  <c r="R75" i="14"/>
  <c r="G77" i="14"/>
  <c r="H77" i="14"/>
  <c r="I77" i="14"/>
  <c r="J77" i="14"/>
  <c r="K77" i="14"/>
  <c r="L77" i="14"/>
  <c r="M77" i="14"/>
  <c r="N77" i="14"/>
  <c r="O77" i="14"/>
  <c r="P77" i="14"/>
  <c r="Q77" i="14"/>
  <c r="R77" i="14"/>
  <c r="G81" i="14"/>
  <c r="H81" i="14"/>
  <c r="I81" i="14"/>
  <c r="J81" i="14"/>
  <c r="K81" i="14"/>
  <c r="L81" i="14"/>
  <c r="M81" i="14"/>
  <c r="N81" i="14"/>
  <c r="O81" i="14"/>
  <c r="P81" i="14"/>
  <c r="Q81" i="14"/>
  <c r="R81" i="14"/>
  <c r="G82" i="14"/>
  <c r="H82" i="14"/>
  <c r="I82" i="14"/>
  <c r="J82" i="14"/>
  <c r="K82" i="14"/>
  <c r="L82" i="14"/>
  <c r="M82" i="14"/>
  <c r="N82" i="14"/>
  <c r="O82" i="14"/>
  <c r="P82" i="14"/>
  <c r="Q82" i="14"/>
  <c r="R82" i="14"/>
  <c r="G83" i="14"/>
  <c r="H83" i="14"/>
  <c r="I83" i="14"/>
  <c r="J83" i="14"/>
  <c r="K83" i="14"/>
  <c r="L83" i="14"/>
  <c r="M83" i="14"/>
  <c r="N83" i="14"/>
  <c r="O83" i="14"/>
  <c r="P83" i="14"/>
  <c r="Q83" i="14"/>
  <c r="R83" i="14"/>
  <c r="G84" i="14"/>
  <c r="H84" i="14"/>
  <c r="I84" i="14"/>
  <c r="J84" i="14"/>
  <c r="K84" i="14"/>
  <c r="L84" i="14"/>
  <c r="M84" i="14"/>
  <c r="N84" i="14"/>
  <c r="O84" i="14"/>
  <c r="P84" i="14"/>
  <c r="Q84" i="14"/>
  <c r="R84" i="14"/>
  <c r="G87" i="14"/>
  <c r="H87" i="14"/>
  <c r="I87" i="14"/>
  <c r="J87" i="14"/>
  <c r="K87" i="14"/>
  <c r="L87" i="14"/>
  <c r="M87" i="14"/>
  <c r="N87" i="14"/>
  <c r="O87" i="14"/>
  <c r="P87" i="14"/>
  <c r="Q87" i="14"/>
  <c r="R87" i="14"/>
  <c r="G88" i="14"/>
  <c r="H88" i="14"/>
  <c r="I88" i="14"/>
  <c r="J88" i="14"/>
  <c r="K88" i="14"/>
  <c r="L88" i="14"/>
  <c r="M88" i="14"/>
  <c r="N88" i="14"/>
  <c r="O88" i="14"/>
  <c r="P88" i="14"/>
  <c r="Q88" i="14"/>
  <c r="R88" i="14"/>
  <c r="D90" i="14"/>
  <c r="D91" i="14"/>
  <c r="D92" i="14"/>
  <c r="D93" i="14"/>
  <c r="G96" i="14"/>
  <c r="H96" i="14"/>
  <c r="I96" i="14"/>
  <c r="J96" i="14"/>
  <c r="K96" i="14"/>
  <c r="L96" i="14"/>
  <c r="M96" i="14"/>
  <c r="N96" i="14"/>
  <c r="O96" i="14"/>
  <c r="P96" i="14"/>
  <c r="Q96" i="14"/>
  <c r="R96" i="14"/>
  <c r="G97" i="14"/>
  <c r="H97" i="14"/>
  <c r="I97" i="14"/>
  <c r="J97" i="14"/>
  <c r="K97" i="14"/>
  <c r="L97" i="14"/>
  <c r="M97" i="14"/>
  <c r="N97" i="14"/>
  <c r="O97" i="14"/>
  <c r="P97" i="14"/>
  <c r="Q97" i="14"/>
  <c r="R97" i="14"/>
  <c r="D99" i="14"/>
  <c r="D100" i="14"/>
  <c r="D101" i="14"/>
  <c r="D102" i="14"/>
  <c r="D103" i="14"/>
  <c r="G106" i="14"/>
  <c r="H106" i="14"/>
  <c r="I106" i="14"/>
  <c r="J106" i="14"/>
  <c r="K106" i="14"/>
  <c r="L106" i="14"/>
  <c r="M106" i="14"/>
  <c r="N106" i="14"/>
  <c r="O106" i="14"/>
  <c r="P106" i="14"/>
  <c r="Q106" i="14"/>
  <c r="R106" i="14"/>
  <c r="D107" i="14"/>
  <c r="G107" i="14"/>
  <c r="H107" i="14"/>
  <c r="I107" i="14"/>
  <c r="J107" i="14"/>
  <c r="K107" i="14"/>
  <c r="L107" i="14"/>
  <c r="M107" i="14"/>
  <c r="N107" i="14"/>
  <c r="O107" i="14"/>
  <c r="P107" i="14"/>
  <c r="Q107" i="14"/>
  <c r="R107" i="14"/>
  <c r="D108" i="14"/>
  <c r="G108" i="14"/>
  <c r="H108" i="14"/>
  <c r="I108" i="14"/>
  <c r="J108" i="14"/>
  <c r="K108" i="14"/>
  <c r="L108" i="14"/>
  <c r="M108" i="14"/>
  <c r="N108" i="14"/>
  <c r="O108" i="14"/>
  <c r="P108" i="14"/>
  <c r="Q108" i="14"/>
  <c r="R108"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<sst xmlns="http://schemas.openxmlformats.org/spreadsheetml/2006/main" count="1412" uniqueCount="768">
  <si>
    <t>Loan Sizing</t>
  </si>
  <si>
    <t>Loan Information</t>
  </si>
  <si>
    <t>Max DSCR Mortgage</t>
  </si>
  <si>
    <t>Loan Amount</t>
  </si>
  <si>
    <t>Max LTC Mortgage</t>
  </si>
  <si>
    <t>Amortization Term</t>
  </si>
  <si>
    <t>Max Per-Unit Mortgage</t>
  </si>
  <si>
    <t>MIP</t>
  </si>
  <si>
    <t>Debt Service Constant</t>
  </si>
  <si>
    <t>Lowest of Foregoing Criteria</t>
  </si>
  <si>
    <t>Annual Debt Service Payment</t>
  </si>
  <si>
    <t>Sources and Uses</t>
  </si>
  <si>
    <t xml:space="preserve">Unit Type </t>
  </si>
  <si>
    <t>Units</t>
  </si>
  <si>
    <t>Sq Feet</t>
  </si>
  <si>
    <t>Net Rent</t>
  </si>
  <si>
    <t>Rent/SF</t>
  </si>
  <si>
    <t>Mo Rent</t>
  </si>
  <si>
    <t>Sources</t>
  </si>
  <si>
    <t>Uses</t>
  </si>
  <si>
    <t xml:space="preserve"> </t>
  </si>
  <si>
    <t>Land Cost/Debt</t>
  </si>
  <si>
    <t>Total/AVG</t>
  </si>
  <si>
    <t>Building Construction</t>
  </si>
  <si>
    <t>GC Profit</t>
  </si>
  <si>
    <t>Gross Potential Rent</t>
  </si>
  <si>
    <t>Other Fees</t>
  </si>
  <si>
    <t>Other Income</t>
  </si>
  <si>
    <t>Architect/Engineer - Design</t>
  </si>
  <si>
    <t>Vacancy</t>
  </si>
  <si>
    <t>Architect/Engineer - Supervisory</t>
  </si>
  <si>
    <t>Effective Gross Income</t>
  </si>
  <si>
    <t xml:space="preserve">Operating Exp </t>
  </si>
  <si>
    <t>Net Operating Income</t>
  </si>
  <si>
    <t>Architect and Cost Review</t>
  </si>
  <si>
    <t>NOI Available for Debt Service</t>
  </si>
  <si>
    <t>(85% NOI)</t>
  </si>
  <si>
    <t>Market Study</t>
  </si>
  <si>
    <t>Lender App. Fee</t>
  </si>
  <si>
    <t>Construction Period Interest</t>
  </si>
  <si>
    <t>FHA Mortgage Ins.</t>
  </si>
  <si>
    <t>FHA Exam Fee</t>
  </si>
  <si>
    <t>Total Transaction Costs</t>
  </si>
  <si>
    <t>FHA Inspection Fee</t>
  </si>
  <si>
    <t>Less: Adjustments/Ineligible Items</t>
  </si>
  <si>
    <t>Lender Financing Fee</t>
  </si>
  <si>
    <t>Land Cost</t>
  </si>
  <si>
    <t>Lender Legal</t>
  </si>
  <si>
    <t>estimate</t>
  </si>
  <si>
    <t>Initial Deposit to Repl Reserve</t>
  </si>
  <si>
    <t>Title and Recording</t>
  </si>
  <si>
    <t>Borrower Legal</t>
  </si>
  <si>
    <t>Estimated Cost of Improvements</t>
  </si>
  <si>
    <t>Cost Certification</t>
  </si>
  <si>
    <t>Add: BSPRA (10% of Estimated Dev Cost)</t>
  </si>
  <si>
    <t>Taxes - Construction Period</t>
  </si>
  <si>
    <t>Insurance - Construction Period</t>
  </si>
  <si>
    <t>Total Estimated Replacement Cost</t>
  </si>
  <si>
    <t>Working Capital Escrow</t>
  </si>
  <si>
    <t>Max LTC Mortgage (85%)</t>
  </si>
  <si>
    <t>Operating Deficit Escrow</t>
  </si>
  <si>
    <t>Comments</t>
  </si>
  <si>
    <t xml:space="preserve">Unit 
Type </t>
  </si>
  <si>
    <t>Local Multiplier</t>
  </si>
  <si>
    <t>Per Unit
Mortgage</t>
  </si>
  <si>
    <t xml:space="preserve">Studio </t>
  </si>
  <si>
    <t xml:space="preserve">1BR </t>
  </si>
  <si>
    <t xml:space="preserve">2BR </t>
  </si>
  <si>
    <t xml:space="preserve">3BR </t>
  </si>
  <si>
    <t>4BR</t>
  </si>
  <si>
    <t>Cost Not Attributable (10%)</t>
  </si>
  <si>
    <t>Warranted Price of Land</t>
  </si>
  <si>
    <t>Unit Type</t>
  </si>
  <si>
    <t>No. of Units</t>
  </si>
  <si>
    <t>SF</t>
  </si>
  <si>
    <t>Rents</t>
  </si>
  <si>
    <t>Rents/psf</t>
  </si>
  <si>
    <t>Monthly Rent</t>
  </si>
  <si>
    <t>Income</t>
  </si>
  <si>
    <t>$</t>
  </si>
  <si>
    <t>PUPM</t>
  </si>
  <si>
    <t>% of EGI</t>
  </si>
  <si>
    <t xml:space="preserve">Vacancy </t>
  </si>
  <si>
    <t>Expenses</t>
  </si>
  <si>
    <t>PUPA</t>
  </si>
  <si>
    <t>Advertising</t>
  </si>
  <si>
    <t>Management Fee</t>
  </si>
  <si>
    <t>Other G&amp;A</t>
  </si>
  <si>
    <t>Gas</t>
  </si>
  <si>
    <t>Electric</t>
  </si>
  <si>
    <t>Water/Sewer</t>
  </si>
  <si>
    <t>Payroll &amp; Benefits</t>
  </si>
  <si>
    <t>Repairs and Maintenance</t>
  </si>
  <si>
    <t>Capital Reserves</t>
  </si>
  <si>
    <t>Insurance</t>
  </si>
  <si>
    <t>Property Taxes</t>
  </si>
  <si>
    <t>Total Expenses</t>
  </si>
  <si>
    <t>Income Escalator:</t>
  </si>
  <si>
    <t>Expense Escalator:</t>
  </si>
  <si>
    <t>Year</t>
  </si>
  <si>
    <t>Date</t>
  </si>
  <si>
    <t>Interest Expense</t>
  </si>
  <si>
    <t>UPB</t>
  </si>
  <si>
    <t>#</t>
  </si>
  <si>
    <t>Interest</t>
  </si>
  <si>
    <t>Principal</t>
  </si>
  <si>
    <t>Loan Amt</t>
  </si>
  <si>
    <t>Interest Rate</t>
  </si>
  <si>
    <t>Term</t>
  </si>
  <si>
    <t>Month</t>
  </si>
  <si>
    <t>Total D.S.</t>
  </si>
  <si>
    <t>Total Interest</t>
  </si>
  <si>
    <t>D.S. PMT</t>
  </si>
  <si>
    <t>Monthly P&amp;I</t>
  </si>
  <si>
    <t>City, ST:</t>
  </si>
  <si>
    <t>Project Type:</t>
  </si>
  <si>
    <t>1BR/1BA</t>
  </si>
  <si>
    <t>2BR/2BA</t>
  </si>
  <si>
    <t>3BR/2BA</t>
  </si>
  <si>
    <t>9 Mo. DS</t>
  </si>
  <si>
    <t>24 Mos.</t>
  </si>
  <si>
    <t>Unit Count</t>
  </si>
  <si>
    <t>Sqft</t>
  </si>
  <si>
    <t>Gross Rent</t>
  </si>
  <si>
    <t>$/sf/mo</t>
  </si>
  <si>
    <t>Net</t>
  </si>
  <si>
    <t>1BD, 1BA</t>
  </si>
  <si>
    <t>2BD, 2BA</t>
  </si>
  <si>
    <t>3BD, 2BA</t>
  </si>
  <si>
    <t>Total/Avg</t>
  </si>
  <si>
    <t>% of Mix</t>
  </si>
  <si>
    <t>per unit</t>
  </si>
  <si>
    <t>Total</t>
  </si>
  <si>
    <t>Appraised Value</t>
  </si>
  <si>
    <t>DENTON REAL ESTATE TAX SNAPSHOT</t>
  </si>
  <si>
    <t>WB Denton Tax Estimate</t>
  </si>
  <si>
    <t>Municiplaity</t>
  </si>
  <si>
    <t>Tax Rate</t>
  </si>
  <si>
    <t>Rate/100</t>
  </si>
  <si>
    <t>Taxes Due</t>
  </si>
  <si>
    <t>city</t>
  </si>
  <si>
    <t>school</t>
  </si>
  <si>
    <t>county</t>
  </si>
  <si>
    <t>Est. Value</t>
  </si>
  <si>
    <t>Parcel ID: R199309 - Upper Piece</t>
  </si>
  <si>
    <t>Parcel ID: R199306 - the two pieces further south</t>
  </si>
  <si>
    <t>RE TAXES DURING CONSTRUCTION (based on stored values)</t>
  </si>
  <si>
    <t>Oxford at the Boulevard 2019 Taxes</t>
  </si>
  <si>
    <t>Total Project Cost</t>
  </si>
  <si>
    <t>Stored Value (% of total)</t>
  </si>
  <si>
    <t>Stored Value</t>
  </si>
  <si>
    <t>Value</t>
  </si>
  <si>
    <t>RE TAXES ONCE OPERATING (direct cap, income approach)</t>
  </si>
  <si>
    <t xml:space="preserve"> 2010 Corinth Pkwy, Corinth, TX 76210. 2.1mi from subject</t>
  </si>
  <si>
    <t>Net Revenue</t>
  </si>
  <si>
    <t>Total Operating Expenses</t>
  </si>
  <si>
    <t>RE Taxes</t>
  </si>
  <si>
    <t>Opex less RE Taxes</t>
  </si>
  <si>
    <t>NOI excl RE taxes</t>
  </si>
  <si>
    <t>Loaded Cap Rate</t>
  </si>
  <si>
    <t>Market Value</t>
  </si>
  <si>
    <t>Assessed Value as a % of Market Value</t>
  </si>
  <si>
    <t>Assessed Value</t>
  </si>
  <si>
    <t>Denton CAD - Appraisal Dept</t>
  </si>
  <si>
    <t>Chuck Saling</t>
  </si>
  <si>
    <t xml:space="preserve"> 940-349-3900</t>
  </si>
  <si>
    <t>Chuck.saling@dentoncad.com</t>
  </si>
  <si>
    <t>Dustin Vernor</t>
  </si>
  <si>
    <t>Dustin.vernor@dentoncad.com</t>
  </si>
  <si>
    <t>Focuses on apts</t>
  </si>
  <si>
    <t>Denton CAD - Tax Asessor</t>
  </si>
  <si>
    <t>940-349-3500</t>
  </si>
  <si>
    <t>Cap Rate</t>
  </si>
  <si>
    <t>INCOME &amp; EXPENSE INPUTS BELOW</t>
  </si>
  <si>
    <t>GC Profit (outside loan)</t>
  </si>
  <si>
    <t>Green MIP</t>
  </si>
  <si>
    <t>Confidential WB Property Group</t>
  </si>
  <si>
    <t>STYLE GUIDE</t>
  </si>
  <si>
    <t>Hirearchy</t>
  </si>
  <si>
    <t>Style</t>
  </si>
  <si>
    <t>Example</t>
  </si>
  <si>
    <t>CHECKLIST</t>
  </si>
  <si>
    <t>Page Heading</t>
  </si>
  <si>
    <t>Arial 14pt Caps Bold</t>
  </si>
  <si>
    <t>Subheading</t>
  </si>
  <si>
    <t>Arial 11pt Caps Bold</t>
  </si>
  <si>
    <t>Diligence Pre PSA</t>
  </si>
  <si>
    <t>Table Column Headings</t>
  </si>
  <si>
    <t>Arial 11pt  Bold</t>
  </si>
  <si>
    <t>Checklist</t>
  </si>
  <si>
    <t>Rent comps</t>
  </si>
  <si>
    <t>Body</t>
  </si>
  <si>
    <t>Arial 10pt</t>
  </si>
  <si>
    <t>Are there any wetlands (if yes, are they jursidctional)? In 100 yr flood plain?</t>
  </si>
  <si>
    <t>Inputs</t>
  </si>
  <si>
    <t>Arial 10pt, Hex: 0432FF</t>
  </si>
  <si>
    <t>What can we build as of right. What can we build if we go through a rezone? Max du/ac?</t>
  </si>
  <si>
    <t>Sub body</t>
  </si>
  <si>
    <t>Arial 10pt italics, Hex: 808080</t>
  </si>
  <si>
    <t>Confidential</t>
  </si>
  <si>
    <t xml:space="preserve">Are utitlies stubbed out? Water / sewer capacity? </t>
  </si>
  <si>
    <t>What's the process to rezone? Land use and/or zoning?</t>
  </si>
  <si>
    <t>Height restrictions, parking ratio? Confirm parking spaces can be 9x18 (rather than 9x2), 1:1 for 1BDs, 24' fire lane</t>
  </si>
  <si>
    <t xml:space="preserve">Impact fees? </t>
  </si>
  <si>
    <t>Property taxes. Contact tax assessor and appraiser</t>
  </si>
  <si>
    <t>Incentives/abatements available?</t>
  </si>
  <si>
    <t xml:space="preserve">Density study by architect.  What variances will we need? </t>
  </si>
  <si>
    <t>Financing strategy</t>
  </si>
  <si>
    <t>Signed PSA</t>
  </si>
  <si>
    <t>Planning &amp; zoning process and approvals</t>
  </si>
  <si>
    <t>Will serves</t>
  </si>
  <si>
    <t>Geotech</t>
  </si>
  <si>
    <t>Phase I</t>
  </si>
  <si>
    <t>Survey</t>
  </si>
  <si>
    <t>Market study</t>
  </si>
  <si>
    <t>Flow test</t>
  </si>
  <si>
    <t>Civil Engineer</t>
  </si>
  <si>
    <t>Architect, MEP etc</t>
  </si>
  <si>
    <t>Landscape Architect</t>
  </si>
  <si>
    <t>Interior designer</t>
  </si>
  <si>
    <t>GC Design Build</t>
  </si>
  <si>
    <t>Permit lead time</t>
  </si>
  <si>
    <t>LAKELAND TAX CALCULATIONS BASED ON TAXABLE APPRAISED VALUE (AVENUES)</t>
  </si>
  <si>
    <t>Taxing District</t>
  </si>
  <si>
    <t>Appriased Tax Value</t>
  </si>
  <si>
    <t>Taxes $/Unit</t>
  </si>
  <si>
    <t>Avg Rent/SF</t>
  </si>
  <si>
    <t>General Fund</t>
  </si>
  <si>
    <t>Avg Unit Size</t>
  </si>
  <si>
    <t>MSTU Library</t>
  </si>
  <si>
    <t>MSTU Parks</t>
  </si>
  <si>
    <t>Gross Resi Rental Revenue</t>
  </si>
  <si>
    <t>MSTU Stormwater</t>
  </si>
  <si>
    <t>Secondary Gross Rent (garages, storage etc)</t>
  </si>
  <si>
    <t>State (UNCAPPED)</t>
  </si>
  <si>
    <t>Total Gross Rent</t>
  </si>
  <si>
    <t>Local (UNCAPPED</t>
  </si>
  <si>
    <t>SW FLA WMD</t>
  </si>
  <si>
    <t>Income Less Vacancy</t>
  </si>
  <si>
    <t>Lakeland Mass Transit</t>
  </si>
  <si>
    <t>Expense Ratio</t>
  </si>
  <si>
    <t>Pre Appraised Value</t>
  </si>
  <si>
    <t>Back of Envelope Tax Calc</t>
  </si>
  <si>
    <t>Cost of Sale</t>
  </si>
  <si>
    <t>Purchase Price</t>
  </si>
  <si>
    <t>Adj for Cost of Sale</t>
  </si>
  <si>
    <t>% of Purchase Price (for Appraisal)</t>
  </si>
  <si>
    <t>Millage</t>
  </si>
  <si>
    <t>New Taxes</t>
  </si>
  <si>
    <t>Non Advorlem</t>
  </si>
  <si>
    <t>Total Taxes</t>
  </si>
  <si>
    <t>221(d)4 Loan</t>
  </si>
  <si>
    <t>Separate</t>
  </si>
  <si>
    <t>Escrows</t>
  </si>
  <si>
    <t>TAXES</t>
  </si>
  <si>
    <t>90% Value</t>
  </si>
  <si>
    <t>Annual Fire Bill</t>
  </si>
  <si>
    <t>Annual Stormwater (sea wall) Bill</t>
  </si>
  <si>
    <t>Taxes</t>
  </si>
  <si>
    <t>Transportation </t>
  </si>
  <si>
    <t>Correctional </t>
  </si>
  <si>
    <t>Educational </t>
  </si>
  <si>
    <t>Library </t>
  </si>
  <si>
    <t>Parks and Recreational </t>
  </si>
  <si>
    <t>Fire Rescue </t>
  </si>
  <si>
    <t>Law Enforcement </t>
  </si>
  <si>
    <t>Subtotal Impact Fees/Unit</t>
  </si>
  <si>
    <t># of Units</t>
  </si>
  <si>
    <t>Total impact Fees</t>
  </si>
  <si>
    <t>Total Connection Fees</t>
  </si>
  <si>
    <t>Total Fees</t>
  </si>
  <si>
    <t>TRACKER</t>
  </si>
  <si>
    <t>DIRECTORY</t>
  </si>
  <si>
    <t>Environmental Phase II</t>
  </si>
  <si>
    <t>ALTA Survey</t>
  </si>
  <si>
    <t>As-Built Survey</t>
  </si>
  <si>
    <t>Appraisal</t>
  </si>
  <si>
    <t>GC Hard Costs</t>
  </si>
  <si>
    <t>EMS </t>
  </si>
  <si>
    <t>DEVELOPMENT BUDGET</t>
  </si>
  <si>
    <t>Third Party Reports</t>
  </si>
  <si>
    <t>TAMPA</t>
  </si>
  <si>
    <t>TAXING AUTHORITY</t>
  </si>
  <si>
    <t>MILLAGE</t>
  </si>
  <si>
    <t>COUNTY OPERATING</t>
  </si>
  <si>
    <t>ENVIRONMENTAL LAND</t>
  </si>
  <si>
    <t>COUNTY M.S.T.U.</t>
  </si>
  <si>
    <t>LIBRARY-SERVICE</t>
  </si>
  <si>
    <t>PARK BONDS - UNINCORPORATED</t>
  </si>
  <si>
    <t>SCHOOL - LOCAL</t>
  </si>
  <si>
    <t>SCHOOL - STATE</t>
  </si>
  <si>
    <t>PORT AUTHORITY</t>
  </si>
  <si>
    <t>HILLS CO TRANSIT AUTHORITY</t>
  </si>
  <si>
    <t>CHILDRENS BOARD</t>
  </si>
  <si>
    <t>WATER MANAGEMENT</t>
  </si>
  <si>
    <t>LAKELAND PROJ - APPRAISED VALUE FOR TAXES</t>
  </si>
  <si>
    <t>Occupancy (10% vacancy)</t>
  </si>
  <si>
    <t>Tampa</t>
  </si>
  <si>
    <t>Per Unit</t>
  </si>
  <si>
    <t>Tampa - Laura Miller - 813.276.8830</t>
  </si>
  <si>
    <t>Port St. Lucie - Ben - 772.460.3338 - oliavarb@paslc.org</t>
  </si>
  <si>
    <t>Base Rate</t>
  </si>
  <si>
    <t>Outputs</t>
  </si>
  <si>
    <t>PARK PLACE VILLAS HOLDINGS LLC</t>
  </si>
  <si>
    <t>6919 BONAIR DR TAMPA 33617</t>
  </si>
  <si>
    <t>ASSESSED</t>
  </si>
  <si>
    <t>EXEMPTION</t>
  </si>
  <si>
    <t>TAXABLE</t>
  </si>
  <si>
    <t>TAX</t>
  </si>
  <si>
    <t>TOTAL</t>
  </si>
  <si>
    <t>300 units, $1.34/sf rents, 810 avg. sf, 5.3% vacancy</t>
  </si>
  <si>
    <t>non advolerm</t>
  </si>
  <si>
    <t>Taxing Authority</t>
  </si>
  <si>
    <t>Mill Rate</t>
  </si>
  <si>
    <t>Assessed</t>
  </si>
  <si>
    <t>Taxable</t>
  </si>
  <si>
    <t>Amount</t>
  </si>
  <si>
    <t>LEE COUNTY GENERAL REVENUE</t>
  </si>
  <si>
    <t>PUBLIC SCHOOL - BY LOCAL BOARD</t>
  </si>
  <si>
    <t>PUBLIC SCHOOL - BY STATE LAW</t>
  </si>
  <si>
    <t>CITY OF CAPE CORAL</t>
  </si>
  <si>
    <t>LEE COUNTY ALL HAZARDS - MSTU</t>
  </si>
  <si>
    <t>LEE COUNTY LIBRARY FUND</t>
  </si>
  <si>
    <t>CITY OF CAPE CORAL SOLID WASTE-MSTU</t>
  </si>
  <si>
    <t>SFL WATER MGMT-DISTRICT LEVY</t>
  </si>
  <si>
    <t>SFL WATER MGMT-EVERGLADE CONST</t>
  </si>
  <si>
    <t>SFL WATER MGMT-OKEECHOBEE LEVY</t>
  </si>
  <si>
    <t>LEE COUNTY HYACINTH CONTROL</t>
  </si>
  <si>
    <t>LEE COUNTY MOSQUITO CONTROL</t>
  </si>
  <si>
    <t>WEST COAST INLAND NAVIGATION DISTRICT</t>
  </si>
  <si>
    <t>CITY OF CAPE CORAL PARKS VOTED DEBT SVC</t>
  </si>
  <si>
    <t>Non-Ad Valorem Assessments</t>
  </si>
  <si>
    <t>Rate</t>
  </si>
  <si>
    <t>Basis</t>
  </si>
  <si>
    <t>CITY OF CAPE CORAL FIRE SERVICE ASSESSMENT</t>
  </si>
  <si>
    <t>CITY OF CAPE CORAL NORTH 2 IRRIGATION</t>
  </si>
  <si>
    <t>CITY OF CAPE CORAL NORTH 2 UTIL CFEC IRRIGATION</t>
  </si>
  <si>
    <t>CITY OF CAPE CORAL NORTH 2 UTIL CFEC WASTEWATER</t>
  </si>
  <si>
    <t>CITY OF CAPE CORAL NORTH 2 UTIL CFEC POTABLE WTR</t>
  </si>
  <si>
    <t>CITY OF CAPE CORAL NORTH 2 WASTEWATER</t>
  </si>
  <si>
    <t>CITY OF CAPE CORAL NORTH 2 WATER</t>
  </si>
  <si>
    <t>CITY OF CAPE CORAL STORMWATER ANNUAL</t>
  </si>
  <si>
    <t>PORT ST. LUCIE</t>
  </si>
  <si>
    <t>St Lucie Co Storm Wtr Mgt</t>
  </si>
  <si>
    <t>County Parks MSTU</t>
  </si>
  <si>
    <t>Co Public Transit MSTU</t>
  </si>
  <si>
    <t>Erosion District E</t>
  </si>
  <si>
    <t>Law Enf,Jail,Judicial Sys</t>
  </si>
  <si>
    <t>Co General Revenue Fund</t>
  </si>
  <si>
    <t>St Lucie Co Comm Dev MSTU</t>
  </si>
  <si>
    <t>Law Enforcement MSTU</t>
  </si>
  <si>
    <t>Childrens Service Council</t>
  </si>
  <si>
    <t>St Lucie Co Fire District</t>
  </si>
  <si>
    <t>FL Inland Navigation Dist</t>
  </si>
  <si>
    <t>School Discretionary</t>
  </si>
  <si>
    <t>School Capital Improvemnt</t>
  </si>
  <si>
    <t>School Req Local Effort</t>
  </si>
  <si>
    <t>School Voter Referendum</t>
  </si>
  <si>
    <t>Mosquito Control</t>
  </si>
  <si>
    <t>S FL Wtr Mgmt District</t>
  </si>
  <si>
    <t>Cape Coral</t>
  </si>
  <si>
    <t>Port St Lucie</t>
  </si>
  <si>
    <t>City</t>
  </si>
  <si>
    <t>Taxes Per year</t>
  </si>
  <si>
    <t>Ad Valorem</t>
  </si>
  <si>
    <t>marie, sciortinom@paslc.org</t>
  </si>
  <si>
    <t>Pine Lakes Presreve: 3422-596-0007-000-6</t>
  </si>
  <si>
    <t>Mulberry</t>
  </si>
  <si>
    <t>Avg Unit size</t>
  </si>
  <si>
    <t>Add'l Cash</t>
  </si>
  <si>
    <t>Add: Land Value Phase I</t>
  </si>
  <si>
    <t>Total Cash Required (incl Escrows)</t>
  </si>
  <si>
    <t>Project Name:</t>
  </si>
  <si>
    <t>Tap Fees</t>
  </si>
  <si>
    <t>Net Cash Flow</t>
  </si>
  <si>
    <t>Cash on Cash</t>
  </si>
  <si>
    <t>Debt Service</t>
  </si>
  <si>
    <t>Total Principal</t>
  </si>
  <si>
    <t>Total MIP</t>
  </si>
  <si>
    <t>Architectural &amp; Engineering Fees</t>
  </si>
  <si>
    <t>No values on this tab link to other tabs</t>
  </si>
  <si>
    <t>% Mix</t>
  </si>
  <si>
    <t>PROFORMA</t>
  </si>
  <si>
    <t>Property Address</t>
  </si>
  <si>
    <t>Property Name</t>
  </si>
  <si>
    <t>Building Status</t>
  </si>
  <si>
    <t>Number Of Units</t>
  </si>
  <si>
    <t>State</t>
  </si>
  <si>
    <t>Zip</t>
  </si>
  <si>
    <t>County Name</t>
  </si>
  <si>
    <t>Parcel Number 1(Min)</t>
  </si>
  <si>
    <t>Parcel Number 2(Max)</t>
  </si>
  <si>
    <t>Year Built</t>
  </si>
  <si>
    <t>2220 W 1st St</t>
  </si>
  <si>
    <t>Silver Hills at Fort Myers</t>
  </si>
  <si>
    <t>Under Construction</t>
  </si>
  <si>
    <t>Fort Myers</t>
  </si>
  <si>
    <t>FL</t>
  </si>
  <si>
    <t>33901-3308</t>
  </si>
  <si>
    <t>Lee</t>
  </si>
  <si>
    <t>23-44-24-P2-00006.0020</t>
  </si>
  <si>
    <t>23-44-24-P2-00007.0000</t>
  </si>
  <si>
    <t>2200 SW 23rd Ln</t>
  </si>
  <si>
    <t>Oasis at Surfside</t>
  </si>
  <si>
    <t>Existing</t>
  </si>
  <si>
    <t>33991-3041</t>
  </si>
  <si>
    <t>28-44-23-C4-05916.0000</t>
  </si>
  <si>
    <t>Alico Rd</t>
  </si>
  <si>
    <t>Center Place Apartments</t>
  </si>
  <si>
    <t>33913</t>
  </si>
  <si>
    <t>12-46-25-L2-190F4.0000</t>
  </si>
  <si>
    <t>13500 Corkscrew Rd</t>
  </si>
  <si>
    <t>Corkscrew Crossing</t>
  </si>
  <si>
    <t>Proposed</t>
  </si>
  <si>
    <t>Estero</t>
  </si>
  <si>
    <t>33928</t>
  </si>
  <si>
    <t>19-46-26-E3-U2613.2570</t>
  </si>
  <si>
    <t>31-46-26-E3-U2585.2313</t>
  </si>
  <si>
    <t xml:space="preserve">There was another sale of this property on 1/5/2021 for $40,000,000 ($80k/unit). Assuming this came with entitlements or something that brought the price so far up. </t>
  </si>
  <si>
    <t>4795 Cypress Gardens Loop</t>
  </si>
  <si>
    <t>The Edge</t>
  </si>
  <si>
    <t>33966-7007</t>
  </si>
  <si>
    <t>33-44-25-P3-00075.0000</t>
  </si>
  <si>
    <t>7922 Dani Dr</t>
  </si>
  <si>
    <t>Town Village Walk</t>
  </si>
  <si>
    <t>33966</t>
  </si>
  <si>
    <t>33-44-25-P3-00068.0000</t>
  </si>
  <si>
    <t>3419 Forum Blvd</t>
  </si>
  <si>
    <t>Drift at the Forum</t>
  </si>
  <si>
    <t>33905</t>
  </si>
  <si>
    <t>27-44-25-P3-1400A.0000</t>
  </si>
  <si>
    <t>11900 Marquina Blvd</t>
  </si>
  <si>
    <t>Las Palmas</t>
  </si>
  <si>
    <t>2250 McGregor Blvd</t>
  </si>
  <si>
    <t>West End at City Walk</t>
  </si>
  <si>
    <t>33901</t>
  </si>
  <si>
    <t>23-44-24-P2-00005.0000</t>
  </si>
  <si>
    <t>3681 Michigan Ave</t>
  </si>
  <si>
    <t>St. Peter Claver Place</t>
  </si>
  <si>
    <t>33916</t>
  </si>
  <si>
    <t>17-44-25-P2-00027.0000</t>
  </si>
  <si>
    <t xml:space="preserve">SALES COMPS </t>
  </si>
  <si>
    <t>Distance from Subj.</t>
  </si>
  <si>
    <t>10.7mi E</t>
  </si>
  <si>
    <t>3.6mi SW</t>
  </si>
  <si>
    <t>Sale Date</t>
  </si>
  <si>
    <t>Sale Price</t>
  </si>
  <si>
    <t>Price Per Unit</t>
  </si>
  <si>
    <t>Notes</t>
  </si>
  <si>
    <t>31mi SE</t>
  </si>
  <si>
    <t>26.5mi SE</t>
  </si>
  <si>
    <t>10.6mi E</t>
  </si>
  <si>
    <t>12.6mi E</t>
  </si>
  <si>
    <t>16.4mi E</t>
  </si>
  <si>
    <t>RENT COMPS</t>
  </si>
  <si>
    <t>Impact Fees (Ord 2019-056 (Jan 1, 2020)</t>
  </si>
  <si>
    <t>Interior Designer</t>
  </si>
  <si>
    <t>Land Planner</t>
  </si>
  <si>
    <t>Environmental Phase I</t>
  </si>
  <si>
    <t>Civil Engineer (incl TIA)</t>
  </si>
  <si>
    <t>Mulberry: Andrew Perry</t>
  </si>
  <si>
    <t>Polk County Property Appraiser</t>
  </si>
  <si>
    <t>863-534-5736</t>
  </si>
  <si>
    <t>REAL ESTATE TAXES CALCS &amp; COMPS</t>
  </si>
  <si>
    <t>Lakeland</t>
  </si>
  <si>
    <t>Florida Tax Comps</t>
  </si>
  <si>
    <t>Appraised value</t>
  </si>
  <si>
    <t>Taxes Per Unit</t>
  </si>
  <si>
    <t>186 units, 2018, 1.59/sf: folio 10557627</t>
  </si>
  <si>
    <t xml:space="preserve">Comp: Coralina Apartments: 3305 Grant Cove Cir </t>
  </si>
  <si>
    <t>Annual Taxes</t>
  </si>
  <si>
    <t>Non Ad Volerum</t>
  </si>
  <si>
    <t>Replacement Reserves</t>
  </si>
  <si>
    <t>Debt</t>
  </si>
  <si>
    <t>Amortization</t>
  </si>
  <si>
    <t>NET CASH FLOW</t>
  </si>
  <si>
    <t>Stabilized</t>
  </si>
  <si>
    <t>Lease Up</t>
  </si>
  <si>
    <t>Total Occupied</t>
  </si>
  <si>
    <t>OCCUPANCY SCHEDULE</t>
  </si>
  <si>
    <t>LEASING SUMMARY</t>
  </si>
  <si>
    <t>NOTES</t>
  </si>
  <si>
    <t>Closing Date</t>
  </si>
  <si>
    <t>Assumes leases are signed approximately 30-60 days prior to resident occupying unit.</t>
  </si>
  <si>
    <t>Construction Completion</t>
  </si>
  <si>
    <t>"New Occupants" refers to the amount of net residents moving into units in the specified month.</t>
  </si>
  <si>
    <t>Pre-leasing efforts typically occur 3-4 months prior to first move in.</t>
  </si>
  <si>
    <t>Occupancy Start</t>
  </si>
  <si>
    <t>Stabilization Achieved</t>
  </si>
  <si>
    <t>Total Units</t>
  </si>
  <si>
    <t>Construction Completion Date</t>
  </si>
  <si>
    <t>HUD Closing Date</t>
  </si>
  <si>
    <t>Proforma Snapshot Year 2 (Stabilized)</t>
  </si>
  <si>
    <t>Building Permit Fee</t>
  </si>
  <si>
    <t>Road Impact Fee </t>
  </si>
  <si>
    <t>Fire Impact Fee</t>
  </si>
  <si>
    <t>Fire Permit Fee </t>
  </si>
  <si>
    <t>Police Protection Impact Fee </t>
  </si>
  <si>
    <t>Irrigation Impact Fee </t>
  </si>
  <si>
    <t>ALS Impact Fee </t>
  </si>
  <si>
    <t>Cape Coral 350 Units, Type VA (April 26, 2021)</t>
  </si>
  <si>
    <t>Oasis at Surfside: 2200 SW 23rd Ln</t>
  </si>
  <si>
    <t>-</t>
  </si>
  <si>
    <t>Coralina Apartments: 3305 Grant Cove Cir</t>
  </si>
  <si>
    <t>Built 2021, 228 Units, 83.3% Vacancy, $1.62/sf avg, 962 sqft avg unit size</t>
  </si>
  <si>
    <t>Built 2018, 186 Units, 3-Story, 2.2% Vacancy, $1.70/sf avg, 1071 sqft avg unit</t>
  </si>
  <si>
    <t>STUDIO</t>
  </si>
  <si>
    <t>1BR</t>
  </si>
  <si>
    <t>2BR</t>
  </si>
  <si>
    <t>3BR</t>
  </si>
  <si>
    <t>PROPERTY</t>
  </si>
  <si>
    <t>BUILT</t>
  </si>
  <si>
    <t>UNITS</t>
  </si>
  <si>
    <t>PRICE</t>
  </si>
  <si>
    <t>PSF</t>
  </si>
  <si>
    <t>Unit Mix</t>
  </si>
  <si>
    <t>OCC</t>
  </si>
  <si>
    <t>Operating Expenses</t>
  </si>
  <si>
    <t>Net Operating Income After Reserves</t>
  </si>
  <si>
    <t>Net Operating Income Before Reserves</t>
  </si>
  <si>
    <t>Project Level Unlevered Y.O.C (excl reserves)</t>
  </si>
  <si>
    <t xml:space="preserve">Sale Costs </t>
  </si>
  <si>
    <t xml:space="preserve">Net Proceeds from Sale </t>
  </si>
  <si>
    <t>Residual Value (using NOI before Reserves)</t>
  </si>
  <si>
    <t>Loan Balance</t>
  </si>
  <si>
    <t>IRR</t>
  </si>
  <si>
    <t>Equity Multiple</t>
  </si>
  <si>
    <t>Project Level Cash Flow</t>
  </si>
  <si>
    <t>Water Impact Fee 4"</t>
  </si>
  <si>
    <t>Waste Water Impact Fee 4"</t>
  </si>
  <si>
    <t>Irrigation Meter 3"</t>
  </si>
  <si>
    <t>Water Meter 4"</t>
  </si>
  <si>
    <t xml:space="preserve">The city bills striclty on meter size, not # of fixtures </t>
  </si>
  <si>
    <t xml:space="preserve">*Credit for $1,106 on water and $3,390 on the sewer, because it's already been on the prop taxes for 1 5/8 connection. Irrigation Meter 3" </t>
  </si>
  <si>
    <t>If we want to use the lake to irrgiate we have to go through</t>
  </si>
  <si>
    <t>Fire Line Bypass Meter</t>
  </si>
  <si>
    <t>The city does not charge for connection fee</t>
  </si>
  <si>
    <t>Building Impact Fees (Tammy Whitaker)</t>
  </si>
  <si>
    <t>Utilty Impact Fees (Steve Brightbill)</t>
  </si>
  <si>
    <t>School Admin Fee</t>
  </si>
  <si>
    <t>School Impact Fee</t>
  </si>
  <si>
    <t>Park Impact Fee</t>
  </si>
  <si>
    <t>The fee structure was just changed in July 2020, so the fees tend to change every three years</t>
  </si>
  <si>
    <t>Tap Fees are at the expense of the owner. The city does not charge a tap fee</t>
  </si>
  <si>
    <t>Subtotal</t>
  </si>
  <si>
    <t>Radon</t>
  </si>
  <si>
    <t>Total Impact Fees</t>
  </si>
  <si>
    <t>- Land value only reflects the value of the Phase I units, not the incremental units by building Phase II
- Utility Expansion Agreement has an outsatnding balance of 885,320, needs to be paiid off within 5 years at interest rate of 5%. Is this mortgageable? Impact fees?</t>
  </si>
  <si>
    <t>Deal Summary Packet</t>
  </si>
  <si>
    <t>David Weinstein | Partner</t>
  </si>
  <si>
    <t>Robert Weinstein | Partner</t>
  </si>
  <si>
    <t>david@wbpropertygroup.com |  917-696-6656</t>
  </si>
  <si>
    <t>robert@wbpropertygroup.com |  917-670-8267</t>
  </si>
  <si>
    <t>For Internal Use Only</t>
  </si>
  <si>
    <t>Equity Contribution</t>
  </si>
  <si>
    <t>Equity Invested</t>
  </si>
  <si>
    <t>Pro Rata Interest</t>
  </si>
  <si>
    <t>Deal Level IRR</t>
  </si>
  <si>
    <t>Gross to Net IRR Adjustment</t>
  </si>
  <si>
    <t>Total Equity</t>
  </si>
  <si>
    <t>Hurdle Rate</t>
  </si>
  <si>
    <t>Preferred Return (First Hurdle)</t>
  </si>
  <si>
    <t>Second Hurdle</t>
  </si>
  <si>
    <t>Third Hurdle</t>
  </si>
  <si>
    <t>Return of Capital</t>
  </si>
  <si>
    <t>Contributions</t>
  </si>
  <si>
    <t>Distributions - Return of Capital</t>
  </si>
  <si>
    <t>End of Period Balance</t>
  </si>
  <si>
    <t>Capital Contribution</t>
  </si>
  <si>
    <t>Cash Flow Remaining</t>
  </si>
  <si>
    <t>Beginning of Period Balance</t>
  </si>
  <si>
    <t>Accrual of (Monthly)</t>
  </si>
  <si>
    <t>Cash Flow - Thereafter</t>
  </si>
  <si>
    <t>Cash Flow</t>
  </si>
  <si>
    <t>Total Cash Flow - Thereafter</t>
  </si>
  <si>
    <t>Levered CF</t>
  </si>
  <si>
    <t>Distributed CF</t>
  </si>
  <si>
    <t>Error Check</t>
  </si>
  <si>
    <t>Sale Proceeds Less Loan Balance</t>
  </si>
  <si>
    <t>exit</t>
  </si>
  <si>
    <t>RETURN SUMMARY</t>
  </si>
  <si>
    <t>Year 1</t>
  </si>
  <si>
    <t>Equtiy In*</t>
  </si>
  <si>
    <t>Avg Annual Occ</t>
  </si>
  <si>
    <t>New Units</t>
  </si>
  <si>
    <t>RETURNS MATRIX</t>
  </si>
  <si>
    <t>Summary of Fees (TO INSERT)</t>
  </si>
  <si>
    <t>Sponsor</t>
  </si>
  <si>
    <t>Investor</t>
  </si>
  <si>
    <t>Year Ending Date</t>
  </si>
  <si>
    <t>Project Levered Cashflows</t>
  </si>
  <si>
    <t>Accrual of (Annual)</t>
  </si>
  <si>
    <t>Coraline Apartments</t>
  </si>
  <si>
    <t>Year 2</t>
  </si>
  <si>
    <t>Year 3</t>
  </si>
  <si>
    <t>Year 4</t>
  </si>
  <si>
    <t>Year 5</t>
  </si>
  <si>
    <t>Year 6</t>
  </si>
  <si>
    <t>Year 7</t>
  </si>
  <si>
    <t>Year 8</t>
  </si>
  <si>
    <t>WATERFALL</t>
  </si>
  <si>
    <t>Before taxes, Dov usually underwrites at $4,000/unit in opex</t>
  </si>
  <si>
    <t>Uptown at Liberty Park</t>
  </si>
  <si>
    <t>Elev Base</t>
  </si>
  <si>
    <t>SALE DATE</t>
  </si>
  <si>
    <t>SALE PRICE</t>
  </si>
  <si>
    <t>PRICE/UNIT</t>
  </si>
  <si>
    <t>COMMENTS</t>
  </si>
  <si>
    <t>Wire money to escrow agent, get copy of owners title policy, get official title commitment</t>
  </si>
  <si>
    <t>Attorney should reivew title commitment and all exceptions</t>
  </si>
  <si>
    <t>Phase I, Market Study,Appraisal, HEROS</t>
  </si>
  <si>
    <t>The utility impact fees are based on the meter size.</t>
  </si>
  <si>
    <t>Is the mill rate the same if it's land vs. construction?</t>
  </si>
  <si>
    <t>6yr, 4.08%</t>
  </si>
  <si>
    <t xml:space="preserve">6yr, 4.08%, even if we don’t need it, we still have to pay this, because it's still available </t>
  </si>
  <si>
    <t>annual, forever</t>
  </si>
  <si>
    <t>annual, forever (once building develops, that'll increase)</t>
  </si>
  <si>
    <t>20yr, 5%</t>
  </si>
  <si>
    <t xml:space="preserve">Total $/Year </t>
  </si>
  <si>
    <t>https://capegis.maps.arcgis.com/apps/webappviewer/index.html?id=bbce9a471a534e7482d35716c4cb6f36</t>
  </si>
  <si>
    <t>https://www.leetc.com/ncp/search_detail.asp?SearchType=RP&amp;TaxYear=2021&amp;Account=164423C3000030000&amp;Option=DETAIL</t>
  </si>
  <si>
    <t>https://www.leepa.org/Display/DisplayParcel.aspx?FolioID=10069922&amp;TaxRollDetails=True&amp;AuthDetails=True#TaxAuthority</t>
  </si>
  <si>
    <t>Non Ad Volerum 2020</t>
  </si>
  <si>
    <t>The balance to pay everything in full that says  "North 2" is: $885k based on 2020 and $832k based on 2021, assuming that the taxes get paid by March 30</t>
  </si>
  <si>
    <t>breakdown, interest $27,510, principal $16,488, county cost $1,065. $489,000 balance.</t>
  </si>
  <si>
    <t>Each line item noted above includes any interest and principal that gets amortized as a result of the utlity expansion assesment. Meaning, if we pay off the utility expansion assessment</t>
  </si>
  <si>
    <t>Mills Rate</t>
  </si>
  <si>
    <t xml:space="preserve">What's the relationship between the Non Ad Volerum and the Utility Expansion Assessment? </t>
  </si>
  <si>
    <t>As a result of the utility expansion assessment and the oustanding balance of $885k, we pay the non advolerum taxes.</t>
  </si>
  <si>
    <t>How are taxes billed and how are they increased?</t>
  </si>
  <si>
    <t>Every end of october they update the balance of the upcoming tax bill, the taxes come out Nov 1, and taxes are due by March 30</t>
  </si>
  <si>
    <t>Properties are assessed on January 1st. The cap assessed value increases 3% max per year</t>
  </si>
  <si>
    <t>The market assesemnt is based</t>
  </si>
  <si>
    <t>https://www.leepa.org/search/propertysearch.aspx</t>
  </si>
  <si>
    <t>those charges go away permanently, thereby reducing our annaul tax bill. The utilty expansin assesment is not incremental to the ad volerum tax bill.</t>
  </si>
  <si>
    <t xml:space="preserve">How are properties appraised? </t>
  </si>
  <si>
    <t>Helpful Links</t>
  </si>
  <si>
    <t>Total $</t>
  </si>
  <si>
    <t>Coleen - 239-533-6100</t>
  </si>
  <si>
    <t>Relevant Q&amp;A</t>
  </si>
  <si>
    <t>Eddie Kurth - 239-533-6234</t>
  </si>
  <si>
    <t>City Tax Contacts</t>
  </si>
  <si>
    <r>
      <rPr>
        <b/>
        <sz val="14"/>
        <color theme="0"/>
        <rFont val="Arial"/>
        <family val="2"/>
      </rPr>
      <t>2021</t>
    </r>
    <r>
      <rPr>
        <b/>
        <sz val="10"/>
        <color theme="0"/>
        <rFont val="Arial"/>
        <family val="2"/>
      </rPr>
      <t xml:space="preserve"> Taxes - 600 Chiquita Blvd </t>
    </r>
  </si>
  <si>
    <r>
      <rPr>
        <b/>
        <sz val="14"/>
        <color theme="0"/>
        <rFont val="Arial"/>
        <family val="2"/>
      </rPr>
      <t>2020</t>
    </r>
    <r>
      <rPr>
        <b/>
        <sz val="10"/>
        <color theme="0"/>
        <rFont val="Arial"/>
        <family val="2"/>
      </rPr>
      <t xml:space="preserve"> Taxes - 600 Chiquita Blvd (note the mill rate went down in 2021)</t>
    </r>
  </si>
  <si>
    <t>annual</t>
  </si>
  <si>
    <t>Yes. The mills rate can range from 17-19, but it's a sliding scale between mills rate and assessed value, which the city uses to get the most from their collections.</t>
  </si>
  <si>
    <t>The city takes a holistic approach: cost, income, and sales. Usually on the first year weighs costs heavily in determining the tax calc</t>
  </si>
  <si>
    <t>What would Chiquita's 350 unit Phase I taxes be, if use the comp Coralina?</t>
  </si>
  <si>
    <t>Coralina is 186 units, built 2018. The appraised value is $163,406 per unit and taxes are $2,833 per unit ad volerum.</t>
  </si>
  <si>
    <t>If we apply to 350 units x $2,833 in taxes paid that equals $991,550 in taxes for Chiquita + non-advolerum of $82,000.</t>
  </si>
  <si>
    <t>For Chiquita Phase I, taxes once the property is built should be approx $3,000-$3,500 per unit for ad valorem taxes</t>
  </si>
  <si>
    <t>Cost For Fill - Raising 100 Yr</t>
  </si>
  <si>
    <t>Acres in 100yr</t>
  </si>
  <si>
    <t>Sqft/Acre</t>
  </si>
  <si>
    <t>Avg height to increase Affected Area</t>
  </si>
  <si>
    <t xml:space="preserve">Subtotal Fill Needed Before Loss Factor </t>
  </si>
  <si>
    <t>Loss Factor from Compacting</t>
  </si>
  <si>
    <t>Total Fill Needed</t>
  </si>
  <si>
    <t>Divide to put in Cubic Yards</t>
  </si>
  <si>
    <t>Cost per cubic yd for fill/spreading</t>
  </si>
  <si>
    <t>Cost for all Fill</t>
  </si>
  <si>
    <t>DW Adjustment less $300,000</t>
  </si>
  <si>
    <t>NCF DW Adjusted</t>
  </si>
  <si>
    <t>DENTON: COST TO BUILD PARKING VS. UNDERGROUND DETENTION</t>
  </si>
  <si>
    <t>Project Size (NSF)</t>
  </si>
  <si>
    <t>Parking Ratio</t>
  </si>
  <si>
    <t>Total Spaces Required</t>
  </si>
  <si>
    <t>Design Smaller Units</t>
  </si>
  <si>
    <t>Cost to Build Two Story Parking (partial wrap)</t>
  </si>
  <si>
    <t>Shrink units by on avg 50 sqft</t>
  </si>
  <si>
    <t>Build two-story poured in place, 379 spaces, 64,820 sqft/level</t>
  </si>
  <si>
    <t># Units</t>
  </si>
  <si>
    <t># of Spaces</t>
  </si>
  <si>
    <t>NSF to Decrease/Unit on Avg</t>
  </si>
  <si>
    <t>Cost per Space</t>
  </si>
  <si>
    <t>Total NSF Decrease</t>
  </si>
  <si>
    <t>Total Cost Two-Story Parking</t>
  </si>
  <si>
    <t>Cost to Build/nsf</t>
  </si>
  <si>
    <t>Incremental Cost/NSF</t>
  </si>
  <si>
    <t>Net Cost Savings</t>
  </si>
  <si>
    <t>Savings/NSF</t>
  </si>
  <si>
    <t>The Nash Dallas Example</t>
  </si>
  <si>
    <t>Sqft Per Floor</t>
  </si>
  <si>
    <t>Cost to Build Underground Detention</t>
  </si>
  <si>
    <t># Spaces Per Floor</t>
  </si>
  <si>
    <t>Build Contech, reclaim 0.7 acre, add surface parking in that area</t>
  </si>
  <si>
    <t>Avg sqft/space incl circulation</t>
  </si>
  <si>
    <t>Volume Requirement (cubic feet)</t>
  </si>
  <si>
    <t>Cost for Contech/cubic ft (installed)</t>
  </si>
  <si>
    <t>Partial Wrap</t>
  </si>
  <si>
    <t>Total Cost for Contech</t>
  </si>
  <si>
    <t>Three story cast in place, more than 50% open (no exhaust/sprinkler)</t>
  </si>
  <si>
    <t>Cost/Space to Surface Park With Below Ground Detention</t>
  </si>
  <si>
    <t># of Spaces in Reclaimed Area</t>
  </si>
  <si>
    <t>Cost Per Space</t>
  </si>
  <si>
    <t>Subtotal Cost to Surface Park</t>
  </si>
  <si>
    <t>Total Cost Partial Wrap</t>
  </si>
  <si>
    <t>Total Cost (underground detention + surface park)</t>
  </si>
  <si>
    <t>Surface Park</t>
  </si>
  <si>
    <t>Surface park cost all-in (with no underground detention below)</t>
  </si>
  <si>
    <t>Cost Per Space to Surface Park</t>
  </si>
  <si>
    <t>Cost to Surface Park</t>
  </si>
  <si>
    <t>Full Wrap</t>
  </si>
  <si>
    <t># Spaces</t>
  </si>
  <si>
    <t>Cost Per Space to Full Wrap</t>
  </si>
  <si>
    <t>3BR/2BA T</t>
  </si>
  <si>
    <t>Below Ground Detention</t>
  </si>
  <si>
    <t>Parking/Unit</t>
  </si>
  <si>
    <t>Total # Spaces</t>
  </si>
  <si>
    <t>1BD</t>
  </si>
  <si>
    <t>2BD</t>
  </si>
  <si>
    <t>3BD</t>
  </si>
  <si>
    <t>PARKING TOTAL</t>
  </si>
  <si>
    <t>Large Building Garage Spaces</t>
  </si>
  <si>
    <t>Townhouse Tuck Under Spaces</t>
  </si>
  <si>
    <t>On Street Surface Parked</t>
  </si>
  <si>
    <t>Total Spaces</t>
  </si>
  <si>
    <t>Townhomes</t>
  </si>
  <si>
    <t>TOTAL MIX</t>
  </si>
  <si>
    <t>5% Guest Parking</t>
  </si>
  <si>
    <t>Beds</t>
  </si>
  <si>
    <t>Avg Sqft</t>
  </si>
  <si>
    <t>Asking Rent/Unit</t>
  </si>
  <si>
    <t>Asking Rent/SF</t>
  </si>
  <si>
    <t>Totals</t>
  </si>
  <si>
    <t>Arte Round Rock: Proposed Unit Mix and Economic Snapshot</t>
  </si>
  <si>
    <t>Asset Management Fee</t>
  </si>
  <si>
    <t>Investor Returns</t>
  </si>
  <si>
    <t>HUD - AMORTIZATION SCHEDULE</t>
  </si>
  <si>
    <t>Project Cash Flow</t>
  </si>
  <si>
    <t>Investor Cash Flow</t>
  </si>
  <si>
    <t>Beginning Balance</t>
  </si>
  <si>
    <t>Ending Balance</t>
  </si>
  <si>
    <t>Eq. Multiple</t>
  </si>
  <si>
    <t>Pref Paid Down Before Sale</t>
  </si>
  <si>
    <t>Pref Balance at Time of Sale</t>
  </si>
  <si>
    <t>Total Equity Invested</t>
  </si>
  <si>
    <t>Total Equity Paid Back Before Sale</t>
  </si>
  <si>
    <t>Equity Balance at Time of Sale</t>
  </si>
  <si>
    <t>Sale Proceeds</t>
  </si>
  <si>
    <t>Pref + Equity Balance at Sale</t>
  </si>
  <si>
    <t>Profit After Pref + Equity Payback</t>
  </si>
  <si>
    <t>Equity Multiple </t>
  </si>
  <si>
    <t>Investor Perspective</t>
  </si>
  <si>
    <t>Year of Sale</t>
  </si>
  <si>
    <t>Affects cashflow but not HUD Debt sizing</t>
  </si>
  <si>
    <t>Acquisition Fee</t>
  </si>
  <si>
    <t>Developer Fee</t>
  </si>
  <si>
    <t>Land Value</t>
  </si>
  <si>
    <t>Cash Required to Close</t>
  </si>
  <si>
    <t>Total Project Equity</t>
  </si>
  <si>
    <t>Equity In*</t>
  </si>
  <si>
    <t>Fill Import + Rock Trenching + Wetland Mit</t>
  </si>
  <si>
    <t>Wetland Mitigation</t>
  </si>
  <si>
    <t>8011 KREFELD DR</t>
  </si>
  <si>
    <t>CHARLOTTE NC</t>
  </si>
  <si>
    <t>320-UNIT MARKET RATE 221(d)4</t>
  </si>
  <si>
    <t>Sponsor Cash Flow</t>
  </si>
  <si>
    <t>Sponsor Cash Required to Close</t>
  </si>
  <si>
    <t>Sponsor Equity</t>
  </si>
  <si>
    <t>Project Cashflow Check</t>
  </si>
  <si>
    <t>Less: Imputed Equity</t>
  </si>
  <si>
    <t>Imputed Equity</t>
  </si>
  <si>
    <t>First Hurdle - Preferred Return</t>
  </si>
  <si>
    <t>First Hurdle Cash Flow</t>
  </si>
  <si>
    <t>Total Cash Flow</t>
  </si>
  <si>
    <t>DSCR</t>
  </si>
  <si>
    <t>Second Hurdle - 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</si>
</sst>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5" formatCode="&quot;$&quot;#,##0_);\(&quot;$&quot;#,##0\)"/>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0000000000000%"/>
    <numFmt numFmtId="166" formatCode="&quot;$&quot;#,##0.00"/>
    <numFmt numFmtId="167" formatCode="0.0%"/>
    <numFmt numFmtId="168" formatCode="_(* #,##0_);_(* \(#,##0\);_(* &quot;-&quot;??_);_(@_)"/>
    <numFmt numFmtId="169" formatCode="[$-409]mmm\-yy;@"/>
    <numFmt numFmtId="170" formatCode="#\ &quot;sqft&quot;"/>
    <numFmt numFmtId="171" formatCode="&quot;$&quot;#,###\ &quot;pupm&quot;"/>
    <numFmt numFmtId="172" formatCode="mm/dd/yy;@"/>
    <numFmt numFmtId="173" formatCode="0.0"/>
    <numFmt numFmtId="174" formatCode="_(* #,##0.0_);_(* \(#,##0.0\);_(* &quot;-&quot;??_);_(@_)"/>
    <numFmt numFmtId="175" formatCode="0.00%\ &quot;Cap&quot;"/>
    <numFmt numFmtId="176" formatCode="#,##0.00&quot;x&quot;"/>
    <numFmt numFmtId="177" formatCode="[$-F800]dddd\,\ mmmm\ dd\,\ yyyy"/>
    <numFmt numFmtId="178" formatCode="0&quot;bps&quot;"/>
    <numFmt numFmtId="179" formatCode="&quot;$&quot;#,##0;[Red]&quot;$&quot;#,##0"/>
    <numFmt numFmtId="180" formatCode="0.00\x"/>
    <numFmt numFmtId="181" formatCode="&quot;'*Equity In assumes using $1M contingency for construction + lease up deficit of &quot;&quot;$&quot;#,##0;[Red]&quot;$&quot;#,##0"/>
    <numFmt numFmtId="182" formatCode="#,##0&quot;/unit&quot;"/>
    <numFmt numFmtId="183" formatCode="00,000\ &quot;/unit&quot;"/>
    <numFmt numFmtId="184" formatCode="&quot;Year&quot;\ 0"/>
    <numFmt numFmtId="185" formatCode="&quot;Contribution&quot;\ &quot;(&quot;0%&quot;)&quot;"/>
    <numFmt numFmtId="186" formatCode="&quot;Preferred Return Accrual&quot;\ &quot;(&quot;0%&quot;)&quot;"/>
    <numFmt numFmtId="187" formatCode="&quot;Distribution&quot;\ &quot;(&quot;0%&quot;)&quot;"/>
    <numFmt numFmtId="188" formatCode="&quot;Investor&quot;\ &quot;(&quot;0%&quot;)&quot;"/>
    <numFmt numFmtId="189" formatCode="&quot;Sponsor&quot;\ &quot;(&quot;0%&quot;)&quot;"/>
    <numFmt numFmtId="190" formatCode="&quot;Investor&quot;\ &quot;(&quot;0.0%&quot;)&quot;"/>
    <numFmt numFmtId="191" formatCode="&quot;Sponsor&quot;\ &quot;(&quot;0.0%&quot;)&quot;"/>
    <numFmt numFmtId="192" formatCode="&quot;Sponsor Promote&quot;\ &quot;(&quot;0%&quot;)&quot;"/>
  </numFmts>
  <fonts count="123">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u/>
      <sz val="11"/>
      <color theme="10"/>
      <name val="Calibri"/>
      <family val="2"/>
      <scheme val="minor"/>
    </font>
    <font>
      <sz val="10"/>
      <name val="Arial"/>
      <family val="2"/>
    </font>
    <font>
      <sz val="10"/>
      <name val="Calibri"/>
      <family val="2"/>
      <scheme val="minor"/>
    </font>
    <font>
      <sz val="12"/>
      <color theme="1"/>
      <name val="Calibri"/>
      <family val="2"/>
      <charset val="134"/>
      <scheme val="minor"/>
    </font>
    <font>
      <b/>
      <i/>
      <sz val="11"/>
      <color theme="1"/>
      <name val="Calibri"/>
      <family val="2"/>
      <scheme val="minor"/>
    </font>
    <font>
      <b/>
      <sz val="11"/>
      <name val="Calibri"/>
      <family val="2"/>
      <scheme val="minor"/>
    </font>
    <font>
      <i/>
      <sz val="10"/>
      <color theme="1"/>
      <name val="Calibri"/>
      <family val="2"/>
      <scheme val="minor"/>
    </font>
    <font>
      <b/>
      <sz val="12"/>
      <color theme="1"/>
      <name val="Calibri"/>
      <family val="2"/>
      <scheme val="minor"/>
    </font>
    <font>
      <b/>
      <sz val="11"/>
      <color theme="1"/>
      <name val="Arial"/>
      <family val="2"/>
    </font>
    <font>
      <sz val="11"/>
      <color theme="1"/>
      <name val="Arial"/>
      <family val="2"/>
    </font>
    <font>
      <sz val="12"/>
      <color rgb="FF000000"/>
      <name val="Calibri"/>
      <family val="2"/>
      <scheme val="minor"/>
    </font>
    <font>
      <i/>
      <sz val="10"/>
      <color theme="0" tint="-0.499984740745262"/>
      <name val="Arial"/>
      <family val="2"/>
    </font>
    <font>
      <b/>
      <sz val="11"/>
      <color theme="0"/>
      <name val="Arial"/>
      <family val="2"/>
    </font>
    <font>
      <b/>
      <sz val="14"/>
      <color theme="0"/>
      <name val="Arial"/>
      <family val="2"/>
    </font>
    <font>
      <b/>
      <sz val="11"/>
      <name val="Arial"/>
      <family val="2"/>
    </font>
    <font>
      <b/>
      <sz val="14"/>
      <color theme="1"/>
      <name val="Arial"/>
      <family val="2"/>
    </font>
    <font>
      <b/>
      <sz val="14"/>
      <color rgb="FF000000"/>
      <name val="Arial"/>
      <family val="2"/>
    </font>
    <font>
      <b/>
      <sz val="13"/>
      <color theme="1"/>
      <name val="All Round Gothic Medium"/>
    </font>
    <font>
      <b/>
      <sz val="11"/>
      <color rgb="FF000000"/>
      <name val="Arial"/>
      <family val="2"/>
    </font>
    <font>
      <b/>
      <sz val="10"/>
      <color theme="0"/>
      <name val="Helvetica"/>
      <family val="2"/>
    </font>
    <font>
      <sz val="10"/>
      <name val="Segoe UI"/>
      <family val="2"/>
    </font>
    <font>
      <sz val="10"/>
      <color rgb="FF000000"/>
      <name val="Arial"/>
      <family val="2"/>
    </font>
    <font>
      <sz val="10"/>
      <color rgb="FF0432FF"/>
      <name val="Arial"/>
      <family val="2"/>
    </font>
    <font>
      <b/>
      <sz val="13"/>
      <color theme="1"/>
      <name val="Maverix Regular"/>
    </font>
    <font>
      <b/>
      <sz val="10"/>
      <color theme="0"/>
      <name val="Arial"/>
      <family val="2"/>
    </font>
    <font>
      <sz val="10"/>
      <name val="Gotham Book"/>
      <family val="3"/>
    </font>
    <font>
      <i/>
      <sz val="10"/>
      <name val="Arial"/>
      <family val="2"/>
    </font>
    <font>
      <i/>
      <sz val="10"/>
      <color theme="1"/>
      <name val="Arial"/>
      <family val="2"/>
    </font>
    <font>
      <b/>
      <i/>
      <sz val="11"/>
      <color theme="1"/>
      <name val="Arial"/>
      <family val="2"/>
    </font>
    <font>
      <i/>
      <sz val="10"/>
      <color theme="4" tint="-0.249977111117893"/>
      <name val="Arial"/>
      <family val="2"/>
    </font>
    <font>
      <sz val="10"/>
      <color theme="4" tint="-0.249977111117893"/>
      <name val="Arial"/>
      <family val="2"/>
    </font>
    <font>
      <u/>
      <sz val="10"/>
      <name val="Arial"/>
      <family val="2"/>
    </font>
    <font>
      <sz val="10"/>
      <color theme="0" tint="-0.499984740745262"/>
      <name val="Arial"/>
      <family val="2"/>
    </font>
    <font>
      <u/>
      <sz val="10"/>
      <color theme="1"/>
      <name val="Arial"/>
      <family val="2"/>
    </font>
    <font>
      <b/>
      <sz val="10"/>
      <color theme="1"/>
      <name val="Arial"/>
      <family val="2"/>
    </font>
    <font>
      <b/>
      <sz val="10"/>
      <name val="Arial"/>
      <family val="2"/>
    </font>
    <font>
      <b/>
      <i/>
      <sz val="10"/>
      <color theme="1"/>
      <name val="Arial"/>
      <family val="2"/>
    </font>
    <font>
      <sz val="10"/>
      <color rgb="FFFF0000"/>
      <name val="Arial"/>
      <family val="2"/>
    </font>
    <font>
      <sz val="10"/>
      <color theme="1"/>
      <name val="Arial"/>
      <family val="2"/>
    </font>
    <font>
      <b/>
      <sz val="10"/>
      <color theme="1"/>
      <name val="Segoe UI"/>
      <family val="2"/>
    </font>
    <font>
      <sz val="10"/>
      <color theme="1"/>
      <name val="Segoe UI"/>
      <family val="2"/>
    </font>
    <font>
      <sz val="11"/>
      <color rgb="FF222222"/>
      <name val="Arial"/>
      <family val="2"/>
    </font>
    <font>
      <u/>
      <sz val="11"/>
      <color theme="1"/>
      <name val="Arial"/>
      <family val="2"/>
    </font>
    <font>
      <sz val="10"/>
      <color theme="1"/>
      <name val="Calibri"/>
      <family val="2"/>
      <scheme val="minor"/>
    </font>
    <font>
      <b/>
      <u/>
      <sz val="10"/>
      <color theme="1"/>
      <name val="Arial"/>
      <family val="2"/>
    </font>
    <font>
      <u val="singleAccounting"/>
      <sz val="10"/>
      <color theme="1"/>
      <name val="Arial"/>
      <family val="2"/>
    </font>
    <font>
      <u val="singleAccounting"/>
      <sz val="10"/>
      <color theme="4" tint="-0.249977111117893"/>
      <name val="Arial"/>
      <family val="2"/>
    </font>
    <font>
      <i/>
      <u/>
      <sz val="11"/>
      <color theme="1"/>
      <name val="Arial"/>
      <family val="2"/>
    </font>
    <font>
      <sz val="10"/>
      <color rgb="FF333333"/>
      <name val="Arial"/>
      <family val="2"/>
    </font>
    <font>
      <sz val="10"/>
      <color rgb="FF212121"/>
      <name val="Arial"/>
      <family val="2"/>
    </font>
    <font>
      <b/>
      <sz val="10"/>
      <color rgb="FFFFFFFF"/>
      <name val="Arial"/>
      <family val="2"/>
    </font>
    <font>
      <sz val="10"/>
      <color rgb="FF222222"/>
      <name val="Arial"/>
      <family val="2"/>
    </font>
    <font>
      <u/>
      <sz val="10"/>
      <color theme="10"/>
      <name val="Arial"/>
      <family val="2"/>
    </font>
    <font>
      <b/>
      <sz val="12"/>
      <color theme="0"/>
      <name val="Arial"/>
      <family val="2"/>
    </font>
    <font>
      <sz val="12"/>
      <color theme="0"/>
      <name val="Arial"/>
      <family val="2"/>
    </font>
    <font>
      <b/>
      <sz val="12"/>
      <color rgb="FF222222"/>
      <name val="Arial"/>
      <family val="2"/>
    </font>
    <font>
      <b/>
      <sz val="12"/>
      <color theme="1"/>
      <name val="Arial"/>
      <family val="2"/>
    </font>
    <font>
      <b/>
      <sz val="10"/>
      <color rgb="FF333333"/>
      <name val="Arial"/>
      <family val="2"/>
    </font>
    <font>
      <sz val="12"/>
      <color rgb="FF0070C0"/>
      <name val="Arial"/>
      <family val="2"/>
    </font>
    <font>
      <sz val="10"/>
      <color rgb="FF666666"/>
      <name val="Arial"/>
      <family val="2"/>
    </font>
    <font>
      <sz val="12"/>
      <name val="Arial"/>
      <family val="2"/>
    </font>
    <font>
      <u/>
      <sz val="12"/>
      <color theme="1"/>
      <name val="Arial"/>
      <family val="2"/>
    </font>
    <font>
      <u/>
      <sz val="11"/>
      <color theme="10"/>
      <name val="Arial"/>
      <family val="2"/>
    </font>
    <font>
      <b/>
      <sz val="10"/>
      <color rgb="FF222222"/>
      <name val="Arial"/>
      <family val="2"/>
    </font>
    <font>
      <u/>
      <sz val="10"/>
      <color theme="4"/>
      <name val="Arial"/>
      <family val="2"/>
    </font>
    <font>
      <b/>
      <sz val="10"/>
      <color theme="0"/>
      <name val="Segoe UI"/>
      <family val="2"/>
    </font>
    <font>
      <b/>
      <sz val="13"/>
      <color theme="1"/>
      <name val="Segoe UI"/>
      <family val="2"/>
    </font>
    <font>
      <b/>
      <sz val="10"/>
      <color theme="0" tint="-0.499984740745262"/>
      <name val="Segoe UI"/>
      <family val="2"/>
    </font>
    <font>
      <sz val="10"/>
      <color theme="0" tint="-0.499984740745262"/>
      <name val="Segoe UI"/>
      <family val="2"/>
    </font>
    <font>
      <b/>
      <sz val="11"/>
      <color theme="1"/>
      <name val="Calibri"/>
      <family val="2"/>
      <scheme val="minor"/>
    </font>
    <font>
      <u/>
      <sz val="10"/>
      <color rgb="FF212121"/>
      <name val="Arial"/>
      <family val="2"/>
    </font>
    <font>
      <u/>
      <sz val="11"/>
      <color theme="1"/>
      <name val="Calibri"/>
      <family val="2"/>
      <scheme val="minor"/>
    </font>
    <font>
      <b/>
      <i/>
      <sz val="10"/>
      <color theme="1"/>
      <name val="Calibri"/>
      <family val="2"/>
      <scheme val="minor"/>
    </font>
    <font>
      <sz val="11"/>
      <color theme="1"/>
      <name val="Calibri"/>
      <family val="2"/>
    </font>
    <font>
      <b/>
      <u/>
      <sz val="14"/>
      <name val="Arial"/>
      <family val="2"/>
    </font>
    <font>
      <sz val="10"/>
      <name val="Basic"/>
    </font>
    <font>
      <b/>
      <sz val="10"/>
      <color indexed="63"/>
      <name val="Basic"/>
    </font>
    <font>
      <sz val="11"/>
      <color theme="1"/>
      <name val="Basic"/>
    </font>
    <font>
      <sz val="14"/>
      <name val="Basic"/>
    </font>
    <font>
      <b/>
      <i/>
      <sz val="12"/>
      <color theme="1"/>
      <name val="Calibri"/>
      <family val="2"/>
      <scheme val="minor"/>
    </font>
    <font>
      <sz val="18"/>
      <color theme="1"/>
      <name val="Basic"/>
    </font>
    <font>
      <b/>
      <sz val="12"/>
      <color indexed="63"/>
      <name val="Arial"/>
      <family val="2"/>
    </font>
    <font>
      <sz val="13"/>
      <color theme="1"/>
      <name val="Avenir Book"/>
      <family val="2"/>
    </font>
    <font>
      <sz val="12"/>
      <color indexed="8"/>
      <name val="Verdana"/>
      <family val="2"/>
    </font>
    <font>
      <sz val="11"/>
      <name val="Arial"/>
      <family val="2"/>
    </font>
    <font>
      <sz val="18"/>
      <color theme="1"/>
      <name val="Arial"/>
      <family val="2"/>
    </font>
    <font>
      <sz val="14"/>
      <name val="Arial"/>
      <family val="2"/>
    </font>
    <font>
      <sz val="12"/>
      <color theme="1"/>
      <name val="Arial"/>
      <family val="2"/>
    </font>
    <font>
      <sz val="13"/>
      <color theme="1"/>
      <name val="Arial"/>
      <family val="2"/>
    </font>
    <font>
      <sz val="10"/>
      <color theme="4"/>
      <name val="Arial"/>
      <family val="2"/>
    </font>
    <font>
      <sz val="11"/>
      <name val="Calibri"/>
      <family val="2"/>
    </font>
    <font>
      <b/>
      <sz val="16"/>
      <name val="Arial"/>
      <family val="2"/>
    </font>
    <font>
      <i/>
      <sz val="10"/>
      <color theme="0"/>
      <name val="Segoe UI"/>
    </font>
    <font>
      <b/>
      <sz val="10"/>
      <color theme="0" tint="-0.499984740745262"/>
      <name val="Arial"/>
      <family val="2"/>
    </font>
    <font>
      <u/>
      <sz val="10"/>
      <name val="Calibri"/>
      <family val="2"/>
      <scheme val="minor"/>
    </font>
    <font>
      <sz val="10"/>
      <color rgb="FF0000FF"/>
      <name val="Arial"/>
      <family val="2"/>
    </font>
    <font>
      <sz val="12"/>
      <color rgb="FF000000"/>
      <name val="Arial"/>
      <family val="2"/>
    </font>
    <font>
      <b/>
      <sz val="11"/>
      <name val="Calibri"/>
      <family val="2"/>
    </font>
    <font>
      <i/>
      <sz val="11"/>
      <color theme="1"/>
      <name val="Arial"/>
      <family val="2"/>
    </font>
    <font>
      <b/>
      <sz val="11"/>
      <color theme="0"/>
      <name val="Calibri"/>
      <family val="2"/>
    </font>
    <font>
      <sz val="11"/>
      <color theme="0"/>
      <name val="Calibri"/>
      <family val="2"/>
    </font>
    <font>
      <i/>
      <sz val="11"/>
      <color rgb="FF000000"/>
      <name val="Calibri"/>
      <family val="2"/>
    </font>
    <font>
      <sz val="11"/>
      <color rgb="FF000000"/>
      <name val="Calibri"/>
      <family val="2"/>
    </font>
    <font>
      <b/>
      <sz val="11"/>
      <color rgb="FF000000"/>
      <name val="Calibri"/>
      <family val="2"/>
    </font>
    <font>
      <b/>
      <sz val="11"/>
      <color theme="1"/>
      <name val="Calibri"/>
      <family val="2"/>
    </font>
    <font>
      <i/>
      <sz val="11"/>
      <color theme="1"/>
      <name val="Calibri"/>
      <family val="2"/>
    </font>
    <font>
      <sz val="12"/>
      <color theme="1"/>
      <name val="Times New Roman"/>
      <family val="1"/>
    </font>
    <font>
      <sz val="10"/>
      <color rgb="FF0070C0"/>
      <name val="Calibri"/>
      <family val="2"/>
      <scheme val="minor"/>
    </font>
    <font>
      <b/>
      <sz val="10"/>
      <name val="Calibri"/>
      <family val="2"/>
      <scheme val="minor"/>
    </font>
    <font>
      <b/>
      <sz val="11"/>
      <color theme="0"/>
      <name val="Calibri"/>
      <family val="2"/>
      <scheme val="minor"/>
    </font>
    <font>
      <sz val="10"/>
      <name val="Helvetica"/>
      <family val="2"/>
    </font>
    <font>
      <b/>
      <sz val="10"/>
      <name val="Helvetica"/>
      <family val="2"/>
    </font>
    <font>
      <sz val="10"/>
      <color theme="4" tint="-0.249977111117893"/>
      <name val="Calibri"/>
      <family val="2"/>
      <scheme val="minor"/>
    </font>
    <font>
      <i/>
      <sz val="10"/>
      <color theme="4"/>
      <name val="Arial"/>
      <family val="2"/>
    </font>
    <font>
      <b/>
      <sz val="10"/>
      <color theme="4"/>
      <name val="Arial"/>
      <family val="2"/>
    </font>
    <font>
      <u val="singleAccounting"/>
      <sz val="10"/>
      <color theme="4"/>
      <name val="Arial"/>
      <family val="2"/>
    </font>
    <font>
      <b/>
      <u/>
      <sz val="10"/>
      <name val="Calibri"/>
      <family val="2"/>
      <scheme val="minor"/>
    </font>
    <font>
      <i/>
      <sz val="11"/>
      <color theme="1"/>
      <name val="Calibri"/>
      <family val="2"/>
      <scheme val="minor"/>
    </font>
    <font>
      <i/>
      <sz val="8"/>
      <color theme="1"/>
      <name val="Arial"/>
      <family val="2"/>
    </font>
  </fonts>
  <fills count="17">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1" tint="0.14999847407452621"/>
        <bgColor indexed="64"/>
      </patternFill>
    </fill>
    <fill>
      <patternFill patternType="solid">
        <fgColor theme="0" tint="-4.9989318521683403E-2"/>
        <bgColor indexed="64"/>
      </patternFill>
    </fill>
    <fill>
      <patternFill patternType="solid">
        <fgColor rgb="FF14324E"/>
        <bgColor indexed="64"/>
      </patternFill>
    </fill>
    <fill>
      <patternFill patternType="solid">
        <fgColor rgb="FFDCD5CE"/>
        <bgColor indexed="64"/>
      </patternFill>
    </fill>
    <fill>
      <patternFill patternType="solid">
        <fgColor rgb="FF313527"/>
        <bgColor indexed="64"/>
      </patternFill>
    </fill>
    <fill>
      <patternFill patternType="solid">
        <fgColor rgb="FFEDEEEF"/>
        <bgColor indexed="64"/>
      </patternFill>
    </fill>
    <fill>
      <patternFill patternType="solid">
        <fgColor rgb="FF2C2F25"/>
        <bgColor indexed="64"/>
      </patternFill>
    </fill>
    <fill>
      <patternFill patternType="solid">
        <fgColor theme="1" tint="0.34998626667073579"/>
        <bgColor indexed="64"/>
      </patternFill>
    </fill>
    <fill>
      <patternFill patternType="solid">
        <fgColor rgb="FF002060"/>
        <bgColor indexed="64"/>
      </patternFill>
    </fill>
    <fill>
      <patternFill patternType="solid">
        <fgColor theme="4" tint="-0.499984740745262"/>
        <bgColor indexed="64"/>
      </patternFill>
    </fill>
    <fill>
      <patternFill patternType="solid">
        <fgColor rgb="FFFFFF00"/>
        <bgColor indexed="64"/>
      </patternFill>
    </fill>
    <fill>
      <patternFill patternType="solid">
        <fgColor theme="1"/>
        <bgColor indexed="64"/>
      </patternFill>
    </fill>
  </fills>
  <borders count="4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bottom/>
      <diagonal/>
    </border>
    <border>
      <left/>
      <right style="medium">
        <color auto="1"/>
      </right>
      <top/>
      <bottom/>
      <diagonal/>
    </border>
    <border>
      <left style="thin">
        <color indexed="64"/>
      </left>
      <right/>
      <top/>
      <bottom/>
      <diagonal/>
    </border>
    <border>
      <left/>
      <right/>
      <top/>
      <bottom style="thin">
        <color auto="1"/>
      </bottom>
      <diagonal/>
    </border>
    <border>
      <left/>
      <right style="thin">
        <color indexed="64"/>
      </right>
      <top/>
      <bottom/>
      <diagonal/>
    </border>
    <border>
      <left/>
      <right style="thin">
        <color indexed="64"/>
      </right>
      <top style="medium">
        <color indexed="64"/>
      </top>
      <bottom/>
      <diagonal/>
    </border>
    <border>
      <left/>
      <right/>
      <top style="medium">
        <color auto="1"/>
      </top>
      <bottom/>
      <diagonal/>
    </border>
    <border>
      <left/>
      <right/>
      <top style="thin">
        <color auto="1"/>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diagonal/>
    </border>
    <border>
      <left style="thin">
        <color indexed="64"/>
      </left>
      <right/>
      <top style="medium">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top style="thin">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top style="thin">
        <color indexed="64"/>
      </top>
      <bottom style="double">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thin">
        <color indexed="64"/>
      </left>
      <right style="thin">
        <color indexed="64"/>
      </right>
      <top/>
      <bottom/>
      <diagonal/>
    </border>
    <border>
      <left/>
      <right/>
      <top/>
      <bottom style="thin">
        <color theme="0"/>
      </bottom>
      <diagonal/>
    </border>
    <border>
      <left/>
      <right/>
      <top/>
      <bottom style="medium">
        <color indexed="64"/>
      </bottom>
      <diagonal/>
    </border>
  </borders>
  <cellStyleXfs count="18">
    <xf numFmtId="0" fontId="0" fillId="0" borderId="0"/>
    <xf numFmtId="9" fontId="7" fillId="0" borderId="0" applyFont="0" applyFill="0" applyBorder="0" applyAlignment="0" applyProtection="0"/>
    <xf numFmtId="0" fontId="5" fillId="0" borderId="0"/>
    <xf numFmtId="9" fontId="5" fillId="0" borderId="0" applyFont="0" applyFill="0" applyBorder="0" applyAlignment="0" applyProtection="0"/>
    <xf numFmtId="9" fontId="3" fillId="0" borderId="0" applyFont="0" applyFill="0" applyBorder="0" applyAlignment="0" applyProtection="0"/>
    <xf numFmtId="0" fontId="4" fillId="0" borderId="0" applyNumberFormat="0" applyFill="0" applyBorder="0" applyAlignment="0" applyProtection="0"/>
    <xf numFmtId="43" fontId="3" fillId="0" borderId="0" applyFont="0" applyFill="0" applyBorder="0" applyAlignment="0" applyProtection="0"/>
    <xf numFmtId="0" fontId="4" fillId="0" borderId="0" applyNumberFormat="0" applyFill="0" applyBorder="0" applyAlignment="0" applyProtection="0"/>
    <xf numFmtId="0" fontId="5" fillId="0" borderId="0"/>
    <xf numFmtId="0" fontId="77" fillId="0" borderId="0"/>
    <xf numFmtId="0" fontId="87" fillId="0" borderId="0" applyNumberFormat="0" applyFill="0" applyBorder="0" applyProtection="0">
      <alignment horizontal="justify" vertical="justify" wrapText="1"/>
    </xf>
    <xf numFmtId="0" fontId="2" fillId="0" borderId="0"/>
    <xf numFmtId="9" fontId="2" fillId="0" borderId="0" applyFont="0" applyFill="0" applyBorder="0" applyAlignment="0" applyProtection="0"/>
    <xf numFmtId="0" fontId="1" fillId="0" borderId="0"/>
    <xf numFmtId="9" fontId="1" fillId="0" borderId="0" applyFont="0" applyFill="0" applyBorder="0" applyAlignment="0" applyProtection="0"/>
    <xf numFmtId="44" fontId="94" fillId="0" borderId="0" applyFont="0" applyFill="0" applyBorder="0" applyAlignment="0" applyProtection="0"/>
    <xf numFmtId="0" fontId="94" fillId="0" borderId="0"/>
    <xf numFmtId="44" fontId="3" fillId="0" borderId="0" applyFont="0" applyFill="0" applyBorder="0" applyAlignment="0" applyProtection="0"/>
  </cellStyleXfs>
  <cellXfs count="966">
    <xf numFmtId="0" fontId="0" fillId="0" borderId="0" xfId="0"/>
    <xf numFmtId="0" fontId="6" fillId="0" borderId="0" xfId="2" applyFont="1"/>
    <xf numFmtId="0" fontId="6" fillId="2" borderId="0" xfId="2" applyFont="1" applyFill="1"/>
    <xf numFmtId="165" fontId="6" fillId="0" borderId="0" xfId="2" applyNumberFormat="1" applyFont="1"/>
    <xf numFmtId="0" fontId="8" fillId="2" borderId="0" xfId="2" applyFont="1" applyFill="1" applyAlignment="1">
      <alignment horizontal="right"/>
    </xf>
    <xf numFmtId="164" fontId="8" fillId="2" borderId="0" xfId="2" applyNumberFormat="1" applyFont="1" applyFill="1" applyAlignment="1">
      <alignment horizontal="center"/>
    </xf>
    <xf numFmtId="166" fontId="6" fillId="0" borderId="0" xfId="2" applyNumberFormat="1" applyFont="1"/>
    <xf numFmtId="3" fontId="6" fillId="0" borderId="0" xfId="2" applyNumberFormat="1" applyFont="1"/>
    <xf numFmtId="164" fontId="6" fillId="0" borderId="0" xfId="2" applyNumberFormat="1" applyFont="1"/>
    <xf numFmtId="3" fontId="9" fillId="0" borderId="0" xfId="2" applyNumberFormat="1" applyFont="1" applyAlignment="1">
      <alignment horizontal="center"/>
    </xf>
    <xf numFmtId="3" fontId="9" fillId="0" borderId="11" xfId="2" applyNumberFormat="1" applyFont="1" applyBorder="1"/>
    <xf numFmtId="0" fontId="6" fillId="2" borderId="7" xfId="2" applyFont="1" applyFill="1" applyBorder="1"/>
    <xf numFmtId="0" fontId="6" fillId="0" borderId="6" xfId="2" applyFont="1" applyBorder="1"/>
    <xf numFmtId="168" fontId="0" fillId="0" borderId="0" xfId="6" applyNumberFormat="1" applyFont="1"/>
    <xf numFmtId="0" fontId="0" fillId="0" borderId="0" xfId="0" applyAlignment="1">
      <alignment horizontal="right"/>
    </xf>
    <xf numFmtId="166" fontId="0" fillId="0" borderId="0" xfId="0" applyNumberFormat="1" applyAlignment="1">
      <alignment horizontal="right"/>
    </xf>
    <xf numFmtId="0" fontId="13" fillId="0" borderId="0" xfId="0" applyFont="1"/>
    <xf numFmtId="0" fontId="11" fillId="0" borderId="0" xfId="0" applyFont="1"/>
    <xf numFmtId="0" fontId="14" fillId="0" borderId="0" xfId="0" applyFont="1"/>
    <xf numFmtId="0" fontId="0" fillId="0" borderId="0" xfId="0" applyBorder="1"/>
    <xf numFmtId="0" fontId="15" fillId="0" borderId="0" xfId="0" applyFont="1" applyAlignment="1">
      <alignment horizontal="right"/>
    </xf>
    <xf numFmtId="0" fontId="16" fillId="7" borderId="14" xfId="0" applyFont="1" applyFill="1" applyBorder="1" applyAlignment="1">
      <alignment horizontal="left" vertical="center"/>
    </xf>
    <xf numFmtId="0" fontId="17" fillId="7" borderId="11" xfId="0" applyFont="1" applyFill="1" applyBorder="1" applyAlignment="1">
      <alignment horizontal="center" vertical="center"/>
    </xf>
    <xf numFmtId="0" fontId="17" fillId="7" borderId="15" xfId="0" applyFont="1" applyFill="1" applyBorder="1" applyAlignment="1">
      <alignment horizontal="center" vertical="center"/>
    </xf>
    <xf numFmtId="14" fontId="15" fillId="0" borderId="0" xfId="0" applyNumberFormat="1" applyFont="1" applyAlignment="1">
      <alignment horizontal="right"/>
    </xf>
    <xf numFmtId="0" fontId="18" fillId="8" borderId="20" xfId="0" applyFont="1" applyFill="1" applyBorder="1" applyAlignment="1">
      <alignment vertical="center"/>
    </xf>
    <xf numFmtId="0" fontId="19" fillId="0" borderId="0" xfId="0" applyFont="1"/>
    <xf numFmtId="0" fontId="0" fillId="0" borderId="20" xfId="0" applyBorder="1"/>
    <xf numFmtId="0" fontId="20" fillId="0" borderId="20" xfId="0" applyFont="1" applyBorder="1"/>
    <xf numFmtId="0" fontId="21" fillId="0" borderId="0" xfId="0" applyFont="1"/>
    <xf numFmtId="0" fontId="22" fillId="0" borderId="20" xfId="0" applyFont="1" applyBorder="1"/>
    <xf numFmtId="0" fontId="16" fillId="7" borderId="16" xfId="0" applyFont="1" applyFill="1" applyBorder="1" applyAlignment="1">
      <alignment horizontal="center" vertical="center"/>
    </xf>
    <xf numFmtId="0" fontId="12" fillId="0" borderId="20" xfId="0" applyFont="1" applyBorder="1"/>
    <xf numFmtId="0" fontId="5" fillId="0" borderId="20" xfId="0" applyFont="1" applyBorder="1" applyAlignment="1">
      <alignment horizontal="left"/>
    </xf>
    <xf numFmtId="0" fontId="24" fillId="0" borderId="20" xfId="0" applyFont="1" applyBorder="1" applyAlignment="1">
      <alignment horizontal="left"/>
    </xf>
    <xf numFmtId="0" fontId="25" fillId="0" borderId="20" xfId="0" applyFont="1" applyBorder="1"/>
    <xf numFmtId="0" fontId="26" fillId="2" borderId="20" xfId="0" applyFont="1" applyFill="1" applyBorder="1" applyAlignment="1">
      <alignment vertical="center"/>
    </xf>
    <xf numFmtId="0" fontId="15" fillId="0" borderId="20" xfId="0" applyFont="1" applyBorder="1" applyAlignment="1">
      <alignment horizontal="left"/>
    </xf>
    <xf numFmtId="0" fontId="27" fillId="0" borderId="0" xfId="0" applyFont="1"/>
    <xf numFmtId="0" fontId="5" fillId="8" borderId="0" xfId="0" applyFont="1" applyFill="1" applyAlignment="1">
      <alignment vertical="center"/>
    </xf>
    <xf numFmtId="0" fontId="5" fillId="0" borderId="20" xfId="0" applyFont="1" applyBorder="1" applyAlignment="1">
      <alignment horizontal="left" wrapText="1"/>
    </xf>
    <xf numFmtId="0" fontId="28" fillId="7" borderId="16" xfId="0" applyFont="1" applyFill="1" applyBorder="1" applyAlignment="1">
      <alignment horizontal="center" vertical="center"/>
    </xf>
    <xf numFmtId="0" fontId="5" fillId="9" borderId="0" xfId="0" applyFont="1" applyFill="1" applyAlignment="1">
      <alignment horizontal="center" vertical="center"/>
    </xf>
    <xf numFmtId="0" fontId="29" fillId="10" borderId="0" xfId="8" applyFont="1" applyFill="1"/>
    <xf numFmtId="0" fontId="0" fillId="11" borderId="0" xfId="0" applyFill="1"/>
    <xf numFmtId="0" fontId="16" fillId="12" borderId="14" xfId="0" applyFont="1" applyFill="1" applyBorder="1"/>
    <xf numFmtId="0" fontId="16" fillId="12" borderId="11" xfId="0" applyFont="1" applyFill="1" applyBorder="1"/>
    <xf numFmtId="0" fontId="16" fillId="13" borderId="14" xfId="0" applyFont="1" applyFill="1" applyBorder="1"/>
    <xf numFmtId="0" fontId="16" fillId="13" borderId="11" xfId="0" applyFont="1" applyFill="1" applyBorder="1"/>
    <xf numFmtId="0" fontId="17" fillId="7" borderId="16" xfId="0" applyFont="1" applyFill="1" applyBorder="1" applyAlignment="1">
      <alignment horizontal="left" vertical="center"/>
    </xf>
    <xf numFmtId="0" fontId="12" fillId="0" borderId="7" xfId="0" applyFont="1" applyBorder="1"/>
    <xf numFmtId="0" fontId="19" fillId="0" borderId="7" xfId="0" applyFont="1" applyBorder="1"/>
    <xf numFmtId="0" fontId="16" fillId="7" borderId="15" xfId="0" applyFont="1" applyFill="1" applyBorder="1" applyAlignment="1">
      <alignment horizontal="center" vertical="center"/>
    </xf>
    <xf numFmtId="0" fontId="16" fillId="7" borderId="28" xfId="0" applyFont="1" applyFill="1" applyBorder="1" applyAlignment="1">
      <alignment horizontal="center" vertical="center"/>
    </xf>
    <xf numFmtId="0" fontId="17" fillId="7" borderId="16" xfId="0" applyFont="1" applyFill="1" applyBorder="1" applyAlignment="1">
      <alignment horizontal="center" vertical="center"/>
    </xf>
    <xf numFmtId="0" fontId="17" fillId="7" borderId="18" xfId="0" applyFont="1" applyFill="1" applyBorder="1" applyAlignment="1">
      <alignment horizontal="center" vertical="center"/>
    </xf>
    <xf numFmtId="0" fontId="16" fillId="7" borderId="28" xfId="0" applyFont="1" applyFill="1" applyBorder="1" applyAlignment="1">
      <alignment horizontal="left" vertical="center"/>
    </xf>
    <xf numFmtId="0" fontId="17" fillId="7" borderId="18" xfId="0" applyFont="1" applyFill="1" applyBorder="1" applyAlignment="1">
      <alignment horizontal="left" vertical="center"/>
    </xf>
    <xf numFmtId="0" fontId="12" fillId="0" borderId="6" xfId="2" applyFont="1" applyBorder="1"/>
    <xf numFmtId="0" fontId="5" fillId="0" borderId="0" xfId="2" applyFont="1"/>
    <xf numFmtId="3" fontId="5" fillId="0" borderId="0" xfId="2" applyNumberFormat="1" applyFont="1"/>
    <xf numFmtId="3" fontId="18" fillId="0" borderId="8" xfId="2" applyNumberFormat="1" applyFont="1" applyBorder="1"/>
    <xf numFmtId="0" fontId="5" fillId="0" borderId="8" xfId="2" applyFont="1" applyBorder="1"/>
    <xf numFmtId="0" fontId="30" fillId="0" borderId="8" xfId="2" applyFont="1" applyBorder="1"/>
    <xf numFmtId="10" fontId="30" fillId="0" borderId="8" xfId="4" applyNumberFormat="1" applyFont="1" applyBorder="1" applyAlignment="1">
      <alignment horizontal="left"/>
    </xf>
    <xf numFmtId="0" fontId="31" fillId="0" borderId="8" xfId="2" applyFont="1" applyBorder="1"/>
    <xf numFmtId="0" fontId="5" fillId="0" borderId="8" xfId="2" applyFont="1" applyBorder="1" applyAlignment="1">
      <alignment vertical="top" wrapText="1"/>
    </xf>
    <xf numFmtId="3" fontId="5" fillId="6" borderId="8" xfId="2" applyNumberFormat="1" applyFont="1" applyFill="1" applyBorder="1"/>
    <xf numFmtId="3" fontId="5" fillId="6" borderId="13" xfId="2" applyNumberFormat="1" applyFont="1" applyFill="1" applyBorder="1"/>
    <xf numFmtId="0" fontId="32" fillId="0" borderId="14" xfId="2" applyFont="1" applyBorder="1" applyAlignment="1">
      <alignment horizontal="right"/>
    </xf>
    <xf numFmtId="164" fontId="32" fillId="0" borderId="15" xfId="2" applyNumberFormat="1" applyFont="1" applyBorder="1" applyAlignment="1"/>
    <xf numFmtId="0" fontId="5" fillId="0" borderId="12" xfId="2" applyFont="1" applyBorder="1"/>
    <xf numFmtId="0" fontId="5" fillId="0" borderId="0" xfId="2" applyFont="1" applyBorder="1"/>
    <xf numFmtId="0" fontId="5" fillId="0" borderId="13" xfId="2" applyFont="1" applyBorder="1"/>
    <xf numFmtId="3" fontId="30" fillId="0" borderId="8" xfId="2" applyNumberFormat="1" applyFont="1" applyBorder="1"/>
    <xf numFmtId="3" fontId="5" fillId="0" borderId="6" xfId="2" applyNumberFormat="1" applyFont="1" applyBorder="1" applyAlignment="1">
      <alignment horizontal="right"/>
    </xf>
    <xf numFmtId="3" fontId="33" fillId="0" borderId="0" xfId="2" applyNumberFormat="1" applyFont="1" applyAlignment="1">
      <alignment horizontal="right"/>
    </xf>
    <xf numFmtId="3" fontId="34" fillId="0" borderId="0" xfId="2" applyNumberFormat="1" applyFont="1"/>
    <xf numFmtId="0" fontId="36" fillId="0" borderId="6" xfId="2" applyFont="1" applyBorder="1" applyAlignment="1">
      <alignment horizontal="right"/>
    </xf>
    <xf numFmtId="10" fontId="5" fillId="0" borderId="0" xfId="2" applyNumberFormat="1" applyFont="1"/>
    <xf numFmtId="167" fontId="5" fillId="0" borderId="0" xfId="2" applyNumberFormat="1" applyFont="1"/>
    <xf numFmtId="10" fontId="5" fillId="0" borderId="0" xfId="3" applyNumberFormat="1" applyFont="1"/>
    <xf numFmtId="3" fontId="5" fillId="6" borderId="6" xfId="2" applyNumberFormat="1" applyFont="1" applyFill="1" applyBorder="1" applyAlignment="1">
      <alignment horizontal="right"/>
    </xf>
    <xf numFmtId="167" fontId="5" fillId="6" borderId="0" xfId="2" applyNumberFormat="1" applyFont="1" applyFill="1"/>
    <xf numFmtId="3" fontId="5" fillId="6" borderId="0" xfId="2" applyNumberFormat="1" applyFont="1" applyFill="1"/>
    <xf numFmtId="3" fontId="5" fillId="6" borderId="12" xfId="2" applyNumberFormat="1" applyFont="1" applyFill="1" applyBorder="1" applyAlignment="1">
      <alignment horizontal="right"/>
    </xf>
    <xf numFmtId="167" fontId="5" fillId="6" borderId="7" xfId="2" applyNumberFormat="1" applyFont="1" applyFill="1" applyBorder="1"/>
    <xf numFmtId="3" fontId="5" fillId="6" borderId="7" xfId="2" applyNumberFormat="1" applyFont="1" applyFill="1" applyBorder="1"/>
    <xf numFmtId="0" fontId="37" fillId="0" borderId="6" xfId="2" applyFont="1" applyBorder="1" applyAlignment="1">
      <alignment horizontal="center"/>
    </xf>
    <xf numFmtId="0" fontId="37" fillId="0" borderId="0" xfId="2" applyFont="1" applyAlignment="1">
      <alignment horizontal="center"/>
    </xf>
    <xf numFmtId="3" fontId="35" fillId="0" borderId="0" xfId="2" applyNumberFormat="1" applyFont="1" applyAlignment="1">
      <alignment horizontal="center"/>
    </xf>
    <xf numFmtId="3" fontId="35" fillId="0" borderId="8" xfId="2" applyNumberFormat="1" applyFont="1" applyBorder="1" applyAlignment="1">
      <alignment horizontal="center"/>
    </xf>
    <xf numFmtId="0" fontId="5" fillId="0" borderId="6" xfId="2" applyFont="1" applyBorder="1" applyAlignment="1">
      <alignment horizontal="center"/>
    </xf>
    <xf numFmtId="2" fontId="5" fillId="0" borderId="0" xfId="2" applyNumberFormat="1" applyFont="1" applyAlignment="1">
      <alignment horizontal="center"/>
    </xf>
    <xf numFmtId="3" fontId="5" fillId="0" borderId="8" xfId="2" applyNumberFormat="1" applyFont="1" applyBorder="1" applyAlignment="1">
      <alignment horizontal="center"/>
    </xf>
    <xf numFmtId="0" fontId="5" fillId="0" borderId="29" xfId="2" applyFont="1" applyBorder="1" applyAlignment="1">
      <alignment horizontal="center"/>
    </xf>
    <xf numFmtId="3" fontId="34" fillId="0" borderId="30" xfId="2" applyNumberFormat="1" applyFont="1" applyBorder="1" applyAlignment="1">
      <alignment horizontal="center"/>
    </xf>
    <xf numFmtId="2" fontId="5" fillId="0" borderId="30" xfId="2" applyNumberFormat="1" applyFont="1" applyBorder="1" applyAlignment="1">
      <alignment horizontal="center"/>
    </xf>
    <xf numFmtId="3" fontId="5" fillId="0" borderId="31" xfId="2" applyNumberFormat="1" applyFont="1" applyBorder="1" applyAlignment="1">
      <alignment horizontal="center"/>
    </xf>
    <xf numFmtId="0" fontId="38" fillId="0" borderId="6" xfId="2" applyFont="1" applyBorder="1" applyAlignment="1">
      <alignment horizontal="right"/>
    </xf>
    <xf numFmtId="3" fontId="38" fillId="0" borderId="0" xfId="2" applyNumberFormat="1" applyFont="1" applyAlignment="1">
      <alignment horizontal="center"/>
    </xf>
    <xf numFmtId="3" fontId="39" fillId="0" borderId="0" xfId="2" applyNumberFormat="1" applyFont="1" applyAlignment="1">
      <alignment horizontal="center"/>
    </xf>
    <xf numFmtId="2" fontId="38" fillId="0" borderId="0" xfId="2" applyNumberFormat="1" applyFont="1" applyAlignment="1">
      <alignment horizontal="center"/>
    </xf>
    <xf numFmtId="3" fontId="38" fillId="0" borderId="8" xfId="2" applyNumberFormat="1" applyFont="1" applyBorder="1" applyAlignment="1">
      <alignment horizontal="center"/>
    </xf>
    <xf numFmtId="3" fontId="39" fillId="0" borderId="8" xfId="2" applyNumberFormat="1" applyFont="1" applyBorder="1"/>
    <xf numFmtId="0" fontId="5" fillId="0" borderId="6" xfId="2" applyFont="1" applyBorder="1" applyAlignment="1"/>
    <xf numFmtId="0" fontId="5" fillId="0" borderId="0" xfId="2" applyFont="1" applyAlignment="1"/>
    <xf numFmtId="9" fontId="30" fillId="0" borderId="0" xfId="2" applyNumberFormat="1" applyFont="1"/>
    <xf numFmtId="9" fontId="33" fillId="0" borderId="0" xfId="2" applyNumberFormat="1" applyFont="1"/>
    <xf numFmtId="4" fontId="39" fillId="0" borderId="8" xfId="2" applyNumberFormat="1" applyFont="1" applyBorder="1"/>
    <xf numFmtId="0" fontId="5" fillId="0" borderId="6" xfId="2" applyFont="1" applyBorder="1" applyAlignment="1">
      <alignment horizontal="right"/>
    </xf>
    <xf numFmtId="0" fontId="5" fillId="0" borderId="6" xfId="2" applyFont="1" applyBorder="1"/>
    <xf numFmtId="9" fontId="30" fillId="0" borderId="8" xfId="1" applyFont="1" applyBorder="1" applyAlignment="1">
      <alignment horizontal="left"/>
    </xf>
    <xf numFmtId="0" fontId="5" fillId="0" borderId="0" xfId="2" applyFont="1" applyFill="1"/>
    <xf numFmtId="9" fontId="30" fillId="0" borderId="8" xfId="3" applyFont="1" applyFill="1" applyBorder="1" applyAlignment="1">
      <alignment horizontal="left"/>
    </xf>
    <xf numFmtId="3" fontId="5" fillId="0" borderId="10" xfId="2" applyNumberFormat="1" applyFont="1" applyBorder="1"/>
    <xf numFmtId="0" fontId="5" fillId="0" borderId="6" xfId="2" applyFont="1" applyBorder="1" applyAlignment="1">
      <alignment horizontal="left"/>
    </xf>
    <xf numFmtId="0" fontId="5" fillId="0" borderId="0" xfId="2" applyFont="1" applyAlignment="1">
      <alignment horizontal="left"/>
    </xf>
    <xf numFmtId="3" fontId="5" fillId="0" borderId="0" xfId="2" applyNumberFormat="1" applyFont="1" applyAlignment="1">
      <alignment horizontal="center"/>
    </xf>
    <xf numFmtId="3" fontId="5" fillId="0" borderId="6" xfId="2" applyNumberFormat="1" applyFont="1" applyBorder="1" applyAlignment="1">
      <alignment horizontal="left"/>
    </xf>
    <xf numFmtId="10" fontId="5" fillId="0" borderId="0" xfId="2" applyNumberFormat="1" applyFont="1" applyAlignment="1">
      <alignment horizontal="center"/>
    </xf>
    <xf numFmtId="0" fontId="41" fillId="0" borderId="6" xfId="2" applyFont="1" applyBorder="1" applyAlignment="1">
      <alignment horizontal="left"/>
    </xf>
    <xf numFmtId="0" fontId="41" fillId="0" borderId="0" xfId="2" applyFont="1" applyAlignment="1">
      <alignment horizontal="left"/>
    </xf>
    <xf numFmtId="0" fontId="5" fillId="0" borderId="12" xfId="2" applyFont="1" applyBorder="1" applyAlignment="1">
      <alignment horizontal="left"/>
    </xf>
    <xf numFmtId="0" fontId="5" fillId="0" borderId="7" xfId="2" applyFont="1" applyBorder="1" applyAlignment="1">
      <alignment horizontal="left"/>
    </xf>
    <xf numFmtId="3" fontId="5" fillId="0" borderId="7" xfId="2" applyNumberFormat="1" applyFont="1" applyBorder="1"/>
    <xf numFmtId="0" fontId="5" fillId="0" borderId="6" xfId="2" applyFont="1" applyBorder="1" applyAlignment="1">
      <alignment horizontal="center" wrapText="1"/>
    </xf>
    <xf numFmtId="3" fontId="5" fillId="0" borderId="0" xfId="2" applyNumberFormat="1" applyFont="1" applyAlignment="1">
      <alignment horizontal="center" wrapText="1"/>
    </xf>
    <xf numFmtId="9" fontId="42" fillId="0" borderId="0" xfId="3" applyFont="1" applyAlignment="1">
      <alignment horizontal="center" wrapText="1"/>
    </xf>
    <xf numFmtId="0" fontId="23" fillId="7" borderId="14" xfId="0" applyFont="1" applyFill="1" applyBorder="1" applyAlignment="1">
      <alignment horizontal="center" vertical="center"/>
    </xf>
    <xf numFmtId="0" fontId="16" fillId="7" borderId="11" xfId="0" applyFont="1" applyFill="1" applyBorder="1" applyAlignment="1">
      <alignment horizontal="center" vertical="center"/>
    </xf>
    <xf numFmtId="0" fontId="43" fillId="0" borderId="0" xfId="0" applyFont="1" applyBorder="1"/>
    <xf numFmtId="0" fontId="45" fillId="0" borderId="0" xfId="0" applyFont="1"/>
    <xf numFmtId="3" fontId="0" fillId="0" borderId="0" xfId="0" applyNumberFormat="1"/>
    <xf numFmtId="0" fontId="5" fillId="0" borderId="6" xfId="2" applyFont="1" applyBorder="1" applyAlignment="1">
      <alignment horizontal="left"/>
    </xf>
    <xf numFmtId="0" fontId="5" fillId="0" borderId="0" xfId="2" applyFont="1" applyAlignment="1">
      <alignment horizontal="left"/>
    </xf>
    <xf numFmtId="3" fontId="5" fillId="0" borderId="0" xfId="2" applyNumberFormat="1" applyFont="1" applyAlignment="1">
      <alignment horizontal="center"/>
    </xf>
    <xf numFmtId="0" fontId="38" fillId="0" borderId="6" xfId="2" applyFont="1" applyBorder="1" applyAlignment="1">
      <alignment horizontal="left"/>
    </xf>
    <xf numFmtId="0" fontId="38" fillId="0" borderId="0" xfId="2" applyFont="1" applyAlignment="1">
      <alignment horizontal="left"/>
    </xf>
    <xf numFmtId="3" fontId="5" fillId="0" borderId="8" xfId="2" applyNumberFormat="1" applyFont="1" applyBorder="1" applyAlignment="1">
      <alignment horizontal="center"/>
    </xf>
    <xf numFmtId="3" fontId="38" fillId="0" borderId="10" xfId="2" applyNumberFormat="1" applyFont="1" applyBorder="1" applyAlignment="1">
      <alignment horizontal="center"/>
    </xf>
    <xf numFmtId="3" fontId="38" fillId="0" borderId="0" xfId="2" applyNumberFormat="1" applyFont="1" applyAlignment="1">
      <alignment horizontal="center"/>
    </xf>
    <xf numFmtId="9" fontId="38" fillId="0" borderId="0" xfId="1" applyFont="1" applyAlignment="1">
      <alignment horizontal="center"/>
    </xf>
    <xf numFmtId="0" fontId="42" fillId="0" borderId="6" xfId="2" applyFont="1" applyBorder="1" applyAlignment="1">
      <alignment horizontal="right"/>
    </xf>
    <xf numFmtId="170" fontId="31" fillId="0" borderId="0" xfId="2" applyNumberFormat="1" applyFont="1" applyAlignment="1">
      <alignment horizontal="center"/>
    </xf>
    <xf numFmtId="3" fontId="36" fillId="0" borderId="0" xfId="2" applyNumberFormat="1" applyFont="1" applyAlignment="1">
      <alignment horizontal="center"/>
    </xf>
    <xf numFmtId="3" fontId="36" fillId="0" borderId="0" xfId="2" applyNumberFormat="1" applyFont="1" applyFill="1"/>
    <xf numFmtId="43" fontId="13" fillId="0" borderId="0" xfId="6" applyFont="1"/>
    <xf numFmtId="43" fontId="13" fillId="0" borderId="0" xfId="0" applyNumberFormat="1" applyFont="1"/>
    <xf numFmtId="0" fontId="5" fillId="10" borderId="0" xfId="8" applyFont="1" applyFill="1"/>
    <xf numFmtId="0" fontId="42" fillId="0" borderId="0" xfId="0" applyFont="1"/>
    <xf numFmtId="168" fontId="42" fillId="0" borderId="0" xfId="6" applyNumberFormat="1" applyFont="1"/>
    <xf numFmtId="168" fontId="42" fillId="0" borderId="0" xfId="0" applyNumberFormat="1" applyFont="1"/>
    <xf numFmtId="169" fontId="42" fillId="0" borderId="0" xfId="0" applyNumberFormat="1" applyFont="1"/>
    <xf numFmtId="43" fontId="42" fillId="0" borderId="0" xfId="0" applyNumberFormat="1" applyFont="1"/>
    <xf numFmtId="0" fontId="42" fillId="11" borderId="0" xfId="0" applyFont="1" applyFill="1"/>
    <xf numFmtId="43" fontId="42" fillId="0" borderId="0" xfId="6" applyFont="1"/>
    <xf numFmtId="0" fontId="42" fillId="8" borderId="0" xfId="0" applyFont="1" applyFill="1"/>
    <xf numFmtId="169" fontId="42" fillId="8" borderId="0" xfId="0" applyNumberFormat="1" applyFont="1" applyFill="1"/>
    <xf numFmtId="168" fontId="42" fillId="8" borderId="0" xfId="6" applyNumberFormat="1" applyFont="1" applyFill="1"/>
    <xf numFmtId="168" fontId="42" fillId="0" borderId="0" xfId="0" applyNumberFormat="1" applyFont="1" applyFill="1"/>
    <xf numFmtId="43" fontId="13" fillId="0" borderId="0" xfId="6" applyFont="1" applyFill="1"/>
    <xf numFmtId="168" fontId="42" fillId="0" borderId="0" xfId="6" applyNumberFormat="1" applyFont="1" applyFill="1"/>
    <xf numFmtId="43" fontId="42" fillId="0" borderId="0" xfId="6" applyFont="1" applyFill="1"/>
    <xf numFmtId="43" fontId="13" fillId="0" borderId="0" xfId="6" applyFont="1" applyFill="1" applyBorder="1"/>
    <xf numFmtId="0" fontId="28" fillId="0" borderId="0" xfId="0" applyFont="1" applyFill="1" applyBorder="1" applyAlignment="1">
      <alignment horizontal="center" vertical="center"/>
    </xf>
    <xf numFmtId="168" fontId="42" fillId="0" borderId="0" xfId="6" applyNumberFormat="1" applyFont="1" applyFill="1" applyBorder="1"/>
    <xf numFmtId="0" fontId="19" fillId="0" borderId="0" xfId="0" applyFont="1" applyAlignment="1"/>
    <xf numFmtId="0" fontId="19" fillId="0" borderId="0" xfId="0" applyNumberFormat="1" applyFont="1" applyAlignment="1"/>
    <xf numFmtId="0" fontId="0" fillId="0" borderId="0" xfId="0" applyNumberFormat="1"/>
    <xf numFmtId="0" fontId="38" fillId="0" borderId="0" xfId="0" applyNumberFormat="1" applyFont="1" applyAlignment="1"/>
    <xf numFmtId="0" fontId="42" fillId="0" borderId="0" xfId="0" applyNumberFormat="1" applyFont="1"/>
    <xf numFmtId="0" fontId="38" fillId="0" borderId="0" xfId="0" applyFont="1" applyAlignment="1"/>
    <xf numFmtId="0" fontId="38" fillId="0" borderId="0" xfId="0" applyFont="1"/>
    <xf numFmtId="0" fontId="38" fillId="0" borderId="0" xfId="0" applyFont="1" applyBorder="1"/>
    <xf numFmtId="168" fontId="42" fillId="0" borderId="0" xfId="6" applyNumberFormat="1" applyFont="1" applyBorder="1"/>
    <xf numFmtId="0" fontId="48" fillId="0" borderId="0" xfId="0" applyFont="1" applyBorder="1"/>
    <xf numFmtId="0" fontId="42" fillId="0" borderId="0" xfId="0" applyFont="1" applyBorder="1"/>
    <xf numFmtId="0" fontId="28" fillId="7" borderId="0" xfId="0" applyFont="1" applyFill="1" applyBorder="1" applyAlignment="1">
      <alignment horizontal="left" vertical="center"/>
    </xf>
    <xf numFmtId="0" fontId="28" fillId="7" borderId="0" xfId="0" applyFont="1" applyFill="1" applyBorder="1" applyAlignment="1">
      <alignment horizontal="center" vertical="center"/>
    </xf>
    <xf numFmtId="0" fontId="38" fillId="0" borderId="4" xfId="0" applyFont="1" applyBorder="1"/>
    <xf numFmtId="0" fontId="48" fillId="0" borderId="4" xfId="0" applyFont="1" applyBorder="1"/>
    <xf numFmtId="0" fontId="31" fillId="0" borderId="0" xfId="0" applyFont="1"/>
    <xf numFmtId="168" fontId="38" fillId="0" borderId="0" xfId="6" applyNumberFormat="1" applyFont="1" applyAlignment="1">
      <alignment horizontal="center"/>
    </xf>
    <xf numFmtId="168" fontId="38" fillId="0" borderId="0" xfId="0" applyNumberFormat="1" applyFont="1" applyAlignment="1">
      <alignment horizontal="center"/>
    </xf>
    <xf numFmtId="9" fontId="38" fillId="0" borderId="5" xfId="4" applyFont="1" applyBorder="1" applyAlignment="1">
      <alignment horizontal="center"/>
    </xf>
    <xf numFmtId="0" fontId="42" fillId="0" borderId="4" xfId="0" applyFont="1" applyBorder="1"/>
    <xf numFmtId="10" fontId="42" fillId="0" borderId="5" xfId="4" applyNumberFormat="1" applyFont="1" applyBorder="1"/>
    <xf numFmtId="9" fontId="31" fillId="0" borderId="0" xfId="0" applyNumberFormat="1" applyFont="1"/>
    <xf numFmtId="168" fontId="49" fillId="0" borderId="0" xfId="6" applyNumberFormat="1" applyFont="1"/>
    <xf numFmtId="168" fontId="49" fillId="0" borderId="0" xfId="0" applyNumberFormat="1" applyFont="1"/>
    <xf numFmtId="10" fontId="37" fillId="0" borderId="5" xfId="4" applyNumberFormat="1" applyFont="1" applyBorder="1"/>
    <xf numFmtId="168" fontId="38" fillId="0" borderId="0" xfId="6" applyNumberFormat="1" applyFont="1"/>
    <xf numFmtId="0" fontId="40" fillId="0" borderId="0" xfId="0" applyFont="1"/>
    <xf numFmtId="168" fontId="38" fillId="0" borderId="0" xfId="0" applyNumberFormat="1" applyFont="1"/>
    <xf numFmtId="9" fontId="38" fillId="0" borderId="5" xfId="4" applyFont="1" applyBorder="1"/>
    <xf numFmtId="9" fontId="42" fillId="0" borderId="5" xfId="4" applyFont="1" applyBorder="1"/>
    <xf numFmtId="0" fontId="38" fillId="0" borderId="0" xfId="0" applyFont="1" applyAlignment="1">
      <alignment horizontal="center"/>
    </xf>
    <xf numFmtId="0" fontId="38" fillId="0" borderId="5" xfId="0" applyFont="1" applyBorder="1" applyAlignment="1">
      <alignment horizontal="center"/>
    </xf>
    <xf numFmtId="168" fontId="34" fillId="0" borderId="0" xfId="6" applyNumberFormat="1" applyFont="1"/>
    <xf numFmtId="0" fontId="31" fillId="0" borderId="0" xfId="0" applyFont="1" applyAlignment="1">
      <alignment horizontal="right"/>
    </xf>
    <xf numFmtId="10" fontId="38" fillId="0" borderId="5" xfId="4" applyNumberFormat="1" applyFont="1" applyBorder="1"/>
    <xf numFmtId="0" fontId="38" fillId="4" borderId="1" xfId="0" applyFont="1" applyFill="1" applyBorder="1"/>
    <xf numFmtId="0" fontId="40" fillId="4" borderId="2" xfId="0" applyFont="1" applyFill="1" applyBorder="1"/>
    <xf numFmtId="168" fontId="38" fillId="4" borderId="2" xfId="6" applyNumberFormat="1" applyFont="1" applyFill="1" applyBorder="1"/>
    <xf numFmtId="168" fontId="38" fillId="4" borderId="2" xfId="0" applyNumberFormat="1" applyFont="1" applyFill="1" applyBorder="1"/>
    <xf numFmtId="9" fontId="38" fillId="4" borderId="3" xfId="4" applyFont="1" applyFill="1" applyBorder="1"/>
    <xf numFmtId="0" fontId="42" fillId="0" borderId="19" xfId="0" applyFont="1" applyBorder="1"/>
    <xf numFmtId="3" fontId="42" fillId="0" borderId="20" xfId="0" applyNumberFormat="1" applyFont="1" applyBorder="1"/>
    <xf numFmtId="168" fontId="42" fillId="0" borderId="20" xfId="6" applyNumberFormat="1" applyFont="1" applyBorder="1"/>
    <xf numFmtId="43" fontId="42" fillId="0" borderId="20" xfId="6" applyFont="1" applyBorder="1"/>
    <xf numFmtId="168" fontId="42" fillId="0" borderId="21" xfId="6" applyNumberFormat="1" applyFont="1" applyBorder="1"/>
    <xf numFmtId="0" fontId="38" fillId="0" borderId="22" xfId="0" applyFont="1" applyBorder="1"/>
    <xf numFmtId="0" fontId="38" fillId="0" borderId="23" xfId="0" applyFont="1" applyBorder="1"/>
    <xf numFmtId="168" fontId="38" fillId="0" borderId="23" xfId="6" applyNumberFormat="1" applyFont="1" applyBorder="1"/>
    <xf numFmtId="43" fontId="38" fillId="0" borderId="23" xfId="6" applyFont="1" applyBorder="1"/>
    <xf numFmtId="168" fontId="38" fillId="0" borderId="24" xfId="6" applyNumberFormat="1" applyFont="1" applyBorder="1"/>
    <xf numFmtId="0" fontId="10" fillId="0" borderId="8" xfId="2" quotePrefix="1" applyFont="1" applyBorder="1" applyAlignment="1">
      <alignment vertical="top" wrapText="1"/>
    </xf>
    <xf numFmtId="0" fontId="6" fillId="0" borderId="16" xfId="2" applyFont="1" applyBorder="1"/>
    <xf numFmtId="0" fontId="10" fillId="0" borderId="18" xfId="2" quotePrefix="1" applyFont="1" applyBorder="1" applyAlignment="1">
      <alignment vertical="top" wrapText="1"/>
    </xf>
    <xf numFmtId="0" fontId="10" fillId="0" borderId="0" xfId="2" quotePrefix="1" applyFont="1" applyBorder="1" applyAlignment="1">
      <alignment vertical="top" wrapText="1"/>
    </xf>
    <xf numFmtId="0" fontId="5" fillId="6" borderId="0" xfId="2" applyFont="1" applyFill="1"/>
    <xf numFmtId="9" fontId="30" fillId="6" borderId="8" xfId="3" applyFont="1" applyFill="1" applyBorder="1" applyAlignment="1">
      <alignment horizontal="left"/>
    </xf>
    <xf numFmtId="0" fontId="5" fillId="6" borderId="8" xfId="2" applyFont="1" applyFill="1" applyBorder="1"/>
    <xf numFmtId="0" fontId="48" fillId="0" borderId="0" xfId="6" applyNumberFormat="1" applyFont="1" applyBorder="1" applyAlignment="1">
      <alignment horizontal="center"/>
    </xf>
    <xf numFmtId="168" fontId="38" fillId="0" borderId="0" xfId="6" applyNumberFormat="1" applyFont="1" applyBorder="1"/>
    <xf numFmtId="0" fontId="39" fillId="0" borderId="0" xfId="0" applyFont="1" applyBorder="1"/>
    <xf numFmtId="3" fontId="31" fillId="0" borderId="8" xfId="2" applyNumberFormat="1" applyFont="1" applyBorder="1"/>
    <xf numFmtId="9" fontId="42" fillId="0" borderId="0" xfId="1" applyFont="1" applyAlignment="1">
      <alignment horizontal="center"/>
    </xf>
    <xf numFmtId="9" fontId="42" fillId="0" borderId="30" xfId="1" applyFont="1" applyBorder="1" applyAlignment="1">
      <alignment horizontal="center"/>
    </xf>
    <xf numFmtId="0" fontId="12" fillId="6" borderId="0" xfId="0" applyFont="1" applyFill="1" applyAlignment="1">
      <alignment horizontal="right"/>
    </xf>
    <xf numFmtId="168" fontId="13" fillId="6" borderId="0" xfId="6" applyNumberFormat="1" applyFont="1" applyFill="1" applyBorder="1"/>
    <xf numFmtId="43" fontId="13" fillId="6" borderId="0" xfId="6" applyFont="1" applyFill="1"/>
    <xf numFmtId="10" fontId="46" fillId="6" borderId="0" xfId="6" applyNumberFormat="1" applyFont="1" applyFill="1" applyBorder="1"/>
    <xf numFmtId="43" fontId="12" fillId="6" borderId="0" xfId="6" applyFont="1" applyFill="1"/>
    <xf numFmtId="0" fontId="15" fillId="0" borderId="0" xfId="0" applyFont="1" applyAlignment="1">
      <alignment horizontal="left"/>
    </xf>
    <xf numFmtId="0" fontId="24" fillId="0" borderId="0" xfId="0" applyFont="1"/>
    <xf numFmtId="0" fontId="12" fillId="0" borderId="0" xfId="0" applyFont="1" applyBorder="1"/>
    <xf numFmtId="0" fontId="16" fillId="7" borderId="0" xfId="0" applyFont="1" applyFill="1" applyBorder="1" applyAlignment="1">
      <alignment horizontal="center" vertical="center"/>
    </xf>
    <xf numFmtId="0" fontId="16" fillId="7" borderId="26" xfId="0" applyFont="1" applyFill="1" applyBorder="1" applyAlignment="1">
      <alignment horizontal="center" vertical="center"/>
    </xf>
    <xf numFmtId="0" fontId="16" fillId="7" borderId="25" xfId="0" applyFont="1" applyFill="1" applyBorder="1" applyAlignment="1">
      <alignment horizontal="left" vertical="center"/>
    </xf>
    <xf numFmtId="0" fontId="16" fillId="7" borderId="27" xfId="0" applyFont="1" applyFill="1" applyBorder="1" applyAlignment="1">
      <alignment horizontal="center" vertical="center"/>
    </xf>
    <xf numFmtId="0" fontId="16" fillId="7" borderId="8" xfId="0" applyFont="1" applyFill="1" applyBorder="1" applyAlignment="1">
      <alignment horizontal="center" vertical="center"/>
    </xf>
    <xf numFmtId="0" fontId="28" fillId="7" borderId="6" xfId="0" applyFont="1" applyFill="1" applyBorder="1" applyAlignment="1">
      <alignment horizontal="left" vertical="center"/>
    </xf>
    <xf numFmtId="0" fontId="47" fillId="0" borderId="6" xfId="0" applyFont="1" applyBorder="1" applyAlignment="1">
      <alignment horizontal="left"/>
    </xf>
    <xf numFmtId="0" fontId="47" fillId="0" borderId="0" xfId="0" applyFont="1" applyBorder="1" applyAlignment="1">
      <alignment horizontal="center"/>
    </xf>
    <xf numFmtId="164" fontId="47" fillId="0" borderId="0" xfId="0" applyNumberFormat="1" applyFont="1" applyBorder="1" applyAlignment="1">
      <alignment horizontal="center"/>
    </xf>
    <xf numFmtId="166" fontId="47" fillId="0" borderId="0" xfId="0" applyNumberFormat="1" applyFont="1" applyBorder="1" applyAlignment="1">
      <alignment horizontal="center"/>
    </xf>
    <xf numFmtId="164" fontId="47" fillId="0" borderId="8" xfId="0" applyNumberFormat="1" applyFont="1" applyBorder="1" applyAlignment="1">
      <alignment horizontal="center"/>
    </xf>
    <xf numFmtId="0" fontId="47" fillId="0" borderId="0" xfId="0" applyFont="1" applyBorder="1" applyAlignment="1">
      <alignment horizontal="left"/>
    </xf>
    <xf numFmtId="0" fontId="47" fillId="0" borderId="8" xfId="0" applyFont="1" applyBorder="1" applyAlignment="1">
      <alignment horizontal="center"/>
    </xf>
    <xf numFmtId="9" fontId="47" fillId="0" borderId="0" xfId="1" applyFont="1" applyBorder="1" applyAlignment="1">
      <alignment horizontal="center"/>
    </xf>
    <xf numFmtId="0" fontId="47" fillId="0" borderId="29" xfId="0" applyFont="1" applyBorder="1" applyAlignment="1">
      <alignment horizontal="left"/>
    </xf>
    <xf numFmtId="9" fontId="47" fillId="0" borderId="30" xfId="1" applyFont="1" applyBorder="1" applyAlignment="1">
      <alignment horizontal="center"/>
    </xf>
    <xf numFmtId="0" fontId="47" fillId="0" borderId="30" xfId="0" applyFont="1" applyBorder="1" applyAlignment="1">
      <alignment horizontal="center"/>
    </xf>
    <xf numFmtId="164" fontId="47" fillId="0" borderId="30" xfId="0" applyNumberFormat="1" applyFont="1" applyBorder="1" applyAlignment="1">
      <alignment horizontal="center"/>
    </xf>
    <xf numFmtId="166" fontId="47" fillId="0" borderId="30" xfId="0" applyNumberFormat="1" applyFont="1" applyBorder="1" applyAlignment="1">
      <alignment horizontal="center"/>
    </xf>
    <xf numFmtId="166" fontId="47" fillId="0" borderId="31" xfId="0" applyNumberFormat="1" applyFont="1" applyBorder="1" applyAlignment="1">
      <alignment horizontal="center"/>
    </xf>
    <xf numFmtId="0" fontId="47" fillId="0" borderId="12" xfId="0" applyFont="1" applyBorder="1" applyAlignment="1">
      <alignment horizontal="left"/>
    </xf>
    <xf numFmtId="0" fontId="47" fillId="0" borderId="7" xfId="0" applyFont="1" applyBorder="1" applyAlignment="1">
      <alignment horizontal="center"/>
    </xf>
    <xf numFmtId="164" fontId="47" fillId="0" borderId="7" xfId="0" applyNumberFormat="1" applyFont="1" applyBorder="1" applyAlignment="1">
      <alignment horizontal="center"/>
    </xf>
    <xf numFmtId="166" fontId="47" fillId="0" borderId="7" xfId="0" applyNumberFormat="1" applyFont="1" applyBorder="1" applyAlignment="1">
      <alignment horizontal="center"/>
    </xf>
    <xf numFmtId="0" fontId="47" fillId="0" borderId="13" xfId="0" applyFont="1" applyBorder="1" applyAlignment="1">
      <alignment horizontal="center"/>
    </xf>
    <xf numFmtId="0" fontId="5" fillId="6" borderId="14" xfId="0" applyFont="1" applyFill="1" applyBorder="1" applyAlignment="1">
      <alignment vertical="center"/>
    </xf>
    <xf numFmtId="0" fontId="5" fillId="6" borderId="11" xfId="0" applyFont="1" applyFill="1" applyBorder="1" applyAlignment="1">
      <alignment horizontal="center" vertical="center"/>
    </xf>
    <xf numFmtId="0" fontId="5" fillId="6" borderId="15" xfId="0" applyFont="1" applyFill="1" applyBorder="1" applyAlignment="1">
      <alignment horizontal="center" vertical="center"/>
    </xf>
    <xf numFmtId="0" fontId="16" fillId="7" borderId="20" xfId="0" applyFont="1" applyFill="1" applyBorder="1" applyAlignment="1">
      <alignment horizontal="center" vertical="center" wrapText="1"/>
    </xf>
    <xf numFmtId="0" fontId="16" fillId="7" borderId="20" xfId="0" applyFont="1" applyFill="1" applyBorder="1" applyAlignment="1">
      <alignment horizontal="left" vertical="center" wrapText="1"/>
    </xf>
    <xf numFmtId="3" fontId="42" fillId="0" borderId="6" xfId="2" applyNumberFormat="1" applyFont="1" applyBorder="1" applyAlignment="1">
      <alignment horizontal="right"/>
    </xf>
    <xf numFmtId="0" fontId="51" fillId="0" borderId="0" xfId="0" applyFont="1"/>
    <xf numFmtId="0" fontId="52" fillId="0" borderId="0" xfId="0" applyFont="1" applyFill="1" applyBorder="1"/>
    <xf numFmtId="168" fontId="34" fillId="0" borderId="0" xfId="6" applyNumberFormat="1" applyFont="1" applyFill="1" applyBorder="1"/>
    <xf numFmtId="3" fontId="13" fillId="0" borderId="0" xfId="0" applyNumberFormat="1" applyFont="1"/>
    <xf numFmtId="0" fontId="53" fillId="0" borderId="0" xfId="0" applyFont="1" applyFill="1"/>
    <xf numFmtId="168" fontId="34" fillId="0" borderId="0" xfId="6" applyNumberFormat="1" applyFont="1" applyFill="1"/>
    <xf numFmtId="0" fontId="53" fillId="0" borderId="7" xfId="0" applyFont="1" applyFill="1" applyBorder="1"/>
    <xf numFmtId="168" fontId="34" fillId="0" borderId="7" xfId="6" applyNumberFormat="1" applyFont="1" applyFill="1" applyBorder="1"/>
    <xf numFmtId="168" fontId="5" fillId="0" borderId="0" xfId="6" applyNumberFormat="1" applyFont="1" applyFill="1"/>
    <xf numFmtId="168" fontId="53" fillId="0" borderId="0" xfId="6" applyNumberFormat="1" applyFont="1" applyFill="1"/>
    <xf numFmtId="168" fontId="5" fillId="0" borderId="7" xfId="6" applyNumberFormat="1" applyFont="1" applyFill="1" applyBorder="1"/>
    <xf numFmtId="0" fontId="53" fillId="0" borderId="0" xfId="0" applyFont="1" applyFill="1" applyBorder="1"/>
    <xf numFmtId="0" fontId="42" fillId="0" borderId="0" xfId="0" applyFont="1" applyFill="1"/>
    <xf numFmtId="0" fontId="5" fillId="0" borderId="0" xfId="0" applyFont="1"/>
    <xf numFmtId="168" fontId="13" fillId="0" borderId="0" xfId="6" applyNumberFormat="1" applyFont="1"/>
    <xf numFmtId="3" fontId="13" fillId="0" borderId="7" xfId="0" applyNumberFormat="1" applyFont="1" applyBorder="1"/>
    <xf numFmtId="0" fontId="37" fillId="0" borderId="0" xfId="0" applyFont="1"/>
    <xf numFmtId="3" fontId="42" fillId="0" borderId="16" xfId="2" quotePrefix="1" applyNumberFormat="1" applyFont="1" applyBorder="1" applyAlignment="1">
      <alignment vertical="top" wrapText="1"/>
    </xf>
    <xf numFmtId="3" fontId="42" fillId="0" borderId="7" xfId="2" quotePrefix="1" applyNumberFormat="1" applyFont="1" applyBorder="1" applyAlignment="1">
      <alignment vertical="top" wrapText="1"/>
    </xf>
    <xf numFmtId="3" fontId="42" fillId="0" borderId="0" xfId="2" quotePrefix="1" applyNumberFormat="1" applyFont="1" applyBorder="1" applyAlignment="1">
      <alignment vertical="top" wrapText="1"/>
    </xf>
    <xf numFmtId="0" fontId="42" fillId="0" borderId="28" xfId="2" quotePrefix="1" applyFont="1" applyBorder="1" applyAlignment="1">
      <alignment vertical="top" wrapText="1"/>
    </xf>
    <xf numFmtId="0" fontId="42" fillId="0" borderId="6" xfId="2" quotePrefix="1" applyFont="1" applyBorder="1" applyAlignment="1">
      <alignment vertical="top" wrapText="1"/>
    </xf>
    <xf numFmtId="171" fontId="33" fillId="0" borderId="8" xfId="2" applyNumberFormat="1" applyFont="1" applyBorder="1"/>
    <xf numFmtId="10" fontId="13" fillId="6" borderId="7" xfId="1" applyNumberFormat="1" applyFont="1" applyFill="1" applyBorder="1"/>
    <xf numFmtId="0" fontId="16" fillId="7" borderId="16" xfId="0" applyFont="1" applyFill="1" applyBorder="1" applyAlignment="1">
      <alignment horizontal="left" vertical="center"/>
    </xf>
    <xf numFmtId="0" fontId="16" fillId="7" borderId="16" xfId="0" applyFont="1" applyFill="1" applyBorder="1" applyAlignment="1">
      <alignment horizontal="right" vertical="center"/>
    </xf>
    <xf numFmtId="0" fontId="28" fillId="7" borderId="16" xfId="0" applyFont="1" applyFill="1" applyBorder="1" applyAlignment="1">
      <alignment horizontal="left" vertical="center"/>
    </xf>
    <xf numFmtId="0" fontId="54" fillId="0" borderId="0" xfId="0" applyFont="1"/>
    <xf numFmtId="0" fontId="55" fillId="0" borderId="0" xfId="0" applyFont="1"/>
    <xf numFmtId="8" fontId="55" fillId="0" borderId="0" xfId="0" applyNumberFormat="1" applyFont="1"/>
    <xf numFmtId="0" fontId="48" fillId="0" borderId="0" xfId="0" applyFont="1"/>
    <xf numFmtId="168" fontId="55" fillId="0" borderId="0" xfId="6" applyNumberFormat="1" applyFont="1"/>
    <xf numFmtId="168" fontId="55" fillId="0" borderId="7" xfId="6" applyNumberFormat="1" applyFont="1" applyBorder="1"/>
    <xf numFmtId="0" fontId="28" fillId="7" borderId="16" xfId="0" applyFont="1" applyFill="1" applyBorder="1" applyAlignment="1">
      <alignment horizontal="right" vertical="center"/>
    </xf>
    <xf numFmtId="0" fontId="56" fillId="0" borderId="0" xfId="7" applyFont="1"/>
    <xf numFmtId="0" fontId="56" fillId="0" borderId="7" xfId="7" applyFont="1" applyBorder="1"/>
    <xf numFmtId="8" fontId="42" fillId="0" borderId="0" xfId="0" applyNumberFormat="1" applyFont="1"/>
    <xf numFmtId="0" fontId="28" fillId="7" borderId="28" xfId="0" applyFont="1" applyFill="1" applyBorder="1" applyAlignment="1">
      <alignment horizontal="left" vertical="center"/>
    </xf>
    <xf numFmtId="0" fontId="28" fillId="7" borderId="18" xfId="0" applyFont="1" applyFill="1" applyBorder="1" applyAlignment="1">
      <alignment horizontal="left" vertical="center"/>
    </xf>
    <xf numFmtId="0" fontId="42" fillId="0" borderId="20" xfId="0" applyFont="1" applyBorder="1" applyAlignment="1">
      <alignment horizontal="center"/>
    </xf>
    <xf numFmtId="164" fontId="42" fillId="0" borderId="20" xfId="6" applyNumberFormat="1" applyFont="1" applyBorder="1" applyAlignment="1">
      <alignment horizontal="center"/>
    </xf>
    <xf numFmtId="164" fontId="42" fillId="0" borderId="20" xfId="0" applyNumberFormat="1" applyFont="1" applyBorder="1" applyAlignment="1">
      <alignment horizontal="center"/>
    </xf>
    <xf numFmtId="0" fontId="42" fillId="6" borderId="20" xfId="0" applyFont="1" applyFill="1" applyBorder="1"/>
    <xf numFmtId="0" fontId="42" fillId="6" borderId="20" xfId="0" applyFont="1" applyFill="1" applyBorder="1" applyAlignment="1">
      <alignment horizontal="center"/>
    </xf>
    <xf numFmtId="0" fontId="57" fillId="5" borderId="11" xfId="0" applyFont="1" applyFill="1" applyBorder="1"/>
    <xf numFmtId="0" fontId="58" fillId="5" borderId="11" xfId="0" applyFont="1" applyFill="1" applyBorder="1"/>
    <xf numFmtId="0" fontId="59" fillId="0" borderId="0" xfId="0" applyFont="1"/>
    <xf numFmtId="0" fontId="13" fillId="0" borderId="0" xfId="0" applyFont="1" applyBorder="1"/>
    <xf numFmtId="0" fontId="60" fillId="6" borderId="33" xfId="0" applyFont="1" applyFill="1" applyBorder="1"/>
    <xf numFmtId="0" fontId="60" fillId="6" borderId="33" xfId="0" applyFont="1" applyFill="1" applyBorder="1" applyAlignment="1">
      <alignment horizontal="right"/>
    </xf>
    <xf numFmtId="166" fontId="13" fillId="0" borderId="0" xfId="0" applyNumberFormat="1" applyFont="1"/>
    <xf numFmtId="0" fontId="61" fillId="0" borderId="0" xfId="0" applyFont="1"/>
    <xf numFmtId="0" fontId="61" fillId="0" borderId="0" xfId="0" applyFont="1" applyAlignment="1">
      <alignment horizontal="right"/>
    </xf>
    <xf numFmtId="0" fontId="60" fillId="0" borderId="7" xfId="0" applyFont="1" applyBorder="1"/>
    <xf numFmtId="0" fontId="13" fillId="0" borderId="7" xfId="0" applyFont="1" applyBorder="1"/>
    <xf numFmtId="0" fontId="60" fillId="0" borderId="14" xfId="0" applyFont="1" applyBorder="1"/>
    <xf numFmtId="0" fontId="13" fillId="0" borderId="11" xfId="0" applyFont="1" applyBorder="1"/>
    <xf numFmtId="0" fontId="13" fillId="0" borderId="15" xfId="0" applyFont="1" applyBorder="1"/>
    <xf numFmtId="0" fontId="13" fillId="0" borderId="32" xfId="0" applyFont="1" applyBorder="1"/>
    <xf numFmtId="164" fontId="62" fillId="0" borderId="32" xfId="0" applyNumberFormat="1" applyFont="1" applyBorder="1"/>
    <xf numFmtId="164" fontId="13" fillId="0" borderId="32" xfId="0" applyNumberFormat="1" applyFont="1" applyBorder="1"/>
    <xf numFmtId="166" fontId="13" fillId="0" borderId="32" xfId="0" applyNumberFormat="1" applyFont="1" applyBorder="1"/>
    <xf numFmtId="0" fontId="63" fillId="0" borderId="0" xfId="0" applyFont="1"/>
    <xf numFmtId="3" fontId="63" fillId="0" borderId="0" xfId="0" applyNumberFormat="1" applyFont="1"/>
    <xf numFmtId="8" fontId="63" fillId="0" borderId="0" xfId="0" applyNumberFormat="1" applyFont="1"/>
    <xf numFmtId="164" fontId="13" fillId="0" borderId="0" xfId="0" applyNumberFormat="1" applyFont="1"/>
    <xf numFmtId="0" fontId="13" fillId="0" borderId="14" xfId="0" applyFont="1" applyBorder="1"/>
    <xf numFmtId="0" fontId="13" fillId="0" borderId="11" xfId="0" applyFont="1" applyBorder="1" applyAlignment="1">
      <alignment horizontal="right"/>
    </xf>
    <xf numFmtId="0" fontId="13" fillId="0" borderId="15" xfId="0" applyFont="1" applyBorder="1" applyAlignment="1">
      <alignment horizontal="right"/>
    </xf>
    <xf numFmtId="0" fontId="13" fillId="0" borderId="20" xfId="0" applyFont="1" applyBorder="1"/>
    <xf numFmtId="164" fontId="64" fillId="0" borderId="20" xfId="0" applyNumberFormat="1" applyFont="1" applyBorder="1"/>
    <xf numFmtId="164" fontId="13" fillId="0" borderId="20" xfId="0" applyNumberFormat="1" applyFont="1" applyBorder="1"/>
    <xf numFmtId="9" fontId="13" fillId="0" borderId="7" xfId="1" applyFont="1" applyBorder="1"/>
    <xf numFmtId="0" fontId="13" fillId="0" borderId="6" xfId="0" applyFont="1" applyBorder="1"/>
    <xf numFmtId="10" fontId="13" fillId="0" borderId="0" xfId="1" applyNumberFormat="1" applyFont="1" applyBorder="1"/>
    <xf numFmtId="164" fontId="13" fillId="0" borderId="8" xfId="0" applyNumberFormat="1" applyFont="1" applyBorder="1"/>
    <xf numFmtId="164" fontId="13" fillId="0" borderId="0" xfId="6" applyNumberFormat="1" applyFont="1"/>
    <xf numFmtId="164" fontId="13" fillId="0" borderId="7" xfId="6" applyNumberFormat="1" applyFont="1" applyBorder="1"/>
    <xf numFmtId="10" fontId="13" fillId="0" borderId="7" xfId="1" applyNumberFormat="1" applyFont="1" applyBorder="1"/>
    <xf numFmtId="164" fontId="65" fillId="0" borderId="8" xfId="0" applyNumberFormat="1" applyFont="1" applyBorder="1"/>
    <xf numFmtId="164" fontId="62" fillId="0" borderId="20" xfId="0" applyNumberFormat="1" applyFont="1" applyBorder="1"/>
    <xf numFmtId="0" fontId="60" fillId="0" borderId="0" xfId="0" applyFont="1"/>
    <xf numFmtId="164" fontId="60" fillId="0" borderId="0" xfId="0" applyNumberFormat="1" applyFont="1"/>
    <xf numFmtId="0" fontId="13" fillId="0" borderId="12" xfId="0" applyFont="1" applyBorder="1"/>
    <xf numFmtId="0" fontId="13" fillId="0" borderId="7" xfId="0" applyFont="1" applyBorder="1" applyAlignment="1">
      <alignment horizontal="right"/>
    </xf>
    <xf numFmtId="164" fontId="13" fillId="0" borderId="13" xfId="0" applyNumberFormat="1" applyFont="1" applyBorder="1"/>
    <xf numFmtId="0" fontId="13" fillId="0" borderId="33" xfId="0" applyFont="1" applyBorder="1"/>
    <xf numFmtId="164" fontId="13" fillId="0" borderId="33" xfId="0" applyNumberFormat="1" applyFont="1" applyBorder="1"/>
    <xf numFmtId="6" fontId="13" fillId="0" borderId="0" xfId="0" applyNumberFormat="1" applyFont="1"/>
    <xf numFmtId="0" fontId="62" fillId="0" borderId="0" xfId="0" applyFont="1"/>
    <xf numFmtId="6" fontId="13" fillId="0" borderId="7" xfId="0" applyNumberFormat="1" applyFont="1" applyBorder="1"/>
    <xf numFmtId="8" fontId="13" fillId="0" borderId="0" xfId="0" applyNumberFormat="1" applyFont="1"/>
    <xf numFmtId="10" fontId="13" fillId="0" borderId="0" xfId="0" applyNumberFormat="1" applyFont="1"/>
    <xf numFmtId="0" fontId="13" fillId="0" borderId="7" xfId="0" applyFont="1" applyBorder="1" applyAlignment="1">
      <alignment horizontal="right" indent="1"/>
    </xf>
    <xf numFmtId="0" fontId="60" fillId="0" borderId="16" xfId="0" applyFont="1" applyBorder="1"/>
    <xf numFmtId="164" fontId="60" fillId="0" borderId="16" xfId="0" applyNumberFormat="1" applyFont="1" applyBorder="1"/>
    <xf numFmtId="9" fontId="13" fillId="0" borderId="7" xfId="0" applyNumberFormat="1" applyFont="1" applyBorder="1"/>
    <xf numFmtId="164" fontId="13" fillId="0" borderId="7" xfId="0" applyNumberFormat="1" applyFont="1" applyBorder="1"/>
    <xf numFmtId="0" fontId="13" fillId="0" borderId="0" xfId="0" applyFont="1" applyFill="1"/>
    <xf numFmtId="0" fontId="55" fillId="0" borderId="0" xfId="0" applyFont="1" applyFill="1"/>
    <xf numFmtId="0" fontId="66" fillId="0" borderId="0" xfId="7" applyFont="1"/>
    <xf numFmtId="6" fontId="60" fillId="0" borderId="0" xfId="0" applyNumberFormat="1" applyFont="1"/>
    <xf numFmtId="10" fontId="13" fillId="0" borderId="0" xfId="1" applyNumberFormat="1" applyFont="1"/>
    <xf numFmtId="0" fontId="67" fillId="0" borderId="0" xfId="0" applyFont="1"/>
    <xf numFmtId="0" fontId="52" fillId="0" borderId="0" xfId="0" applyFont="1"/>
    <xf numFmtId="0" fontId="52" fillId="0" borderId="0" xfId="0" applyFont="1" applyAlignment="1">
      <alignment horizontal="right"/>
    </xf>
    <xf numFmtId="0" fontId="68" fillId="0" borderId="7" xfId="7" applyFont="1" applyBorder="1"/>
    <xf numFmtId="0" fontId="22" fillId="0" borderId="0" xfId="0" applyFont="1"/>
    <xf numFmtId="0" fontId="13" fillId="0" borderId="0" xfId="0" applyFont="1" applyAlignment="1">
      <alignment wrapText="1"/>
    </xf>
    <xf numFmtId="9" fontId="13" fillId="0" borderId="0" xfId="1" applyFont="1" applyFill="1" applyAlignment="1" applyProtection="1"/>
    <xf numFmtId="0" fontId="42" fillId="6" borderId="6" xfId="0" applyFont="1" applyFill="1" applyBorder="1"/>
    <xf numFmtId="0" fontId="13" fillId="6" borderId="0" xfId="0" applyFont="1" applyFill="1" applyBorder="1"/>
    <xf numFmtId="0" fontId="13" fillId="6" borderId="8" xfId="0" applyFont="1" applyFill="1" applyBorder="1"/>
    <xf numFmtId="0" fontId="42" fillId="0" borderId="6" xfId="0" applyFont="1" applyBorder="1"/>
    <xf numFmtId="0" fontId="31" fillId="0" borderId="0" xfId="0" applyFont="1" applyBorder="1" applyAlignment="1">
      <alignment horizontal="right"/>
    </xf>
    <xf numFmtId="0" fontId="31" fillId="0" borderId="8" xfId="0" applyFont="1" applyBorder="1" applyAlignment="1">
      <alignment horizontal="right"/>
    </xf>
    <xf numFmtId="168" fontId="42" fillId="0" borderId="8" xfId="0" applyNumberFormat="1" applyFont="1" applyBorder="1"/>
    <xf numFmtId="168" fontId="42" fillId="0" borderId="7" xfId="0" applyNumberFormat="1" applyFont="1" applyBorder="1"/>
    <xf numFmtId="168" fontId="42" fillId="0" borderId="13" xfId="0" applyNumberFormat="1" applyFont="1" applyBorder="1"/>
    <xf numFmtId="168" fontId="42" fillId="0" borderId="0" xfId="0" applyNumberFormat="1" applyFont="1" applyBorder="1"/>
    <xf numFmtId="0" fontId="13" fillId="0" borderId="8" xfId="0" applyFont="1" applyBorder="1"/>
    <xf numFmtId="0" fontId="42" fillId="0" borderId="12" xfId="0" applyFont="1" applyBorder="1"/>
    <xf numFmtId="3" fontId="42" fillId="0" borderId="7" xfId="0" applyNumberFormat="1" applyFont="1" applyBorder="1"/>
    <xf numFmtId="6" fontId="13" fillId="0" borderId="20" xfId="0" applyNumberFormat="1" applyFont="1" applyBorder="1" applyAlignment="1">
      <alignment horizontal="center"/>
    </xf>
    <xf numFmtId="164" fontId="13" fillId="0" borderId="20" xfId="0" applyNumberFormat="1" applyFont="1" applyBorder="1" applyAlignment="1">
      <alignment horizontal="center"/>
    </xf>
    <xf numFmtId="0" fontId="13" fillId="0" borderId="20" xfId="0" applyFont="1" applyBorder="1" applyAlignment="1">
      <alignment horizontal="center"/>
    </xf>
    <xf numFmtId="0" fontId="55" fillId="0" borderId="0" xfId="0" applyFont="1" applyAlignment="1">
      <alignment horizontal="right"/>
    </xf>
    <xf numFmtId="3" fontId="55" fillId="0" borderId="0" xfId="0" applyNumberFormat="1" applyFont="1" applyAlignment="1">
      <alignment horizontal="right"/>
    </xf>
    <xf numFmtId="8" fontId="55" fillId="0" borderId="0" xfId="0" applyNumberFormat="1" applyFont="1" applyAlignment="1">
      <alignment horizontal="right"/>
    </xf>
    <xf numFmtId="0" fontId="55" fillId="0" borderId="7" xfId="0" applyFont="1" applyBorder="1" applyAlignment="1">
      <alignment horizontal="right"/>
    </xf>
    <xf numFmtId="3" fontId="55" fillId="0" borderId="7" xfId="0" applyNumberFormat="1" applyFont="1" applyBorder="1" applyAlignment="1">
      <alignment horizontal="right"/>
    </xf>
    <xf numFmtId="8" fontId="55" fillId="0" borderId="7" xfId="0" applyNumberFormat="1" applyFont="1" applyBorder="1" applyAlignment="1">
      <alignment horizontal="right"/>
    </xf>
    <xf numFmtId="0" fontId="42" fillId="0" borderId="0" xfId="0" applyFont="1" applyAlignment="1">
      <alignment horizontal="right"/>
    </xf>
    <xf numFmtId="8" fontId="42" fillId="0" borderId="0" xfId="0" applyNumberFormat="1" applyFont="1" applyAlignment="1">
      <alignment horizontal="right"/>
    </xf>
    <xf numFmtId="168" fontId="12" fillId="6" borderId="8" xfId="0" applyNumberFormat="1" applyFont="1" applyFill="1" applyBorder="1"/>
    <xf numFmtId="0" fontId="42" fillId="0" borderId="7" xfId="0" applyFont="1" applyBorder="1"/>
    <xf numFmtId="168" fontId="42" fillId="0" borderId="7" xfId="6" applyNumberFormat="1" applyFont="1" applyBorder="1"/>
    <xf numFmtId="0" fontId="5" fillId="0" borderId="0" xfId="0" applyFont="1" applyBorder="1"/>
    <xf numFmtId="0" fontId="38" fillId="6" borderId="34" xfId="0" applyFont="1" applyFill="1" applyBorder="1"/>
    <xf numFmtId="168" fontId="38" fillId="6" borderId="34" xfId="6" applyNumberFormat="1" applyFont="1" applyFill="1" applyBorder="1"/>
    <xf numFmtId="0" fontId="44" fillId="0" borderId="0" xfId="0" applyFont="1"/>
    <xf numFmtId="0" fontId="70" fillId="0" borderId="0" xfId="0" applyFont="1"/>
    <xf numFmtId="0" fontId="43" fillId="0" borderId="0" xfId="0" applyFont="1"/>
    <xf numFmtId="0" fontId="71" fillId="6" borderId="0" xfId="0" applyFont="1" applyFill="1"/>
    <xf numFmtId="0" fontId="72" fillId="0" borderId="0" xfId="0" applyFont="1"/>
    <xf numFmtId="0" fontId="44" fillId="0" borderId="0" xfId="0" applyFont="1" applyAlignment="1">
      <alignment horizontal="center"/>
    </xf>
    <xf numFmtId="0" fontId="25" fillId="0" borderId="0" xfId="0" applyFont="1"/>
    <xf numFmtId="0" fontId="4" fillId="0" borderId="0" xfId="7"/>
    <xf numFmtId="0" fontId="24" fillId="0" borderId="20" xfId="0" applyFont="1" applyBorder="1" applyAlignment="1">
      <alignment horizontal="left" wrapText="1"/>
    </xf>
    <xf numFmtId="168" fontId="0" fillId="0" borderId="0" xfId="0" applyNumberFormat="1"/>
    <xf numFmtId="0" fontId="38" fillId="0" borderId="0" xfId="0" applyFont="1" applyAlignment="1">
      <alignment horizontal="left"/>
    </xf>
    <xf numFmtId="0" fontId="42" fillId="0" borderId="0" xfId="0" applyFont="1" applyBorder="1" applyAlignment="1">
      <alignment horizontal="left"/>
    </xf>
    <xf numFmtId="10" fontId="34" fillId="6" borderId="0" xfId="4" applyNumberFormat="1" applyFont="1" applyFill="1" applyBorder="1" applyAlignment="1">
      <alignment horizontal="left"/>
    </xf>
    <xf numFmtId="14" fontId="34" fillId="6" borderId="0" xfId="0" applyNumberFormat="1" applyFont="1" applyFill="1" applyAlignment="1">
      <alignment horizontal="left"/>
    </xf>
    <xf numFmtId="0" fontId="34" fillId="6" borderId="0" xfId="0" applyFont="1" applyFill="1"/>
    <xf numFmtId="0" fontId="42" fillId="6" borderId="0" xfId="0" applyFont="1" applyFill="1"/>
    <xf numFmtId="0" fontId="34" fillId="6" borderId="0" xfId="0" applyFont="1" applyFill="1" applyBorder="1" applyAlignment="1">
      <alignment horizontal="left"/>
    </xf>
    <xf numFmtId="0" fontId="38" fillId="6" borderId="0" xfId="0" applyFont="1" applyFill="1" applyBorder="1" applyAlignment="1">
      <alignment horizontal="left"/>
    </xf>
    <xf numFmtId="0" fontId="28" fillId="7" borderId="35" xfId="0" applyFont="1" applyFill="1" applyBorder="1" applyAlignment="1">
      <alignment horizontal="left" vertical="center"/>
    </xf>
    <xf numFmtId="0" fontId="28" fillId="7" borderId="36" xfId="0" applyFont="1" applyFill="1" applyBorder="1" applyAlignment="1">
      <alignment horizontal="left" vertical="center"/>
    </xf>
    <xf numFmtId="0" fontId="28" fillId="7" borderId="37" xfId="0" applyFont="1" applyFill="1" applyBorder="1" applyAlignment="1">
      <alignment horizontal="left" vertical="center"/>
    </xf>
    <xf numFmtId="0" fontId="28" fillId="7" borderId="1" xfId="0" applyFont="1" applyFill="1" applyBorder="1" applyAlignment="1">
      <alignment horizontal="left" vertical="center"/>
    </xf>
    <xf numFmtId="0" fontId="28" fillId="7" borderId="2" xfId="0" applyFont="1" applyFill="1" applyBorder="1" applyAlignment="1">
      <alignment horizontal="center" vertical="center"/>
    </xf>
    <xf numFmtId="0" fontId="28" fillId="7" borderId="3" xfId="0" applyFont="1" applyFill="1" applyBorder="1" applyAlignment="1">
      <alignment horizontal="center" vertical="center"/>
    </xf>
    <xf numFmtId="0" fontId="38" fillId="3" borderId="1" xfId="0" applyFont="1" applyFill="1" applyBorder="1"/>
    <xf numFmtId="0" fontId="38" fillId="3" borderId="2" xfId="0" applyFont="1" applyFill="1" applyBorder="1"/>
    <xf numFmtId="0" fontId="38" fillId="3" borderId="3" xfId="0" applyFont="1" applyFill="1" applyBorder="1"/>
    <xf numFmtId="0" fontId="31" fillId="0" borderId="0" xfId="0" applyFont="1" applyFill="1"/>
    <xf numFmtId="168" fontId="50" fillId="0" borderId="0" xfId="6" applyNumberFormat="1" applyFont="1" applyFill="1"/>
    <xf numFmtId="168" fontId="49" fillId="0" borderId="0" xfId="0" applyNumberFormat="1" applyFont="1" applyFill="1"/>
    <xf numFmtId="10" fontId="49" fillId="0" borderId="5" xfId="4" applyNumberFormat="1" applyFont="1" applyFill="1" applyBorder="1"/>
    <xf numFmtId="0" fontId="28" fillId="14" borderId="7" xfId="0" applyFont="1" applyFill="1" applyBorder="1"/>
    <xf numFmtId="172" fontId="42" fillId="0" borderId="0" xfId="0" applyNumberFormat="1" applyFont="1" applyAlignment="1">
      <alignment horizontal="right"/>
    </xf>
    <xf numFmtId="1" fontId="42" fillId="0" borderId="0" xfId="0" applyNumberFormat="1" applyFont="1"/>
    <xf numFmtId="174" fontId="42" fillId="0" borderId="0" xfId="6" applyNumberFormat="1" applyFont="1"/>
    <xf numFmtId="0" fontId="38" fillId="6" borderId="0" xfId="0" applyFont="1" applyFill="1" applyAlignment="1">
      <alignment horizontal="center"/>
    </xf>
    <xf numFmtId="172" fontId="42" fillId="0" borderId="0" xfId="0" applyNumberFormat="1" applyFont="1" applyAlignment="1">
      <alignment horizontal="center"/>
    </xf>
    <xf numFmtId="167" fontId="42" fillId="0" borderId="0" xfId="4" applyNumberFormat="1" applyFont="1" applyBorder="1" applyAlignment="1">
      <alignment horizontal="center"/>
    </xf>
    <xf numFmtId="167" fontId="42" fillId="0" borderId="0" xfId="4" applyNumberFormat="1" applyFont="1" applyAlignment="1">
      <alignment horizontal="center"/>
    </xf>
    <xf numFmtId="172" fontId="42" fillId="0" borderId="7" xfId="0" applyNumberFormat="1" applyFont="1" applyBorder="1" applyAlignment="1">
      <alignment horizontal="center"/>
    </xf>
    <xf numFmtId="0" fontId="38" fillId="0" borderId="16" xfId="0" applyFont="1" applyBorder="1" applyAlignment="1">
      <alignment horizontal="right"/>
    </xf>
    <xf numFmtId="167" fontId="38" fillId="0" borderId="0" xfId="4" applyNumberFormat="1" applyFont="1" applyFill="1" applyBorder="1" applyAlignment="1">
      <alignment horizontal="center"/>
    </xf>
    <xf numFmtId="3" fontId="47" fillId="0" borderId="0" xfId="0" applyNumberFormat="1" applyFont="1" applyBorder="1" applyAlignment="1">
      <alignment horizontal="center"/>
    </xf>
    <xf numFmtId="9" fontId="47" fillId="0" borderId="7" xfId="0" applyNumberFormat="1" applyFont="1" applyBorder="1" applyAlignment="1">
      <alignment horizontal="center"/>
    </xf>
    <xf numFmtId="1" fontId="47" fillId="0" borderId="7" xfId="0" applyNumberFormat="1" applyFont="1" applyBorder="1" applyAlignment="1">
      <alignment horizontal="center"/>
    </xf>
    <xf numFmtId="10" fontId="42" fillId="0" borderId="0" xfId="1" applyNumberFormat="1" applyFont="1"/>
    <xf numFmtId="0" fontId="39" fillId="6" borderId="0" xfId="0" applyFont="1" applyFill="1" applyBorder="1"/>
    <xf numFmtId="0" fontId="28" fillId="14" borderId="20" xfId="0" applyFont="1" applyFill="1" applyBorder="1" applyAlignment="1">
      <alignment horizontal="center"/>
    </xf>
    <xf numFmtId="0" fontId="5" fillId="0" borderId="20" xfId="0" applyFont="1" applyBorder="1" applyAlignment="1">
      <alignment horizontal="center"/>
    </xf>
    <xf numFmtId="167" fontId="5" fillId="2" borderId="20" xfId="4" applyNumberFormat="1" applyFont="1" applyFill="1" applyBorder="1" applyAlignment="1">
      <alignment horizontal="center"/>
    </xf>
    <xf numFmtId="3" fontId="5" fillId="2" borderId="20" xfId="0" applyNumberFormat="1" applyFont="1" applyFill="1" applyBorder="1" applyAlignment="1">
      <alignment horizontal="center"/>
    </xf>
    <xf numFmtId="164" fontId="5" fillId="2" borderId="20" xfId="0" applyNumberFormat="1" applyFont="1" applyFill="1" applyBorder="1" applyAlignment="1">
      <alignment horizontal="center"/>
    </xf>
    <xf numFmtId="166" fontId="5" fillId="0" borderId="20" xfId="0" applyNumberFormat="1" applyFont="1" applyBorder="1" applyAlignment="1">
      <alignment horizontal="center"/>
    </xf>
    <xf numFmtId="3" fontId="5" fillId="0" borderId="20" xfId="0" applyNumberFormat="1" applyFont="1" applyBorder="1" applyAlignment="1">
      <alignment horizontal="center"/>
    </xf>
    <xf numFmtId="164" fontId="5" fillId="0" borderId="20" xfId="0" applyNumberFormat="1" applyFont="1" applyBorder="1" applyAlignment="1">
      <alignment horizontal="center"/>
    </xf>
    <xf numFmtId="0" fontId="5" fillId="0" borderId="14" xfId="0" applyFont="1" applyBorder="1"/>
    <xf numFmtId="0" fontId="5" fillId="0" borderId="15" xfId="0" applyFont="1" applyBorder="1"/>
    <xf numFmtId="0" fontId="5" fillId="0" borderId="20" xfId="0" applyFont="1" applyFill="1" applyBorder="1" applyAlignment="1">
      <alignment horizontal="center"/>
    </xf>
    <xf numFmtId="167" fontId="5" fillId="0" borderId="20" xfId="4" applyNumberFormat="1" applyFont="1" applyFill="1" applyBorder="1" applyAlignment="1">
      <alignment horizontal="center"/>
    </xf>
    <xf numFmtId="43" fontId="5" fillId="0" borderId="20" xfId="6" applyFont="1" applyFill="1" applyBorder="1" applyAlignment="1">
      <alignment horizontal="center"/>
    </xf>
    <xf numFmtId="3" fontId="5" fillId="0" borderId="20" xfId="0" applyNumberFormat="1" applyFont="1" applyFill="1" applyBorder="1" applyAlignment="1">
      <alignment horizontal="center"/>
    </xf>
    <xf numFmtId="164" fontId="5" fillId="0" borderId="20" xfId="0" applyNumberFormat="1" applyFont="1" applyFill="1" applyBorder="1" applyAlignment="1">
      <alignment horizontal="center"/>
    </xf>
    <xf numFmtId="166" fontId="5" fillId="0" borderId="20" xfId="0" applyNumberFormat="1" applyFont="1" applyFill="1" applyBorder="1" applyAlignment="1">
      <alignment horizontal="center"/>
    </xf>
    <xf numFmtId="43" fontId="5" fillId="2" borderId="20" xfId="6" applyFont="1" applyFill="1" applyBorder="1" applyAlignment="1">
      <alignment horizontal="center"/>
    </xf>
    <xf numFmtId="0" fontId="5" fillId="6" borderId="20" xfId="0" applyFont="1" applyFill="1" applyBorder="1" applyAlignment="1">
      <alignment horizontal="center"/>
    </xf>
    <xf numFmtId="167" fontId="5" fillId="6" borderId="20" xfId="4" applyNumberFormat="1" applyFont="1" applyFill="1" applyBorder="1" applyAlignment="1">
      <alignment horizontal="center"/>
    </xf>
    <xf numFmtId="3" fontId="5" fillId="6" borderId="20" xfId="0" applyNumberFormat="1" applyFont="1" applyFill="1" applyBorder="1" applyAlignment="1">
      <alignment horizontal="center"/>
    </xf>
    <xf numFmtId="164" fontId="5" fillId="6" borderId="20" xfId="0" applyNumberFormat="1" applyFont="1" applyFill="1" applyBorder="1" applyAlignment="1">
      <alignment horizontal="center"/>
    </xf>
    <xf numFmtId="166" fontId="5" fillId="6" borderId="20" xfId="0" applyNumberFormat="1" applyFont="1" applyFill="1" applyBorder="1" applyAlignment="1">
      <alignment horizontal="center"/>
    </xf>
    <xf numFmtId="43" fontId="5" fillId="6" borderId="20" xfId="6" applyFont="1" applyFill="1" applyBorder="1" applyAlignment="1">
      <alignment horizontal="center"/>
    </xf>
    <xf numFmtId="167" fontId="5" fillId="0" borderId="20" xfId="0" applyNumberFormat="1" applyFont="1" applyFill="1" applyBorder="1" applyAlignment="1">
      <alignment horizontal="center"/>
    </xf>
    <xf numFmtId="167" fontId="5" fillId="6" borderId="20" xfId="0" applyNumberFormat="1" applyFont="1" applyFill="1" applyBorder="1" applyAlignment="1">
      <alignment horizontal="center"/>
    </xf>
    <xf numFmtId="0" fontId="42" fillId="0" borderId="16" xfId="0" applyFont="1" applyBorder="1"/>
    <xf numFmtId="1" fontId="38" fillId="0" borderId="20" xfId="0" applyNumberFormat="1" applyFont="1" applyBorder="1" applyAlignment="1">
      <alignment horizontal="center"/>
    </xf>
    <xf numFmtId="0" fontId="38" fillId="0" borderId="20" xfId="0" applyFont="1" applyBorder="1" applyAlignment="1">
      <alignment horizontal="center"/>
    </xf>
    <xf numFmtId="167" fontId="38" fillId="0" borderId="20" xfId="4" applyNumberFormat="1" applyFont="1" applyBorder="1" applyAlignment="1">
      <alignment horizontal="center"/>
    </xf>
    <xf numFmtId="3" fontId="38" fillId="0" borderId="20" xfId="0" applyNumberFormat="1" applyFont="1" applyBorder="1" applyAlignment="1">
      <alignment horizontal="center"/>
    </xf>
    <xf numFmtId="164" fontId="38" fillId="0" borderId="20" xfId="0" applyNumberFormat="1" applyFont="1" applyBorder="1" applyAlignment="1">
      <alignment horizontal="center"/>
    </xf>
    <xf numFmtId="166" fontId="39" fillId="0" borderId="20" xfId="0" applyNumberFormat="1" applyFont="1" applyBorder="1" applyAlignment="1">
      <alignment horizontal="center"/>
    </xf>
    <xf numFmtId="9" fontId="38" fillId="0" borderId="14" xfId="4" applyFont="1" applyBorder="1" applyAlignment="1">
      <alignment horizontal="center"/>
    </xf>
    <xf numFmtId="0" fontId="38" fillId="0" borderId="15" xfId="0" applyFont="1" applyBorder="1"/>
    <xf numFmtId="0" fontId="42" fillId="2" borderId="0" xfId="0" applyFont="1" applyFill="1" applyAlignment="1">
      <alignment horizontal="left" vertical="center"/>
    </xf>
    <xf numFmtId="0" fontId="42" fillId="2" borderId="0" xfId="0" applyFont="1" applyFill="1" applyAlignment="1">
      <alignment vertical="center"/>
    </xf>
    <xf numFmtId="175" fontId="34" fillId="0" borderId="0" xfId="4" applyNumberFormat="1" applyFont="1" applyFill="1" applyBorder="1" applyAlignment="1">
      <alignment horizontal="left"/>
    </xf>
    <xf numFmtId="0" fontId="42" fillId="2" borderId="7" xfId="0" applyFont="1" applyFill="1" applyBorder="1" applyAlignment="1">
      <alignment horizontal="left" vertical="center"/>
    </xf>
    <xf numFmtId="10" fontId="34" fillId="0" borderId="7" xfId="4" applyNumberFormat="1" applyFont="1" applyFill="1" applyBorder="1" applyAlignment="1">
      <alignment horizontal="left"/>
    </xf>
    <xf numFmtId="168" fontId="42" fillId="0" borderId="7" xfId="6" applyNumberFormat="1" applyFont="1" applyFill="1" applyBorder="1"/>
    <xf numFmtId="168" fontId="38" fillId="0" borderId="0" xfId="4" applyNumberFormat="1" applyFont="1" applyFill="1" applyBorder="1"/>
    <xf numFmtId="14" fontId="28" fillId="7" borderId="0" xfId="0" applyNumberFormat="1" applyFont="1" applyFill="1" applyBorder="1" applyAlignment="1">
      <alignment horizontal="center" vertical="center"/>
    </xf>
    <xf numFmtId="9" fontId="42" fillId="0" borderId="0" xfId="1" applyNumberFormat="1" applyFont="1" applyFill="1" applyBorder="1"/>
    <xf numFmtId="0" fontId="73" fillId="0" borderId="0" xfId="0" applyFont="1"/>
    <xf numFmtId="0" fontId="74" fillId="0" borderId="0" xfId="0" applyFont="1" applyFill="1" applyBorder="1"/>
    <xf numFmtId="0" fontId="75" fillId="0" borderId="0" xfId="0" applyFont="1"/>
    <xf numFmtId="3" fontId="13" fillId="0" borderId="0" xfId="0" applyNumberFormat="1" applyFont="1" applyBorder="1"/>
    <xf numFmtId="0" fontId="71" fillId="0" borderId="0" xfId="0" applyFont="1" applyFill="1"/>
    <xf numFmtId="43" fontId="6" fillId="0" borderId="0" xfId="6" applyFont="1" applyAlignment="1">
      <alignment horizontal="center"/>
    </xf>
    <xf numFmtId="43" fontId="6" fillId="0" borderId="0" xfId="6" applyFont="1"/>
    <xf numFmtId="3" fontId="34" fillId="6" borderId="0" xfId="2" applyNumberFormat="1" applyFont="1" applyFill="1"/>
    <xf numFmtId="3" fontId="34" fillId="6" borderId="0" xfId="2" applyNumberFormat="1" applyFont="1" applyFill="1" applyAlignment="1">
      <alignment horizontal="right"/>
    </xf>
    <xf numFmtId="0" fontId="38" fillId="0" borderId="6" xfId="2" quotePrefix="1" applyFont="1" applyBorder="1" applyAlignment="1">
      <alignment vertical="top" wrapText="1"/>
    </xf>
    <xf numFmtId="0" fontId="76" fillId="0" borderId="0" xfId="2" quotePrefix="1" applyFont="1" applyBorder="1" applyAlignment="1">
      <alignment vertical="top" wrapText="1"/>
    </xf>
    <xf numFmtId="3" fontId="38" fillId="0" borderId="7" xfId="2" quotePrefix="1" applyNumberFormat="1" applyFont="1" applyBorder="1" applyAlignment="1">
      <alignment vertical="top" wrapText="1"/>
    </xf>
    <xf numFmtId="43" fontId="38" fillId="0" borderId="0" xfId="6" applyFont="1" applyAlignment="1">
      <alignment horizontal="center"/>
    </xf>
    <xf numFmtId="0" fontId="5" fillId="0" borderId="0" xfId="9" applyFont="1"/>
    <xf numFmtId="0" fontId="78" fillId="0" borderId="0" xfId="9" applyFont="1"/>
    <xf numFmtId="0" fontId="79" fillId="0" borderId="0" xfId="9" applyFont="1" applyAlignment="1">
      <alignment horizontal="right"/>
    </xf>
    <xf numFmtId="0" fontId="80" fillId="0" borderId="0" xfId="9" applyFont="1" applyAlignment="1">
      <alignment horizontal="right"/>
    </xf>
    <xf numFmtId="0" fontId="81" fillId="0" borderId="0" xfId="0" applyFont="1"/>
    <xf numFmtId="0" fontId="82" fillId="0" borderId="0" xfId="9" applyFont="1"/>
    <xf numFmtId="0" fontId="83" fillId="0" borderId="0" xfId="0" applyFont="1" applyAlignment="1">
      <alignment horizontal="left"/>
    </xf>
    <xf numFmtId="0" fontId="84" fillId="0" borderId="0" xfId="0" applyFont="1"/>
    <xf numFmtId="0" fontId="85" fillId="0" borderId="0" xfId="9" applyFont="1" applyAlignment="1">
      <alignment horizontal="center"/>
    </xf>
    <xf numFmtId="0" fontId="85" fillId="0" borderId="7" xfId="9" applyFont="1" applyBorder="1" applyAlignment="1">
      <alignment horizontal="center"/>
    </xf>
    <xf numFmtId="0" fontId="86" fillId="0" borderId="0" xfId="0" applyFont="1" applyAlignment="1">
      <alignment horizontal="left"/>
    </xf>
    <xf numFmtId="0" fontId="81" fillId="0" borderId="0" xfId="7" applyFont="1" applyAlignment="1">
      <alignment horizontal="left"/>
    </xf>
    <xf numFmtId="0" fontId="88" fillId="0" borderId="0" xfId="9" applyFont="1"/>
    <xf numFmtId="0" fontId="90" fillId="0" borderId="0" xfId="9" applyFont="1" applyAlignment="1">
      <alignment horizontal="center"/>
    </xf>
    <xf numFmtId="14" fontId="90" fillId="0" borderId="0" xfId="9" applyNumberFormat="1" applyFont="1" applyAlignment="1">
      <alignment horizontal="right"/>
    </xf>
    <xf numFmtId="177" fontId="91" fillId="0" borderId="0" xfId="0" applyNumberFormat="1" applyFont="1" applyAlignment="1">
      <alignment horizontal="left"/>
    </xf>
    <xf numFmtId="0" fontId="5" fillId="0" borderId="7" xfId="9" applyFont="1" applyBorder="1" applyAlignment="1">
      <alignment horizontal="right"/>
    </xf>
    <xf numFmtId="0" fontId="90" fillId="0" borderId="16" xfId="9" applyFont="1" applyBorder="1" applyAlignment="1">
      <alignment horizontal="center"/>
    </xf>
    <xf numFmtId="0" fontId="90" fillId="0" borderId="16" xfId="9" applyFont="1" applyBorder="1" applyAlignment="1">
      <alignment horizontal="center" vertical="center"/>
    </xf>
    <xf numFmtId="0" fontId="92" fillId="0" borderId="0" xfId="0" applyFont="1" applyAlignment="1">
      <alignment horizontal="left"/>
    </xf>
    <xf numFmtId="0" fontId="66" fillId="0" borderId="0" xfId="7" applyFont="1" applyAlignment="1">
      <alignment horizontal="left"/>
    </xf>
    <xf numFmtId="0" fontId="91" fillId="0" borderId="0" xfId="9" applyFont="1" applyAlignment="1">
      <alignment horizontal="right"/>
    </xf>
    <xf numFmtId="0" fontId="92" fillId="0" borderId="0" xfId="10" applyFont="1" applyBorder="1" applyAlignment="1">
      <alignment horizontal="left"/>
    </xf>
    <xf numFmtId="0" fontId="45" fillId="0" borderId="0" xfId="0" applyFont="1" applyAlignment="1">
      <alignment horizontal="right"/>
    </xf>
    <xf numFmtId="0" fontId="28" fillId="14" borderId="15" xfId="0" applyFont="1" applyFill="1" applyBorder="1" applyAlignment="1">
      <alignment horizontal="center"/>
    </xf>
    <xf numFmtId="0" fontId="28" fillId="14" borderId="14" xfId="0" applyFont="1" applyFill="1" applyBorder="1"/>
    <xf numFmtId="0" fontId="28" fillId="14" borderId="15" xfId="0" applyFont="1" applyFill="1" applyBorder="1"/>
    <xf numFmtId="1" fontId="93" fillId="0" borderId="0" xfId="0" applyNumberFormat="1" applyFont="1"/>
    <xf numFmtId="9" fontId="42" fillId="0" borderId="0" xfId="1" applyFont="1" applyBorder="1"/>
    <xf numFmtId="168" fontId="38" fillId="0" borderId="16" xfId="6" applyNumberFormat="1" applyFont="1" applyBorder="1"/>
    <xf numFmtId="168" fontId="38" fillId="6" borderId="16" xfId="6" applyNumberFormat="1" applyFont="1" applyFill="1" applyBorder="1"/>
    <xf numFmtId="10" fontId="42" fillId="0" borderId="0" xfId="1" quotePrefix="1" applyNumberFormat="1" applyFont="1" applyBorder="1" applyAlignment="1">
      <alignment vertical="top" wrapText="1"/>
    </xf>
    <xf numFmtId="168" fontId="38" fillId="0" borderId="8" xfId="4" applyNumberFormat="1" applyFont="1" applyFill="1" applyBorder="1"/>
    <xf numFmtId="0" fontId="42" fillId="0" borderId="6" xfId="0" applyFont="1" applyFill="1" applyBorder="1"/>
    <xf numFmtId="168" fontId="42" fillId="0" borderId="8" xfId="6" applyNumberFormat="1" applyFont="1" applyFill="1" applyBorder="1"/>
    <xf numFmtId="0" fontId="42" fillId="0" borderId="12" xfId="0" applyFont="1" applyFill="1" applyBorder="1"/>
    <xf numFmtId="176" fontId="38" fillId="0" borderId="7" xfId="6" applyNumberFormat="1" applyFont="1" applyFill="1" applyBorder="1"/>
    <xf numFmtId="168" fontId="42" fillId="0" borderId="13" xfId="6" applyNumberFormat="1" applyFont="1" applyBorder="1"/>
    <xf numFmtId="167" fontId="42" fillId="0" borderId="7" xfId="4" applyNumberFormat="1" applyFont="1" applyBorder="1" applyAlignment="1">
      <alignment horizontal="center"/>
    </xf>
    <xf numFmtId="0" fontId="37" fillId="0" borderId="0" xfId="6" applyNumberFormat="1" applyFont="1" applyBorder="1" applyAlignment="1">
      <alignment horizontal="center"/>
    </xf>
    <xf numFmtId="8" fontId="6" fillId="0" borderId="0" xfId="2" applyNumberFormat="1" applyFont="1"/>
    <xf numFmtId="6" fontId="13" fillId="6" borderId="0" xfId="6" applyNumberFormat="1" applyFont="1" applyFill="1"/>
    <xf numFmtId="0" fontId="42" fillId="0" borderId="38" xfId="0" applyFont="1" applyBorder="1"/>
    <xf numFmtId="0" fontId="42" fillId="0" borderId="32" xfId="0" applyFont="1" applyBorder="1"/>
    <xf numFmtId="168" fontId="42" fillId="0" borderId="38" xfId="0" applyNumberFormat="1" applyFont="1" applyBorder="1"/>
    <xf numFmtId="168" fontId="42" fillId="0" borderId="38" xfId="6" applyNumberFormat="1" applyFont="1" applyBorder="1"/>
    <xf numFmtId="168" fontId="42" fillId="0" borderId="32" xfId="6" applyNumberFormat="1" applyFont="1" applyBorder="1"/>
    <xf numFmtId="0" fontId="42" fillId="0" borderId="38" xfId="0" applyFont="1" applyBorder="1" applyAlignment="1">
      <alignment horizontal="center"/>
    </xf>
    <xf numFmtId="0" fontId="42" fillId="0" borderId="32" xfId="0" applyFont="1" applyBorder="1" applyAlignment="1">
      <alignment horizontal="center"/>
    </xf>
    <xf numFmtId="0" fontId="38" fillId="0" borderId="20" xfId="0" applyFont="1" applyBorder="1"/>
    <xf numFmtId="168" fontId="38" fillId="0" borderId="20" xfId="6" applyNumberFormat="1" applyFont="1" applyBorder="1"/>
    <xf numFmtId="10" fontId="38" fillId="0" borderId="20" xfId="1" applyNumberFormat="1" applyFont="1" applyBorder="1"/>
    <xf numFmtId="180" fontId="38" fillId="0" borderId="20" xfId="6" applyNumberFormat="1" applyFont="1" applyBorder="1"/>
    <xf numFmtId="0" fontId="69" fillId="7" borderId="14" xfId="0" applyFont="1" applyFill="1" applyBorder="1"/>
    <xf numFmtId="0" fontId="69" fillId="7" borderId="11" xfId="0" applyFont="1" applyFill="1" applyBorder="1"/>
    <xf numFmtId="0" fontId="69" fillId="7" borderId="25" xfId="0" applyFont="1" applyFill="1" applyBorder="1"/>
    <xf numFmtId="0" fontId="42" fillId="7" borderId="39" xfId="0" applyFont="1" applyFill="1" applyBorder="1"/>
    <xf numFmtId="168" fontId="42" fillId="7" borderId="39" xfId="6" applyNumberFormat="1" applyFont="1" applyFill="1" applyBorder="1"/>
    <xf numFmtId="0" fontId="96" fillId="7" borderId="15" xfId="0" applyFont="1" applyFill="1" applyBorder="1" applyAlignment="1">
      <alignment horizontal="right"/>
    </xf>
    <xf numFmtId="173" fontId="34" fillId="0" borderId="0" xfId="0" applyNumberFormat="1" applyFont="1" applyAlignment="1">
      <alignment horizontal="center"/>
    </xf>
    <xf numFmtId="0" fontId="97" fillId="6" borderId="14" xfId="0" applyFont="1" applyFill="1" applyBorder="1"/>
    <xf numFmtId="0" fontId="97" fillId="6" borderId="15" xfId="0" applyFont="1" applyFill="1" applyBorder="1"/>
    <xf numFmtId="43" fontId="42" fillId="0" borderId="0" xfId="6" applyFont="1" applyBorder="1"/>
    <xf numFmtId="5" fontId="42" fillId="0" borderId="0" xfId="13" applyNumberFormat="1" applyFont="1"/>
    <xf numFmtId="0" fontId="42" fillId="0" borderId="0" xfId="13" applyFont="1"/>
    <xf numFmtId="0" fontId="38" fillId="0" borderId="0" xfId="13" applyFont="1"/>
    <xf numFmtId="0" fontId="38" fillId="0" borderId="0" xfId="13" applyFont="1" applyAlignment="1">
      <alignment horizontal="right"/>
    </xf>
    <xf numFmtId="0" fontId="38" fillId="0" borderId="14" xfId="13" applyFont="1" applyBorder="1"/>
    <xf numFmtId="0" fontId="38" fillId="0" borderId="11" xfId="13" applyFont="1" applyBorder="1"/>
    <xf numFmtId="167" fontId="38" fillId="0" borderId="15" xfId="13" applyNumberFormat="1" applyFont="1" applyBorder="1"/>
    <xf numFmtId="178" fontId="38" fillId="0" borderId="15" xfId="13" applyNumberFormat="1" applyFont="1" applyBorder="1"/>
    <xf numFmtId="0" fontId="5" fillId="0" borderId="0" xfId="13" applyFont="1"/>
    <xf numFmtId="179" fontId="42" fillId="0" borderId="0" xfId="13" applyNumberFormat="1" applyFont="1"/>
    <xf numFmtId="10" fontId="93" fillId="0" borderId="0" xfId="14" applyNumberFormat="1" applyFont="1"/>
    <xf numFmtId="0" fontId="42" fillId="0" borderId="6" xfId="13" applyFont="1" applyBorder="1"/>
    <xf numFmtId="0" fontId="42" fillId="0" borderId="8" xfId="13" applyFont="1" applyBorder="1"/>
    <xf numFmtId="179" fontId="38" fillId="0" borderId="0" xfId="13" applyNumberFormat="1" applyFont="1"/>
    <xf numFmtId="10" fontId="38" fillId="0" borderId="0" xfId="14" applyNumberFormat="1" applyFont="1"/>
    <xf numFmtId="0" fontId="42" fillId="0" borderId="0" xfId="13" applyFont="1" applyAlignment="1">
      <alignment horizontal="left"/>
    </xf>
    <xf numFmtId="167" fontId="42" fillId="0" borderId="0" xfId="0" applyNumberFormat="1" applyFont="1"/>
    <xf numFmtId="180" fontId="42" fillId="0" borderId="0" xfId="0" applyNumberFormat="1" applyFont="1" applyAlignment="1">
      <alignment horizontal="right"/>
    </xf>
    <xf numFmtId="5" fontId="42" fillId="0" borderId="0" xfId="0" applyNumberFormat="1" applyFont="1"/>
    <xf numFmtId="10" fontId="34" fillId="0" borderId="0" xfId="13" applyNumberFormat="1" applyFont="1"/>
    <xf numFmtId="0" fontId="42" fillId="0" borderId="12" xfId="13" applyFont="1" applyBorder="1"/>
    <xf numFmtId="0" fontId="42" fillId="0" borderId="13" xfId="13" applyFont="1" applyBorder="1"/>
    <xf numFmtId="10" fontId="99" fillId="0" borderId="0" xfId="13" applyNumberFormat="1" applyFont="1"/>
    <xf numFmtId="14" fontId="42" fillId="0" borderId="0" xfId="13" applyNumberFormat="1" applyFont="1"/>
    <xf numFmtId="0" fontId="38" fillId="6" borderId="11" xfId="13" applyFont="1" applyFill="1" applyBorder="1"/>
    <xf numFmtId="167" fontId="38" fillId="6" borderId="11" xfId="14" applyNumberFormat="1" applyFont="1" applyFill="1" applyBorder="1" applyAlignment="1">
      <alignment horizontal="right"/>
    </xf>
    <xf numFmtId="5" fontId="38" fillId="6" borderId="11" xfId="13" applyNumberFormat="1" applyFont="1" applyFill="1" applyBorder="1"/>
    <xf numFmtId="0" fontId="42" fillId="0" borderId="0" xfId="13" applyFont="1" applyAlignment="1">
      <alignment horizontal="left" indent="1"/>
    </xf>
    <xf numFmtId="10" fontId="42" fillId="0" borderId="0" xfId="14" applyNumberFormat="1" applyFont="1"/>
    <xf numFmtId="10" fontId="42" fillId="0" borderId="0" xfId="13" applyNumberFormat="1" applyFont="1"/>
    <xf numFmtId="0" fontId="38" fillId="0" borderId="16" xfId="13" applyFont="1" applyBorder="1"/>
    <xf numFmtId="5" fontId="38" fillId="0" borderId="16" xfId="13" applyNumberFormat="1" applyFont="1" applyBorder="1"/>
    <xf numFmtId="0" fontId="38" fillId="0" borderId="16" xfId="13" applyFont="1" applyBorder="1" applyAlignment="1">
      <alignment horizontal="left"/>
    </xf>
    <xf numFmtId="0" fontId="42" fillId="0" borderId="0" xfId="0" applyFont="1" applyAlignment="1">
      <alignment horizontal="left" indent="1"/>
    </xf>
    <xf numFmtId="0" fontId="42" fillId="0" borderId="0" xfId="0" applyFont="1" applyAlignment="1">
      <alignment horizontal="left"/>
    </xf>
    <xf numFmtId="0" fontId="38" fillId="0" borderId="16" xfId="0" applyFont="1" applyBorder="1"/>
    <xf numFmtId="5" fontId="38" fillId="0" borderId="16" xfId="0" applyNumberFormat="1" applyFont="1" applyBorder="1"/>
    <xf numFmtId="2" fontId="42" fillId="0" borderId="0" xfId="0" applyNumberFormat="1" applyFont="1"/>
    <xf numFmtId="10" fontId="42" fillId="0" borderId="0" xfId="0" applyNumberFormat="1" applyFont="1"/>
    <xf numFmtId="5" fontId="38" fillId="0" borderId="0" xfId="0" applyNumberFormat="1" applyFont="1"/>
    <xf numFmtId="0" fontId="38" fillId="0" borderId="28" xfId="0" applyFont="1" applyBorder="1"/>
    <xf numFmtId="167" fontId="38" fillId="0" borderId="18" xfId="1" applyNumberFormat="1" applyFont="1" applyBorder="1"/>
    <xf numFmtId="0" fontId="38" fillId="0" borderId="6" xfId="0" applyFont="1" applyBorder="1"/>
    <xf numFmtId="180" fontId="38" fillId="0" borderId="8" xfId="0" applyNumberFormat="1" applyFont="1" applyBorder="1" applyAlignment="1">
      <alignment horizontal="right"/>
    </xf>
    <xf numFmtId="5" fontId="38" fillId="0" borderId="8" xfId="0" applyNumberFormat="1" applyFont="1" applyBorder="1"/>
    <xf numFmtId="0" fontId="38" fillId="0" borderId="12" xfId="0" applyFont="1" applyBorder="1"/>
    <xf numFmtId="0" fontId="38" fillId="0" borderId="7" xfId="0" applyFont="1" applyBorder="1"/>
    <xf numFmtId="5" fontId="38" fillId="0" borderId="13" xfId="0" applyNumberFormat="1" applyFont="1" applyBorder="1"/>
    <xf numFmtId="0" fontId="42" fillId="0" borderId="28" xfId="0" applyFont="1" applyBorder="1"/>
    <xf numFmtId="5" fontId="42" fillId="0" borderId="16" xfId="0" applyNumberFormat="1" applyFont="1" applyBorder="1"/>
    <xf numFmtId="167" fontId="42" fillId="0" borderId="0" xfId="1" applyNumberFormat="1" applyFont="1" applyBorder="1"/>
    <xf numFmtId="5" fontId="42" fillId="0" borderId="7" xfId="0" applyNumberFormat="1" applyFont="1" applyBorder="1" applyAlignment="1">
      <alignment horizontal="right"/>
    </xf>
    <xf numFmtId="1" fontId="13" fillId="0" borderId="20" xfId="0" applyNumberFormat="1" applyFont="1" applyBorder="1" applyAlignment="1">
      <alignment horizontal="left"/>
    </xf>
    <xf numFmtId="1" fontId="13" fillId="0" borderId="20" xfId="0" applyNumberFormat="1" applyFont="1" applyBorder="1" applyAlignment="1">
      <alignment horizontal="right"/>
    </xf>
    <xf numFmtId="14" fontId="13" fillId="0" borderId="20" xfId="0" applyNumberFormat="1" applyFont="1" applyBorder="1" applyAlignment="1">
      <alignment horizontal="right"/>
    </xf>
    <xf numFmtId="164" fontId="13" fillId="0" borderId="20" xfId="0" applyNumberFormat="1" applyFont="1" applyBorder="1" applyAlignment="1">
      <alignment horizontal="right"/>
    </xf>
    <xf numFmtId="0" fontId="13" fillId="8" borderId="20" xfId="0" applyFont="1" applyFill="1" applyBorder="1"/>
    <xf numFmtId="1" fontId="13" fillId="8" borderId="20" xfId="0" applyNumberFormat="1" applyFont="1" applyFill="1" applyBorder="1" applyAlignment="1">
      <alignment horizontal="left"/>
    </xf>
    <xf numFmtId="1" fontId="13" fillId="8" borderId="20" xfId="0" applyNumberFormat="1" applyFont="1" applyFill="1" applyBorder="1" applyAlignment="1">
      <alignment horizontal="right"/>
    </xf>
    <xf numFmtId="14" fontId="13" fillId="8" borderId="20" xfId="0" applyNumberFormat="1" applyFont="1" applyFill="1" applyBorder="1" applyAlignment="1">
      <alignment horizontal="right"/>
    </xf>
    <xf numFmtId="164" fontId="13" fillId="8" borderId="20" xfId="0" applyNumberFormat="1" applyFont="1" applyFill="1" applyBorder="1" applyAlignment="1">
      <alignment horizontal="right"/>
    </xf>
    <xf numFmtId="0" fontId="100" fillId="0" borderId="0" xfId="0" applyFont="1"/>
    <xf numFmtId="0" fontId="42" fillId="0" borderId="4" xfId="0" applyFont="1" applyFill="1" applyBorder="1" applyAlignment="1"/>
    <xf numFmtId="43" fontId="6" fillId="0" borderId="0" xfId="2" applyNumberFormat="1" applyFont="1"/>
    <xf numFmtId="0" fontId="101" fillId="0" borderId="0" xfId="0" applyFont="1" applyAlignment="1">
      <alignment wrapText="1"/>
    </xf>
    <xf numFmtId="1" fontId="101" fillId="0" borderId="0" xfId="0" applyNumberFormat="1" applyFont="1" applyAlignment="1">
      <alignment horizontal="left" wrapText="1"/>
    </xf>
    <xf numFmtId="1" fontId="101" fillId="0" borderId="0" xfId="0" applyNumberFormat="1" applyFont="1" applyAlignment="1">
      <alignment horizontal="right" wrapText="1"/>
    </xf>
    <xf numFmtId="0" fontId="101" fillId="0" borderId="0" xfId="0" applyFont="1" applyAlignment="1">
      <alignment horizontal="right" wrapText="1"/>
    </xf>
    <xf numFmtId="1" fontId="0" fillId="0" borderId="0" xfId="0" applyNumberFormat="1" applyAlignment="1">
      <alignment horizontal="left"/>
    </xf>
    <xf numFmtId="1" fontId="0" fillId="0" borderId="0" xfId="0" applyNumberFormat="1" applyAlignment="1">
      <alignment horizontal="right"/>
    </xf>
    <xf numFmtId="14" fontId="0" fillId="0" borderId="0" xfId="0" applyNumberFormat="1" applyAlignment="1">
      <alignment horizontal="right"/>
    </xf>
    <xf numFmtId="164" fontId="0" fillId="0" borderId="0" xfId="0" applyNumberFormat="1" applyAlignment="1">
      <alignment horizontal="right"/>
    </xf>
    <xf numFmtId="0" fontId="0" fillId="0" borderId="0" xfId="0" applyFont="1"/>
    <xf numFmtId="43" fontId="0" fillId="0" borderId="0" xfId="6" applyFont="1"/>
    <xf numFmtId="0" fontId="13" fillId="0" borderId="7" xfId="0" applyFont="1" applyFill="1" applyBorder="1"/>
    <xf numFmtId="0" fontId="102" fillId="0" borderId="0" xfId="0" applyFont="1"/>
    <xf numFmtId="0" fontId="28" fillId="7" borderId="0" xfId="0" applyFont="1" applyFill="1" applyBorder="1" applyAlignment="1">
      <alignment horizontal="right" vertical="center"/>
    </xf>
    <xf numFmtId="0" fontId="28" fillId="7" borderId="26" xfId="0" applyFont="1" applyFill="1" applyBorder="1" applyAlignment="1">
      <alignment horizontal="left" vertical="center"/>
    </xf>
    <xf numFmtId="0" fontId="12" fillId="0" borderId="0" xfId="0" applyFont="1"/>
    <xf numFmtId="0" fontId="46" fillId="0" borderId="0" xfId="0" applyFont="1"/>
    <xf numFmtId="8" fontId="13" fillId="0" borderId="7" xfId="0" applyNumberFormat="1" applyFont="1" applyBorder="1"/>
    <xf numFmtId="168" fontId="13" fillId="0" borderId="13" xfId="6" applyNumberFormat="1" applyFont="1" applyBorder="1"/>
    <xf numFmtId="0" fontId="0" fillId="0" borderId="7" xfId="0" applyBorder="1"/>
    <xf numFmtId="168" fontId="0" fillId="0" borderId="7" xfId="6" applyNumberFormat="1" applyFont="1" applyBorder="1"/>
    <xf numFmtId="0" fontId="45" fillId="0" borderId="7" xfId="0" applyFont="1" applyBorder="1"/>
    <xf numFmtId="167" fontId="0" fillId="0" borderId="7" xfId="1" applyNumberFormat="1" applyFont="1" applyBorder="1"/>
    <xf numFmtId="166" fontId="0" fillId="0" borderId="7" xfId="0" applyNumberFormat="1" applyBorder="1"/>
    <xf numFmtId="164" fontId="0" fillId="0" borderId="0" xfId="6" applyNumberFormat="1" applyFont="1"/>
    <xf numFmtId="0" fontId="0" fillId="15" borderId="0" xfId="0" applyFill="1"/>
    <xf numFmtId="1" fontId="0" fillId="15" borderId="0" xfId="0" applyNumberFormat="1" applyFill="1" applyAlignment="1">
      <alignment horizontal="left"/>
    </xf>
    <xf numFmtId="1" fontId="0" fillId="15" borderId="0" xfId="0" applyNumberFormat="1" applyFill="1" applyAlignment="1">
      <alignment horizontal="right"/>
    </xf>
    <xf numFmtId="14" fontId="0" fillId="15" borderId="0" xfId="0" applyNumberFormat="1" applyFill="1" applyAlignment="1">
      <alignment horizontal="right"/>
    </xf>
    <xf numFmtId="164" fontId="0" fillId="15" borderId="0" xfId="0" applyNumberFormat="1" applyFill="1" applyAlignment="1">
      <alignment horizontal="right"/>
    </xf>
    <xf numFmtId="6" fontId="42" fillId="0" borderId="0" xfId="0" applyNumberFormat="1" applyFont="1" applyAlignment="1">
      <alignment horizontal="right"/>
    </xf>
    <xf numFmtId="164" fontId="55" fillId="0" borderId="0" xfId="6" applyNumberFormat="1" applyFont="1"/>
    <xf numFmtId="164" fontId="55" fillId="0" borderId="7" xfId="6" applyNumberFormat="1" applyFont="1" applyBorder="1"/>
    <xf numFmtId="164" fontId="42" fillId="0" borderId="0" xfId="6" applyNumberFormat="1" applyFont="1"/>
    <xf numFmtId="0" fontId="57" fillId="16" borderId="0" xfId="0" applyFont="1" applyFill="1"/>
    <xf numFmtId="0" fontId="3" fillId="0" borderId="0" xfId="0" applyFont="1"/>
    <xf numFmtId="168" fontId="3" fillId="0" borderId="0" xfId="6" applyNumberFormat="1" applyFont="1"/>
    <xf numFmtId="0" fontId="103" fillId="16" borderId="16" xfId="0" applyFont="1" applyFill="1" applyBorder="1"/>
    <xf numFmtId="0" fontId="104" fillId="16" borderId="16" xfId="0" applyFont="1" applyFill="1" applyBorder="1"/>
    <xf numFmtId="0" fontId="77" fillId="0" borderId="0" xfId="0" applyFont="1"/>
    <xf numFmtId="0" fontId="105" fillId="6" borderId="7" xfId="0" applyFont="1" applyFill="1" applyBorder="1"/>
    <xf numFmtId="0" fontId="106" fillId="6" borderId="7" xfId="0" applyFont="1" applyFill="1" applyBorder="1"/>
    <xf numFmtId="0" fontId="106" fillId="0" borderId="0" xfId="0" applyFont="1"/>
    <xf numFmtId="0" fontId="106" fillId="0" borderId="7" xfId="0" applyFont="1" applyBorder="1"/>
    <xf numFmtId="1" fontId="106" fillId="0" borderId="7" xfId="0" applyNumberFormat="1" applyFont="1" applyBorder="1"/>
    <xf numFmtId="164" fontId="77" fillId="0" borderId="7" xfId="0" applyNumberFormat="1" applyFont="1" applyBorder="1"/>
    <xf numFmtId="164" fontId="106" fillId="0" borderId="0" xfId="0" applyNumberFormat="1" applyFont="1"/>
    <xf numFmtId="0" fontId="107" fillId="0" borderId="0" xfId="0" applyFont="1"/>
    <xf numFmtId="164" fontId="108" fillId="0" borderId="0" xfId="0" applyNumberFormat="1" applyFont="1"/>
    <xf numFmtId="164" fontId="106" fillId="0" borderId="7" xfId="0" applyNumberFormat="1" applyFont="1" applyBorder="1"/>
    <xf numFmtId="166" fontId="77" fillId="0" borderId="0" xfId="0" applyNumberFormat="1" applyFont="1"/>
    <xf numFmtId="164" fontId="107" fillId="0" borderId="0" xfId="0" applyNumberFormat="1" applyFont="1"/>
    <xf numFmtId="0" fontId="109" fillId="0" borderId="0" xfId="0" applyFont="1"/>
    <xf numFmtId="168" fontId="106" fillId="0" borderId="0" xfId="6" applyNumberFormat="1" applyFont="1"/>
    <xf numFmtId="0" fontId="77" fillId="0" borderId="7" xfId="0" applyFont="1" applyBorder="1"/>
    <xf numFmtId="1" fontId="0" fillId="0" borderId="0" xfId="0" applyNumberFormat="1"/>
    <xf numFmtId="168" fontId="77" fillId="0" borderId="0" xfId="6" applyNumberFormat="1" applyFont="1"/>
    <xf numFmtId="166" fontId="106" fillId="0" borderId="7" xfId="0" applyNumberFormat="1" applyFont="1" applyBorder="1"/>
    <xf numFmtId="164" fontId="77" fillId="0" borderId="0" xfId="0" applyNumberFormat="1" applyFont="1"/>
    <xf numFmtId="43" fontId="0" fillId="0" borderId="0" xfId="0" applyNumberFormat="1"/>
    <xf numFmtId="0" fontId="5" fillId="6" borderId="6" xfId="2" applyFont="1" applyFill="1" applyBorder="1" applyAlignment="1">
      <alignment horizontal="right"/>
    </xf>
    <xf numFmtId="3" fontId="6" fillId="0" borderId="0" xfId="2" applyNumberFormat="1" applyFont="1" applyAlignment="1">
      <alignment horizontal="left"/>
    </xf>
    <xf numFmtId="0" fontId="0" fillId="0" borderId="0" xfId="0" applyFont="1" applyFill="1" applyBorder="1"/>
    <xf numFmtId="0" fontId="0" fillId="0" borderId="0" xfId="0" applyAlignment="1">
      <alignment wrapText="1"/>
    </xf>
    <xf numFmtId="0" fontId="110" fillId="0" borderId="0" xfId="0" applyFont="1" applyAlignment="1">
      <alignment vertical="center"/>
    </xf>
    <xf numFmtId="0" fontId="4" fillId="0" borderId="0" xfId="7" applyFill="1" applyBorder="1"/>
    <xf numFmtId="0" fontId="25" fillId="0" borderId="0" xfId="0" applyFont="1" applyAlignment="1"/>
    <xf numFmtId="0" fontId="11" fillId="0" borderId="7" xfId="0" applyFont="1" applyBorder="1"/>
    <xf numFmtId="0" fontId="0" fillId="0" borderId="7" xfId="0" applyBorder="1" applyAlignment="1">
      <alignment horizontal="right"/>
    </xf>
    <xf numFmtId="168" fontId="6" fillId="0" borderId="0" xfId="6" applyNumberFormat="1" applyFont="1"/>
    <xf numFmtId="168" fontId="6" fillId="0" borderId="0" xfId="2" applyNumberFormat="1" applyFont="1"/>
    <xf numFmtId="0" fontId="6" fillId="0" borderId="7" xfId="2" applyFont="1" applyBorder="1"/>
    <xf numFmtId="1" fontId="6" fillId="0" borderId="0" xfId="2" applyNumberFormat="1" applyFont="1"/>
    <xf numFmtId="1" fontId="6" fillId="0" borderId="7" xfId="2" applyNumberFormat="1" applyFont="1" applyBorder="1"/>
    <xf numFmtId="0" fontId="111" fillId="0" borderId="7" xfId="2" applyFont="1" applyBorder="1"/>
    <xf numFmtId="168" fontId="6" fillId="0" borderId="7" xfId="6" applyNumberFormat="1" applyFont="1" applyBorder="1"/>
    <xf numFmtId="168" fontId="6" fillId="0" borderId="7" xfId="2" applyNumberFormat="1" applyFont="1" applyBorder="1"/>
    <xf numFmtId="9" fontId="111" fillId="0" borderId="0" xfId="1" applyFont="1"/>
    <xf numFmtId="167" fontId="111" fillId="0" borderId="0" xfId="1" applyNumberFormat="1" applyFont="1"/>
    <xf numFmtId="167" fontId="111" fillId="0" borderId="7" xfId="1" applyNumberFormat="1" applyFont="1" applyBorder="1"/>
    <xf numFmtId="0" fontId="112" fillId="0" borderId="0" xfId="2" applyFont="1"/>
    <xf numFmtId="1" fontId="112" fillId="0" borderId="0" xfId="2" applyNumberFormat="1" applyFont="1"/>
    <xf numFmtId="1" fontId="98" fillId="0" borderId="0" xfId="2" applyNumberFormat="1" applyFont="1"/>
    <xf numFmtId="15" fontId="0" fillId="0" borderId="0" xfId="0" applyNumberFormat="1"/>
    <xf numFmtId="6" fontId="0" fillId="0" borderId="0" xfId="0" applyNumberFormat="1"/>
    <xf numFmtId="0" fontId="113" fillId="7" borderId="0" xfId="0" applyFont="1" applyFill="1"/>
    <xf numFmtId="0" fontId="0" fillId="6" borderId="0" xfId="0" applyFill="1"/>
    <xf numFmtId="0" fontId="0" fillId="0" borderId="0" xfId="0" quotePrefix="1"/>
    <xf numFmtId="6" fontId="0" fillId="0" borderId="7" xfId="0" applyNumberFormat="1" applyBorder="1"/>
    <xf numFmtId="10" fontId="42" fillId="0" borderId="0" xfId="1" applyNumberFormat="1" applyFont="1" applyAlignment="1">
      <alignment horizontal="center"/>
    </xf>
    <xf numFmtId="0" fontId="73" fillId="0" borderId="40" xfId="0" applyFont="1" applyBorder="1"/>
    <xf numFmtId="0" fontId="0" fillId="0" borderId="40" xfId="0" applyBorder="1"/>
    <xf numFmtId="6" fontId="0" fillId="0" borderId="40" xfId="0" applyNumberFormat="1" applyBorder="1"/>
    <xf numFmtId="0" fontId="112" fillId="0" borderId="40" xfId="2" applyFont="1" applyBorder="1"/>
    <xf numFmtId="0" fontId="114" fillId="0" borderId="0" xfId="2" applyFont="1" applyAlignment="1">
      <alignment horizontal="right"/>
    </xf>
    <xf numFmtId="0" fontId="114" fillId="0" borderId="0" xfId="2" applyFont="1" applyAlignment="1">
      <alignment horizontal="left"/>
    </xf>
    <xf numFmtId="9" fontId="114" fillId="0" borderId="0" xfId="1" applyFont="1"/>
    <xf numFmtId="168" fontId="114" fillId="0" borderId="0" xfId="6" applyNumberFormat="1" applyFont="1" applyAlignment="1">
      <alignment horizontal="right"/>
    </xf>
    <xf numFmtId="164" fontId="114" fillId="0" borderId="0" xfId="2" applyNumberFormat="1" applyFont="1"/>
    <xf numFmtId="166" fontId="114" fillId="0" borderId="0" xfId="2" applyNumberFormat="1" applyFont="1"/>
    <xf numFmtId="0" fontId="114" fillId="0" borderId="7" xfId="2" applyFont="1" applyBorder="1" applyAlignment="1">
      <alignment horizontal="left"/>
    </xf>
    <xf numFmtId="0" fontId="114" fillId="0" borderId="7" xfId="2" applyFont="1" applyBorder="1" applyAlignment="1">
      <alignment horizontal="right"/>
    </xf>
    <xf numFmtId="9" fontId="114" fillId="0" borderId="7" xfId="1" applyFont="1" applyBorder="1"/>
    <xf numFmtId="168" fontId="114" fillId="0" borderId="7" xfId="6" applyNumberFormat="1" applyFont="1" applyBorder="1" applyAlignment="1">
      <alignment horizontal="right"/>
    </xf>
    <xf numFmtId="164" fontId="114" fillId="0" borderId="7" xfId="2" applyNumberFormat="1" applyFont="1" applyBorder="1"/>
    <xf numFmtId="166" fontId="114" fillId="0" borderId="7" xfId="2" applyNumberFormat="1" applyFont="1" applyBorder="1"/>
    <xf numFmtId="0" fontId="114" fillId="0" borderId="0" xfId="2" applyFont="1"/>
    <xf numFmtId="1" fontId="114" fillId="0" borderId="0" xfId="2" applyNumberFormat="1" applyFont="1"/>
    <xf numFmtId="0" fontId="114" fillId="0" borderId="0" xfId="2" applyFont="1" applyFill="1" applyAlignment="1">
      <alignment horizontal="right"/>
    </xf>
    <xf numFmtId="168" fontId="114" fillId="0" borderId="0" xfId="6" applyNumberFormat="1" applyFont="1" applyFill="1" applyAlignment="1">
      <alignment horizontal="right"/>
    </xf>
    <xf numFmtId="164" fontId="114" fillId="0" borderId="0" xfId="2" applyNumberFormat="1" applyFont="1" applyFill="1"/>
    <xf numFmtId="0" fontId="115" fillId="0" borderId="40" xfId="2" applyFont="1" applyBorder="1"/>
    <xf numFmtId="43" fontId="114" fillId="0" borderId="36" xfId="6" applyFont="1" applyBorder="1" applyAlignment="1">
      <alignment horizontal="left"/>
    </xf>
    <xf numFmtId="0" fontId="114" fillId="0" borderId="36" xfId="2" applyFont="1" applyBorder="1" applyAlignment="1">
      <alignment horizontal="right"/>
    </xf>
    <xf numFmtId="3" fontId="5" fillId="0" borderId="8" xfId="2" applyNumberFormat="1" applyFont="1" applyBorder="1" applyAlignment="1">
      <alignment horizontal="center"/>
    </xf>
    <xf numFmtId="9" fontId="33" fillId="0" borderId="0" xfId="0" applyNumberFormat="1" applyFont="1"/>
    <xf numFmtId="0" fontId="37" fillId="0" borderId="0" xfId="2" applyFont="1" applyBorder="1" applyAlignment="1">
      <alignment horizontal="center"/>
    </xf>
    <xf numFmtId="3" fontId="35" fillId="0" borderId="0" xfId="2" applyNumberFormat="1" applyFont="1" applyBorder="1" applyAlignment="1">
      <alignment horizontal="center"/>
    </xf>
    <xf numFmtId="10" fontId="42" fillId="0" borderId="0" xfId="1" applyNumberFormat="1" applyFont="1" applyBorder="1" applyAlignment="1">
      <alignment horizontal="center"/>
    </xf>
    <xf numFmtId="2" fontId="5" fillId="0" borderId="0" xfId="2" applyNumberFormat="1" applyFont="1" applyBorder="1" applyAlignment="1">
      <alignment horizontal="center"/>
    </xf>
    <xf numFmtId="9" fontId="42" fillId="0" borderId="0" xfId="1" applyFont="1" applyBorder="1" applyAlignment="1">
      <alignment horizontal="center"/>
    </xf>
    <xf numFmtId="3" fontId="38" fillId="0" borderId="0" xfId="2" applyNumberFormat="1" applyFont="1" applyBorder="1" applyAlignment="1">
      <alignment horizontal="center"/>
    </xf>
    <xf numFmtId="9" fontId="38" fillId="0" borderId="0" xfId="1" applyFont="1" applyBorder="1" applyAlignment="1">
      <alignment horizontal="center"/>
    </xf>
    <xf numFmtId="3" fontId="39" fillId="0" borderId="0" xfId="2" applyNumberFormat="1" applyFont="1" applyBorder="1" applyAlignment="1">
      <alignment horizontal="center"/>
    </xf>
    <xf numFmtId="2" fontId="38" fillId="0" borderId="0" xfId="2" applyNumberFormat="1" applyFont="1" applyBorder="1" applyAlignment="1">
      <alignment horizontal="center"/>
    </xf>
    <xf numFmtId="0" fontId="42" fillId="0" borderId="12" xfId="2" applyFont="1" applyBorder="1" applyAlignment="1">
      <alignment horizontal="right"/>
    </xf>
    <xf numFmtId="170" fontId="31" fillId="0" borderId="7" xfId="2" applyNumberFormat="1" applyFont="1" applyBorder="1" applyAlignment="1">
      <alignment horizontal="center"/>
    </xf>
    <xf numFmtId="3" fontId="38" fillId="0" borderId="7" xfId="2" applyNumberFormat="1" applyFont="1" applyBorder="1" applyAlignment="1">
      <alignment horizontal="center"/>
    </xf>
    <xf numFmtId="3" fontId="39" fillId="0" borderId="7" xfId="2" applyNumberFormat="1" applyFont="1" applyBorder="1" applyAlignment="1">
      <alignment horizontal="center"/>
    </xf>
    <xf numFmtId="43" fontId="38" fillId="0" borderId="7" xfId="6" applyFont="1" applyBorder="1" applyAlignment="1">
      <alignment horizontal="center"/>
    </xf>
    <xf numFmtId="3" fontId="38" fillId="0" borderId="13" xfId="2" applyNumberFormat="1" applyFont="1" applyBorder="1" applyAlignment="1">
      <alignment horizontal="center"/>
    </xf>
    <xf numFmtId="0" fontId="6" fillId="0" borderId="0" xfId="2" applyFont="1" applyBorder="1"/>
    <xf numFmtId="0" fontId="0" fillId="0" borderId="6" xfId="0" applyBorder="1"/>
    <xf numFmtId="0" fontId="6" fillId="0" borderId="8" xfId="2" applyFont="1" applyBorder="1"/>
    <xf numFmtId="0" fontId="0" fillId="0" borderId="8" xfId="0" applyBorder="1"/>
    <xf numFmtId="168" fontId="42" fillId="0" borderId="8" xfId="6" applyNumberFormat="1" applyFont="1" applyBorder="1"/>
    <xf numFmtId="0" fontId="6" fillId="0" borderId="13" xfId="2" applyFont="1" applyBorder="1"/>
    <xf numFmtId="0" fontId="32" fillId="0" borderId="28" xfId="2" applyFont="1" applyBorder="1" applyAlignment="1">
      <alignment horizontal="right"/>
    </xf>
    <xf numFmtId="164" fontId="32" fillId="0" borderId="18" xfId="2" applyNumberFormat="1" applyFont="1" applyBorder="1" applyAlignment="1"/>
    <xf numFmtId="0" fontId="42" fillId="2" borderId="12" xfId="0" applyFont="1" applyFill="1" applyBorder="1" applyAlignment="1">
      <alignment horizontal="left" vertical="center" indent="1"/>
    </xf>
    <xf numFmtId="0" fontId="10" fillId="0" borderId="13" xfId="2" quotePrefix="1" applyFont="1" applyBorder="1" applyAlignment="1">
      <alignment vertical="top" wrapText="1"/>
    </xf>
    <xf numFmtId="164" fontId="42" fillId="2" borderId="0" xfId="15" applyNumberFormat="1" applyFont="1" applyFill="1" applyBorder="1" applyAlignment="1">
      <alignment vertical="center"/>
    </xf>
    <xf numFmtId="0" fontId="112" fillId="0" borderId="0" xfId="2" applyFont="1" applyBorder="1"/>
    <xf numFmtId="164" fontId="38" fillId="2" borderId="0" xfId="15" applyNumberFormat="1" applyFont="1" applyFill="1" applyBorder="1" applyAlignment="1">
      <alignment vertical="center"/>
    </xf>
    <xf numFmtId="0" fontId="42" fillId="2" borderId="6" xfId="0" applyFont="1" applyFill="1" applyBorder="1" applyAlignment="1">
      <alignment horizontal="left" vertical="center" indent="1"/>
    </xf>
    <xf numFmtId="0" fontId="38" fillId="2" borderId="6" xfId="0" applyFont="1" applyFill="1" applyBorder="1" applyAlignment="1">
      <alignment horizontal="left" vertical="center" indent="1"/>
    </xf>
    <xf numFmtId="9" fontId="39" fillId="2" borderId="8" xfId="1" applyFont="1" applyFill="1" applyBorder="1" applyAlignment="1">
      <alignment horizontal="right" vertical="center"/>
    </xf>
    <xf numFmtId="0" fontId="16" fillId="7" borderId="18" xfId="0" applyFont="1" applyFill="1" applyBorder="1" applyAlignment="1">
      <alignment horizontal="center" vertical="center"/>
    </xf>
    <xf numFmtId="10" fontId="5" fillId="0" borderId="0" xfId="1" applyNumberFormat="1" applyFont="1" applyBorder="1" applyAlignment="1"/>
    <xf numFmtId="164" fontId="32" fillId="0" borderId="16" xfId="2" applyNumberFormat="1" applyFont="1" applyBorder="1" applyAlignment="1"/>
    <xf numFmtId="3" fontId="5" fillId="0" borderId="0" xfId="2" applyNumberFormat="1" applyFont="1" applyBorder="1" applyAlignment="1"/>
    <xf numFmtId="0" fontId="5" fillId="0" borderId="12" xfId="2" applyFont="1" applyBorder="1" applyAlignment="1">
      <alignment horizontal="right"/>
    </xf>
    <xf numFmtId="0" fontId="116" fillId="0" borderId="7" xfId="2" applyFont="1" applyBorder="1"/>
    <xf numFmtId="181" fontId="98" fillId="0" borderId="28" xfId="17" quotePrefix="1" applyNumberFormat="1" applyFont="1" applyBorder="1" applyAlignment="1">
      <alignment horizontal="left"/>
    </xf>
    <xf numFmtId="10" fontId="93" fillId="0" borderId="5" xfId="4" applyNumberFormat="1" applyFont="1" applyBorder="1"/>
    <xf numFmtId="9" fontId="117" fillId="0" borderId="0" xfId="0" applyNumberFormat="1" applyFont="1"/>
    <xf numFmtId="9" fontId="118" fillId="0" borderId="0" xfId="0" applyNumberFormat="1" applyFont="1" applyAlignment="1">
      <alignment horizontal="center"/>
    </xf>
    <xf numFmtId="168" fontId="93" fillId="0" borderId="0" xfId="0" applyNumberFormat="1" applyFont="1"/>
    <xf numFmtId="168" fontId="119" fillId="0" borderId="0" xfId="0" applyNumberFormat="1" applyFont="1" applyFill="1"/>
    <xf numFmtId="3" fontId="93" fillId="0" borderId="20" xfId="0" applyNumberFormat="1" applyFont="1" applyBorder="1"/>
    <xf numFmtId="168" fontId="93" fillId="0" borderId="20" xfId="6" applyNumberFormat="1" applyFont="1" applyBorder="1"/>
    <xf numFmtId="9" fontId="6" fillId="0" borderId="0" xfId="2" applyNumberFormat="1" applyFont="1" applyBorder="1"/>
    <xf numFmtId="9" fontId="6" fillId="0" borderId="7" xfId="2" applyNumberFormat="1" applyFont="1" applyBorder="1"/>
    <xf numFmtId="9" fontId="42" fillId="0" borderId="6" xfId="0" applyNumberFormat="1" applyFont="1" applyBorder="1"/>
    <xf numFmtId="9" fontId="117" fillId="0" borderId="6" xfId="0" applyNumberFormat="1" applyFont="1" applyBorder="1"/>
    <xf numFmtId="180" fontId="38" fillId="0" borderId="0" xfId="6" applyNumberFormat="1" applyFont="1" applyBorder="1"/>
    <xf numFmtId="0" fontId="120" fillId="0" borderId="0" xfId="2" applyFont="1" applyBorder="1" applyAlignment="1">
      <alignment horizontal="right"/>
    </xf>
    <xf numFmtId="3" fontId="42" fillId="0" borderId="0" xfId="2" applyNumberFormat="1" applyFont="1" applyBorder="1" applyAlignment="1">
      <alignment horizontal="center"/>
    </xf>
    <xf numFmtId="3" fontId="42" fillId="0" borderId="30" xfId="2" applyNumberFormat="1" applyFont="1" applyBorder="1" applyAlignment="1">
      <alignment horizontal="center"/>
    </xf>
    <xf numFmtId="3" fontId="42" fillId="0" borderId="0" xfId="2" applyNumberFormat="1" applyFont="1" applyBorder="1" applyAlignment="1"/>
    <xf numFmtId="10" fontId="42" fillId="0" borderId="0" xfId="3" applyNumberFormat="1" applyFont="1" applyBorder="1" applyAlignment="1"/>
    <xf numFmtId="3" fontId="42" fillId="0" borderId="0" xfId="2" applyNumberFormat="1" applyFont="1" applyAlignment="1">
      <alignment horizontal="right"/>
    </xf>
    <xf numFmtId="3" fontId="42" fillId="6" borderId="0" xfId="2" applyNumberFormat="1" applyFont="1" applyFill="1" applyAlignment="1">
      <alignment horizontal="right"/>
    </xf>
    <xf numFmtId="9" fontId="38" fillId="6" borderId="14" xfId="0" applyNumberFormat="1" applyFont="1" applyFill="1" applyBorder="1"/>
    <xf numFmtId="168" fontId="42" fillId="6" borderId="11" xfId="6" applyNumberFormat="1" applyFont="1" applyFill="1" applyBorder="1"/>
    <xf numFmtId="168" fontId="42" fillId="6" borderId="15" xfId="6" applyNumberFormat="1" applyFont="1" applyFill="1" applyBorder="1"/>
    <xf numFmtId="0" fontId="38" fillId="6" borderId="14" xfId="0" applyFont="1" applyFill="1" applyBorder="1"/>
    <xf numFmtId="168" fontId="42" fillId="6" borderId="11" xfId="0" applyNumberFormat="1" applyFont="1" applyFill="1" applyBorder="1"/>
    <xf numFmtId="168" fontId="42" fillId="6" borderId="15" xfId="0" applyNumberFormat="1" applyFont="1" applyFill="1" applyBorder="1"/>
    <xf numFmtId="168" fontId="34" fillId="0" borderId="0" xfId="6" applyNumberFormat="1" applyFont="1" applyBorder="1"/>
    <xf numFmtId="0" fontId="96" fillId="7" borderId="11" xfId="0" applyFont="1" applyFill="1" applyBorder="1" applyAlignment="1">
      <alignment horizontal="center"/>
    </xf>
    <xf numFmtId="181" fontId="98" fillId="0" borderId="0" xfId="17" applyNumberFormat="1" applyFont="1" applyBorder="1" applyAlignment="1">
      <alignment horizontal="left"/>
    </xf>
    <xf numFmtId="181" fontId="98" fillId="0" borderId="8" xfId="17" applyNumberFormat="1" applyFont="1" applyBorder="1" applyAlignment="1">
      <alignment horizontal="left"/>
    </xf>
    <xf numFmtId="0" fontId="10" fillId="0" borderId="7" xfId="2" quotePrefix="1" applyFont="1" applyBorder="1" applyAlignment="1">
      <alignment vertical="top" wrapText="1"/>
    </xf>
    <xf numFmtId="10" fontId="42" fillId="0" borderId="7" xfId="1" quotePrefix="1" applyNumberFormat="1" applyFont="1" applyBorder="1" applyAlignment="1">
      <alignment vertical="top" wrapText="1"/>
    </xf>
    <xf numFmtId="0" fontId="42" fillId="0" borderId="6" xfId="2" quotePrefix="1" applyFont="1" applyBorder="1" applyAlignment="1">
      <alignment vertical="top"/>
    </xf>
    <xf numFmtId="0" fontId="38" fillId="0" borderId="6" xfId="2" quotePrefix="1" applyFont="1" applyBorder="1" applyAlignment="1">
      <alignment vertical="top"/>
    </xf>
    <xf numFmtId="168" fontId="0" fillId="0" borderId="0" xfId="6" applyNumberFormat="1" applyFont="1" applyBorder="1"/>
    <xf numFmtId="164" fontId="0" fillId="0" borderId="0" xfId="0" applyNumberFormat="1" applyBorder="1"/>
    <xf numFmtId="164" fontId="0" fillId="0" borderId="0" xfId="6" applyNumberFormat="1" applyFont="1" applyBorder="1"/>
    <xf numFmtId="164" fontId="6" fillId="2" borderId="0" xfId="2" applyNumberFormat="1" applyFont="1" applyFill="1"/>
    <xf numFmtId="164" fontId="17" fillId="7" borderId="16" xfId="0" applyNumberFormat="1" applyFont="1" applyFill="1" applyBorder="1" applyAlignment="1">
      <alignment horizontal="left" vertical="center"/>
    </xf>
    <xf numFmtId="164" fontId="17" fillId="7" borderId="18" xfId="0" applyNumberFormat="1" applyFont="1" applyFill="1" applyBorder="1" applyAlignment="1">
      <alignment horizontal="left" vertical="center"/>
    </xf>
    <xf numFmtId="164" fontId="0" fillId="0" borderId="8" xfId="0" applyNumberFormat="1" applyBorder="1"/>
    <xf numFmtId="3" fontId="5" fillId="0" borderId="6" xfId="2" applyNumberFormat="1" applyFont="1" applyBorder="1" applyAlignment="1">
      <alignment horizontal="left" indent="1"/>
    </xf>
    <xf numFmtId="180" fontId="0" fillId="0" borderId="0" xfId="0" applyNumberFormat="1" applyBorder="1"/>
    <xf numFmtId="9" fontId="0" fillId="0" borderId="0" xfId="0" applyNumberFormat="1" applyBorder="1"/>
    <xf numFmtId="9" fontId="34" fillId="2" borderId="0" xfId="1" applyFont="1" applyFill="1" applyBorder="1" applyAlignment="1">
      <alignment horizontal="right" vertical="center"/>
    </xf>
    <xf numFmtId="9" fontId="39" fillId="2" borderId="0" xfId="1" applyFont="1" applyFill="1" applyBorder="1" applyAlignment="1">
      <alignment horizontal="right" vertical="center"/>
    </xf>
    <xf numFmtId="180" fontId="6" fillId="0" borderId="0" xfId="2" applyNumberFormat="1" applyFont="1" applyBorder="1"/>
    <xf numFmtId="180" fontId="6" fillId="0" borderId="7" xfId="2" applyNumberFormat="1" applyFont="1" applyBorder="1"/>
    <xf numFmtId="172" fontId="42" fillId="0" borderId="0" xfId="0" applyNumberFormat="1" applyFont="1" applyBorder="1" applyAlignment="1">
      <alignment horizontal="center"/>
    </xf>
    <xf numFmtId="0" fontId="39" fillId="0" borderId="0" xfId="0" applyFont="1" applyFill="1" applyBorder="1"/>
    <xf numFmtId="0" fontId="5" fillId="0" borderId="0" xfId="0" applyFont="1" applyFill="1" applyBorder="1"/>
    <xf numFmtId="9" fontId="93" fillId="0" borderId="0" xfId="0" applyNumberFormat="1" applyFont="1" applyBorder="1"/>
    <xf numFmtId="9" fontId="117" fillId="0" borderId="8" xfId="2" applyNumberFormat="1" applyFont="1" applyBorder="1" applyAlignment="1">
      <alignment horizontal="left"/>
    </xf>
    <xf numFmtId="0" fontId="96" fillId="7" borderId="15" xfId="0" applyFont="1" applyFill="1" applyBorder="1" applyAlignment="1">
      <alignment horizontal="center"/>
    </xf>
    <xf numFmtId="9" fontId="42" fillId="2" borderId="0" xfId="1" applyFont="1" applyFill="1" applyBorder="1" applyAlignment="1">
      <alignment horizontal="right" vertical="center"/>
    </xf>
    <xf numFmtId="0" fontId="42" fillId="0" borderId="12" xfId="2" quotePrefix="1" applyFont="1" applyBorder="1" applyAlignment="1">
      <alignment vertical="top" wrapText="1"/>
    </xf>
    <xf numFmtId="3" fontId="35" fillId="0" borderId="6" xfId="2" applyNumberFormat="1" applyFont="1" applyBorder="1" applyAlignment="1">
      <alignment horizontal="left" indent="1"/>
    </xf>
    <xf numFmtId="0" fontId="75" fillId="0" borderId="0" xfId="0" applyFont="1" applyBorder="1"/>
    <xf numFmtId="164" fontId="75" fillId="0" borderId="0" xfId="0" applyNumberFormat="1" applyFont="1" applyBorder="1"/>
    <xf numFmtId="164" fontId="75" fillId="0" borderId="0" xfId="6" applyNumberFormat="1" applyFont="1" applyBorder="1"/>
    <xf numFmtId="9" fontId="10" fillId="0" borderId="8" xfId="2" quotePrefix="1" applyNumberFormat="1" applyFont="1" applyBorder="1" applyAlignment="1">
      <alignment vertical="top" wrapText="1"/>
    </xf>
    <xf numFmtId="0" fontId="121" fillId="0" borderId="6" xfId="0" applyFont="1" applyBorder="1"/>
    <xf numFmtId="3" fontId="34" fillId="0" borderId="0" xfId="2" applyNumberFormat="1" applyFont="1" applyAlignment="1">
      <alignment horizontal="center"/>
    </xf>
    <xf numFmtId="182" fontId="10" fillId="0" borderId="8" xfId="2" quotePrefix="1" applyNumberFormat="1" applyFont="1" applyFill="1" applyBorder="1" applyAlignment="1">
      <alignment vertical="top" wrapText="1"/>
    </xf>
    <xf numFmtId="0" fontId="42" fillId="6" borderId="0" xfId="0" applyFont="1" applyFill="1" applyBorder="1" applyAlignment="1">
      <alignment horizontal="left"/>
    </xf>
    <xf numFmtId="183" fontId="93" fillId="0" borderId="0" xfId="2" applyNumberFormat="1" applyFont="1"/>
    <xf numFmtId="9" fontId="31" fillId="0" borderId="0" xfId="1" applyFont="1" applyAlignment="1">
      <alignment horizontal="right"/>
    </xf>
    <xf numFmtId="0" fontId="42" fillId="0" borderId="12" xfId="2" applyFont="1" applyFill="1" applyBorder="1" applyAlignment="1">
      <alignment vertical="top"/>
    </xf>
    <xf numFmtId="10" fontId="0" fillId="0" borderId="7" xfId="1" applyNumberFormat="1" applyFont="1" applyBorder="1"/>
    <xf numFmtId="0" fontId="0" fillId="0" borderId="13" xfId="0" applyBorder="1"/>
    <xf numFmtId="168" fontId="42" fillId="2" borderId="0" xfId="6" applyNumberFormat="1" applyFont="1" applyFill="1" applyBorder="1"/>
    <xf numFmtId="168" fontId="42" fillId="2" borderId="8" xfId="6" applyNumberFormat="1" applyFont="1" applyFill="1" applyBorder="1"/>
    <xf numFmtId="0" fontId="42" fillId="2" borderId="6" xfId="0" applyFont="1" applyFill="1" applyBorder="1"/>
    <xf numFmtId="10" fontId="42" fillId="0" borderId="0" xfId="1" applyNumberFormat="1" applyFont="1" applyBorder="1"/>
    <xf numFmtId="10" fontId="42" fillId="0" borderId="16" xfId="1" applyNumberFormat="1" applyFont="1" applyBorder="1"/>
    <xf numFmtId="180" fontId="42" fillId="0" borderId="0" xfId="6" applyNumberFormat="1" applyFont="1" applyBorder="1"/>
    <xf numFmtId="168" fontId="42" fillId="2" borderId="0" xfId="0" applyNumberFormat="1" applyFont="1" applyFill="1" applyBorder="1"/>
    <xf numFmtId="168" fontId="42" fillId="2" borderId="8" xfId="0" applyNumberFormat="1" applyFont="1" applyFill="1" applyBorder="1"/>
    <xf numFmtId="0" fontId="122" fillId="0" borderId="0" xfId="0" applyFont="1" applyAlignment="1">
      <alignment horizontal="center"/>
    </xf>
    <xf numFmtId="0" fontId="28" fillId="7" borderId="6" xfId="0" applyFont="1" applyFill="1" applyBorder="1" applyAlignment="1">
      <alignment horizontal="center" vertical="center"/>
    </xf>
    <xf numFmtId="0" fontId="28" fillId="7" borderId="8" xfId="0" applyFont="1" applyFill="1" applyBorder="1" applyAlignment="1">
      <alignment horizontal="center" vertical="center"/>
    </xf>
    <xf numFmtId="10" fontId="42" fillId="2" borderId="0" xfId="1" applyNumberFormat="1" applyFont="1" applyFill="1" applyBorder="1"/>
    <xf numFmtId="0" fontId="48" fillId="0" borderId="6" xfId="0" applyFont="1" applyBorder="1"/>
    <xf numFmtId="0" fontId="42" fillId="0" borderId="6" xfId="0" applyFont="1" applyBorder="1" applyAlignment="1">
      <alignment horizontal="left" indent="2"/>
    </xf>
    <xf numFmtId="185" fontId="42" fillId="0" borderId="6" xfId="0" applyNumberFormat="1" applyFont="1" applyBorder="1" applyAlignment="1">
      <alignment horizontal="left" indent="2"/>
    </xf>
    <xf numFmtId="9" fontId="93" fillId="0" borderId="0" xfId="0" applyNumberFormat="1" applyFont="1"/>
    <xf numFmtId="186" fontId="42" fillId="0" borderId="6" xfId="0" applyNumberFormat="1" applyFont="1" applyBorder="1" applyAlignment="1">
      <alignment horizontal="left" indent="2"/>
    </xf>
    <xf numFmtId="187" fontId="42" fillId="0" borderId="6" xfId="0" applyNumberFormat="1" applyFont="1" applyBorder="1" applyAlignment="1">
      <alignment horizontal="left" indent="2"/>
    </xf>
    <xf numFmtId="188" fontId="42" fillId="0" borderId="6" xfId="0" applyNumberFormat="1" applyFont="1" applyBorder="1" applyAlignment="1">
      <alignment horizontal="left" indent="2"/>
    </xf>
    <xf numFmtId="189" fontId="42" fillId="0" borderId="12" xfId="0" applyNumberFormat="1" applyFont="1" applyBorder="1" applyAlignment="1">
      <alignment horizontal="left" indent="2"/>
    </xf>
    <xf numFmtId="0" fontId="42" fillId="0" borderId="8" xfId="0" applyFont="1" applyBorder="1"/>
    <xf numFmtId="190" fontId="42" fillId="0" borderId="6" xfId="0" applyNumberFormat="1" applyFont="1" applyBorder="1" applyAlignment="1">
      <alignment horizontal="left" indent="2"/>
    </xf>
    <xf numFmtId="191" fontId="42" fillId="0" borderId="6" xfId="0" applyNumberFormat="1" applyFont="1" applyBorder="1" applyAlignment="1">
      <alignment horizontal="left" indent="2"/>
    </xf>
    <xf numFmtId="192" fontId="42" fillId="0" borderId="6" xfId="0" applyNumberFormat="1" applyFont="1" applyBorder="1" applyAlignment="1">
      <alignment horizontal="left" indent="2"/>
    </xf>
    <xf numFmtId="184" fontId="93" fillId="0" borderId="0" xfId="0" applyNumberFormat="1" applyFont="1" applyBorder="1" applyAlignment="1">
      <alignment horizontal="center"/>
    </xf>
    <xf numFmtId="0" fontId="30" fillId="0" borderId="0" xfId="0" applyFont="1" applyBorder="1"/>
    <xf numFmtId="43" fontId="31" fillId="0" borderId="0" xfId="6" applyNumberFormat="1" applyFont="1" applyBorder="1"/>
    <xf numFmtId="0" fontId="89" fillId="0" borderId="0" xfId="0" applyFont="1" applyAlignment="1">
      <alignment horizontal="right"/>
    </xf>
    <xf numFmtId="0" fontId="95" fillId="0" borderId="0" xfId="9" applyFont="1" applyAlignment="1">
      <alignment horizontal="center"/>
    </xf>
    <xf numFmtId="0" fontId="47" fillId="0" borderId="6" xfId="0" quotePrefix="1" applyFont="1" applyBorder="1" applyAlignment="1">
      <alignment horizontal="left" vertical="top" wrapText="1"/>
    </xf>
    <xf numFmtId="0" fontId="47" fillId="0" borderId="0" xfId="0" quotePrefix="1" applyFont="1" applyBorder="1" applyAlignment="1">
      <alignment horizontal="left" vertical="top" wrapText="1"/>
    </xf>
    <xf numFmtId="0" fontId="47" fillId="0" borderId="8" xfId="0" quotePrefix="1" applyFont="1" applyBorder="1" applyAlignment="1">
      <alignment horizontal="left" vertical="top" wrapText="1"/>
    </xf>
    <xf numFmtId="0" fontId="47" fillId="0" borderId="12" xfId="0" quotePrefix="1" applyFont="1" applyBorder="1" applyAlignment="1">
      <alignment horizontal="left" vertical="top" wrapText="1"/>
    </xf>
    <xf numFmtId="0" fontId="47" fillId="0" borderId="7" xfId="0" quotePrefix="1" applyFont="1" applyBorder="1" applyAlignment="1">
      <alignment horizontal="left" vertical="top" wrapText="1"/>
    </xf>
    <xf numFmtId="0" fontId="47" fillId="0" borderId="13" xfId="0" quotePrefix="1" applyFont="1" applyBorder="1" applyAlignment="1">
      <alignment horizontal="left" vertical="top" wrapText="1"/>
    </xf>
    <xf numFmtId="0" fontId="28" fillId="14" borderId="0" xfId="0" applyFont="1" applyFill="1" applyAlignment="1">
      <alignment horizontal="center"/>
    </xf>
    <xf numFmtId="0" fontId="47" fillId="0" borderId="0" xfId="0" applyFont="1" applyBorder="1" applyAlignment="1">
      <alignment horizontal="left" vertical="top" wrapText="1"/>
    </xf>
    <xf numFmtId="0" fontId="47" fillId="0" borderId="8" xfId="0" applyFont="1" applyBorder="1" applyAlignment="1">
      <alignment horizontal="left" vertical="top" wrapText="1"/>
    </xf>
    <xf numFmtId="0" fontId="47" fillId="0" borderId="6" xfId="0" applyFont="1" applyBorder="1" applyAlignment="1">
      <alignment horizontal="left" vertical="top" wrapText="1"/>
    </xf>
    <xf numFmtId="0" fontId="47" fillId="0" borderId="12" xfId="0" applyFont="1" applyBorder="1" applyAlignment="1">
      <alignment horizontal="left" vertical="top" wrapText="1"/>
    </xf>
    <xf numFmtId="0" fontId="47" fillId="0" borderId="7" xfId="0" applyFont="1" applyBorder="1" applyAlignment="1">
      <alignment horizontal="left" vertical="top" wrapText="1"/>
    </xf>
    <xf numFmtId="0" fontId="47" fillId="0" borderId="13" xfId="0" applyFont="1" applyBorder="1" applyAlignment="1">
      <alignment horizontal="left" vertical="top" wrapText="1"/>
    </xf>
    <xf numFmtId="0" fontId="5" fillId="0" borderId="6" xfId="2" applyFont="1" applyBorder="1" applyAlignment="1">
      <alignment horizontal="left"/>
    </xf>
    <xf numFmtId="0" fontId="5" fillId="0" borderId="0" xfId="2" applyFont="1" applyBorder="1" applyAlignment="1">
      <alignment horizontal="left"/>
    </xf>
    <xf numFmtId="3" fontId="41" fillId="0" borderId="11" xfId="2" applyNumberFormat="1" applyFont="1" applyBorder="1" applyAlignment="1">
      <alignment horizontal="center"/>
    </xf>
    <xf numFmtId="3" fontId="34" fillId="0" borderId="8" xfId="2" applyNumberFormat="1" applyFont="1" applyBorder="1" applyAlignment="1">
      <alignment horizontal="center"/>
    </xf>
    <xf numFmtId="3" fontId="34" fillId="0" borderId="0" xfId="2" applyNumberFormat="1" applyFont="1" applyAlignment="1">
      <alignment horizontal="center"/>
    </xf>
    <xf numFmtId="3" fontId="5" fillId="0" borderId="7" xfId="2" applyNumberFormat="1" applyFont="1" applyBorder="1" applyAlignment="1">
      <alignment horizontal="center"/>
    </xf>
    <xf numFmtId="3" fontId="5" fillId="0" borderId="9" xfId="2" applyNumberFormat="1" applyFont="1" applyBorder="1" applyAlignment="1">
      <alignment horizontal="center"/>
    </xf>
    <xf numFmtId="3" fontId="5" fillId="0" borderId="10" xfId="2" applyNumberFormat="1" applyFont="1" applyBorder="1" applyAlignment="1">
      <alignment horizontal="center"/>
    </xf>
    <xf numFmtId="0" fontId="5" fillId="0" borderId="0" xfId="2" applyFont="1" applyAlignment="1">
      <alignment horizontal="left"/>
    </xf>
    <xf numFmtId="3" fontId="5" fillId="0" borderId="0" xfId="2" applyNumberFormat="1" applyFont="1" applyAlignment="1">
      <alignment horizontal="center"/>
    </xf>
    <xf numFmtId="3" fontId="5" fillId="0" borderId="11" xfId="2" applyNumberFormat="1" applyFont="1" applyBorder="1" applyAlignment="1">
      <alignment horizontal="center"/>
    </xf>
    <xf numFmtId="10" fontId="34" fillId="0" borderId="8" xfId="3" applyNumberFormat="1" applyFont="1" applyBorder="1" applyAlignment="1">
      <alignment horizontal="center"/>
    </xf>
    <xf numFmtId="10" fontId="34" fillId="0" borderId="0" xfId="3" applyNumberFormat="1" applyFont="1" applyAlignment="1">
      <alignment horizontal="center"/>
    </xf>
    <xf numFmtId="10" fontId="5" fillId="0" borderId="11" xfId="1" applyNumberFormat="1" applyFont="1" applyBorder="1" applyAlignment="1">
      <alignment horizontal="center"/>
    </xf>
    <xf numFmtId="0" fontId="32" fillId="0" borderId="14" xfId="2" applyFont="1" applyBorder="1" applyAlignment="1">
      <alignment horizontal="right"/>
    </xf>
    <xf numFmtId="0" fontId="32" fillId="0" borderId="11" xfId="2" applyFont="1" applyBorder="1" applyAlignment="1">
      <alignment horizontal="right"/>
    </xf>
    <xf numFmtId="164" fontId="32" fillId="0" borderId="11" xfId="2" applyNumberFormat="1" applyFont="1" applyBorder="1" applyAlignment="1">
      <alignment horizontal="center"/>
    </xf>
    <xf numFmtId="164" fontId="32" fillId="0" borderId="15" xfId="2" applyNumberFormat="1" applyFont="1" applyBorder="1" applyAlignment="1">
      <alignment horizontal="center"/>
    </xf>
    <xf numFmtId="3" fontId="42" fillId="0" borderId="0" xfId="2" applyNumberFormat="1" applyFont="1" applyAlignment="1">
      <alignment horizontal="center"/>
    </xf>
    <xf numFmtId="3" fontId="5" fillId="0" borderId="16" xfId="2" applyNumberFormat="1" applyFont="1" applyBorder="1" applyAlignment="1">
      <alignment horizontal="center"/>
    </xf>
    <xf numFmtId="3" fontId="38" fillId="0" borderId="16" xfId="2" applyNumberFormat="1" applyFont="1" applyBorder="1" applyAlignment="1">
      <alignment horizontal="center"/>
    </xf>
    <xf numFmtId="3" fontId="5" fillId="0" borderId="18" xfId="2" applyNumberFormat="1" applyFont="1" applyBorder="1" applyAlignment="1">
      <alignment horizontal="center"/>
    </xf>
    <xf numFmtId="3" fontId="5" fillId="0" borderId="0" xfId="2" applyNumberFormat="1" applyFont="1" applyBorder="1" applyAlignment="1">
      <alignment horizontal="center"/>
    </xf>
    <xf numFmtId="10" fontId="5" fillId="0" borderId="0" xfId="3" applyNumberFormat="1" applyFont="1" applyAlignment="1">
      <alignment horizontal="center"/>
    </xf>
    <xf numFmtId="0" fontId="40" fillId="0" borderId="14" xfId="2" applyFont="1" applyBorder="1" applyAlignment="1">
      <alignment horizontal="right"/>
    </xf>
    <xf numFmtId="0" fontId="40" fillId="0" borderId="11" xfId="2" applyFont="1" applyBorder="1" applyAlignment="1">
      <alignment horizontal="right"/>
    </xf>
    <xf numFmtId="164" fontId="40" fillId="0" borderId="11" xfId="2" applyNumberFormat="1" applyFont="1" applyBorder="1" applyAlignment="1">
      <alignment horizontal="center"/>
    </xf>
    <xf numFmtId="164" fontId="40" fillId="0" borderId="15" xfId="2" applyNumberFormat="1" applyFont="1" applyBorder="1" applyAlignment="1">
      <alignment horizontal="center"/>
    </xf>
    <xf numFmtId="0" fontId="5" fillId="0" borderId="17" xfId="2" applyFont="1" applyBorder="1" applyAlignment="1">
      <alignment horizontal="left"/>
    </xf>
    <xf numFmtId="0" fontId="5" fillId="0" borderId="10" xfId="2" applyFont="1" applyBorder="1" applyAlignment="1">
      <alignment horizontal="left"/>
    </xf>
    <xf numFmtId="3" fontId="5" fillId="0" borderId="8" xfId="2" applyNumberFormat="1" applyFont="1" applyBorder="1" applyAlignment="1">
      <alignment horizontal="center"/>
    </xf>
    <xf numFmtId="3" fontId="5" fillId="0" borderId="0" xfId="2" applyNumberFormat="1" applyFont="1" applyAlignment="1">
      <alignment horizontal="center" wrapText="1"/>
    </xf>
    <xf numFmtId="3" fontId="5" fillId="0" borderId="8" xfId="2" applyNumberFormat="1" applyFont="1" applyBorder="1" applyAlignment="1">
      <alignment horizontal="center" wrapText="1"/>
    </xf>
    <xf numFmtId="3" fontId="42" fillId="0" borderId="7" xfId="2" applyNumberFormat="1" applyFont="1" applyBorder="1" applyAlignment="1">
      <alignment horizontal="center"/>
    </xf>
    <xf numFmtId="3" fontId="42" fillId="0" borderId="13" xfId="2" applyNumberFormat="1" applyFont="1" applyBorder="1" applyAlignment="1">
      <alignment horizontal="center"/>
    </xf>
    <xf numFmtId="3" fontId="5" fillId="0" borderId="15" xfId="2" applyNumberFormat="1" applyFont="1" applyBorder="1" applyAlignment="1">
      <alignment horizontal="center"/>
    </xf>
    <xf numFmtId="0" fontId="8" fillId="0" borderId="14" xfId="2" applyFont="1" applyBorder="1" applyAlignment="1">
      <alignment horizontal="right"/>
    </xf>
    <xf numFmtId="0" fontId="8" fillId="0" borderId="11" xfId="2" applyFont="1" applyBorder="1" applyAlignment="1">
      <alignment horizontal="right"/>
    </xf>
    <xf numFmtId="164" fontId="8" fillId="0" borderId="11" xfId="2" applyNumberFormat="1" applyFont="1" applyBorder="1" applyAlignment="1">
      <alignment horizontal="center"/>
    </xf>
    <xf numFmtId="164" fontId="8" fillId="0" borderId="15" xfId="2" applyNumberFormat="1" applyFont="1" applyBorder="1" applyAlignment="1">
      <alignment horizontal="center"/>
    </xf>
    <xf numFmtId="181" fontId="98" fillId="0" borderId="28" xfId="17" quotePrefix="1" applyNumberFormat="1" applyFont="1" applyBorder="1" applyAlignment="1">
      <alignment horizontal="left"/>
    </xf>
    <xf numFmtId="181" fontId="98" fillId="0" borderId="16" xfId="17" applyNumberFormat="1" applyFont="1" applyBorder="1" applyAlignment="1">
      <alignment horizontal="left"/>
    </xf>
    <xf numFmtId="181" fontId="98" fillId="0" borderId="18" xfId="17" applyNumberFormat="1" applyFont="1" applyBorder="1" applyAlignment="1">
      <alignment horizontal="left"/>
    </xf>
    <xf numFmtId="0" fontId="38" fillId="0" borderId="17" xfId="2" applyFont="1" applyBorder="1" applyAlignment="1">
      <alignment horizontal="center" wrapText="1"/>
    </xf>
    <xf numFmtId="0" fontId="38" fillId="0" borderId="6" xfId="2" applyFont="1" applyBorder="1" applyAlignment="1">
      <alignment horizontal="center" wrapText="1"/>
    </xf>
    <xf numFmtId="3" fontId="38" fillId="0" borderId="10" xfId="2" applyNumberFormat="1" applyFont="1" applyBorder="1" applyAlignment="1">
      <alignment horizontal="center"/>
    </xf>
    <xf numFmtId="3" fontId="38" fillId="0" borderId="0" xfId="2" applyNumberFormat="1" applyFont="1" applyAlignment="1">
      <alignment horizontal="center"/>
    </xf>
    <xf numFmtId="3" fontId="39" fillId="0" borderId="10" xfId="2" applyNumberFormat="1" applyFont="1" applyBorder="1" applyAlignment="1">
      <alignment horizontal="center" wrapText="1"/>
    </xf>
    <xf numFmtId="3" fontId="39" fillId="0" borderId="0" xfId="2" applyNumberFormat="1" applyFont="1" applyAlignment="1">
      <alignment horizontal="center" wrapText="1"/>
    </xf>
    <xf numFmtId="3" fontId="38" fillId="0" borderId="10" xfId="2" applyNumberFormat="1" applyFont="1" applyBorder="1" applyAlignment="1">
      <alignment horizontal="center" wrapText="1"/>
    </xf>
    <xf numFmtId="3" fontId="38" fillId="0" borderId="0" xfId="2" applyNumberFormat="1" applyFont="1" applyAlignment="1">
      <alignment horizontal="center" wrapText="1"/>
    </xf>
    <xf numFmtId="2" fontId="38" fillId="0" borderId="10" xfId="2" applyNumberFormat="1" applyFont="1" applyBorder="1" applyAlignment="1">
      <alignment horizontal="center" wrapText="1"/>
    </xf>
    <xf numFmtId="2" fontId="38" fillId="0" borderId="9" xfId="2" applyNumberFormat="1" applyFont="1" applyBorder="1" applyAlignment="1">
      <alignment horizontal="center" wrapText="1"/>
    </xf>
    <xf numFmtId="2" fontId="38" fillId="0" borderId="0" xfId="2" applyNumberFormat="1" applyFont="1" applyAlignment="1">
      <alignment horizontal="center" wrapText="1"/>
    </xf>
    <xf numFmtId="2" fontId="38" fillId="0" borderId="8" xfId="2" applyNumberFormat="1" applyFont="1" applyBorder="1" applyAlignment="1">
      <alignment horizontal="center" wrapText="1"/>
    </xf>
    <xf numFmtId="0" fontId="5" fillId="0" borderId="6" xfId="2" applyFont="1" applyBorder="1" applyAlignment="1">
      <alignment horizontal="left" wrapText="1" indent="2"/>
    </xf>
    <xf numFmtId="0" fontId="5" fillId="0" borderId="0" xfId="2" applyFont="1" applyAlignment="1">
      <alignment horizontal="left" wrapText="1" indent="2"/>
    </xf>
    <xf numFmtId="0" fontId="39" fillId="6" borderId="14" xfId="0" applyFont="1" applyFill="1" applyBorder="1" applyAlignment="1">
      <alignment horizontal="center"/>
    </xf>
    <xf numFmtId="0" fontId="39" fillId="6" borderId="11" xfId="0" applyFont="1" applyFill="1" applyBorder="1" applyAlignment="1">
      <alignment horizontal="center"/>
    </xf>
    <xf numFmtId="0" fontId="39" fillId="6" borderId="15" xfId="0" applyFont="1" applyFill="1" applyBorder="1" applyAlignment="1">
      <alignment horizontal="center"/>
    </xf>
    <xf numFmtId="192" fontId="42" fillId="0" borderId="28" xfId="0" applyNumberFormat="1" applyFont="1" applyBorder="1" applyAlignment="1">
      <alignment horizontal="left" indent="2"/>
    </xf>
    <xf numFmtId="168" fontId="42" fillId="0" borderId="16" xfId="6" applyNumberFormat="1" applyFont="1" applyBorder="1"/>
    <xf numFmtId="168" fontId="42" fillId="0" borderId="18" xfId="6" applyNumberFormat="1" applyFont="1" applyBorder="1"/>
  </cellXfs>
  <cellStyles count="18">
    <cellStyle name="Comma" xfId="6" builtinId="3"/>
    <cellStyle name="Currency" xfId="17" builtinId="4"/>
    <cellStyle name="Currency 7" xfId="15" xr:uid="{E5ECE2D4-8F5F-0848-A7EE-B51D469E24C3}"/>
    <cellStyle name="Hyperlink" xfId="7" builtinId="8"/>
    <cellStyle name="Hyperlink 2" xfId="5" xr:uid="{7776F370-1B78-4BA2-9F34-4F5848B5ACB1}"/>
    <cellStyle name="Normal" xfId="0" builtinId="0"/>
    <cellStyle name="Normal 10 2" xfId="8" xr:uid="{703A2FB7-DA18-4D46-BEF5-72C248D81835}"/>
    <cellStyle name="Normal 2" xfId="10" xr:uid="{59C04581-E53B-354D-AF63-4469E823FFD0}"/>
    <cellStyle name="Normal 2 2" xfId="2" xr:uid="{8C7F8307-305F-4B04-BF03-57B0A33AD25E}"/>
    <cellStyle name="Normal 3" xfId="9" xr:uid="{32787F45-A298-554D-91FE-BD5AD7C5B483}"/>
    <cellStyle name="Normal 4" xfId="11" xr:uid="{062C8ACA-DE08-A24C-8D93-DBEF9030C346}"/>
    <cellStyle name="Normal 4 2" xfId="13" xr:uid="{A371FB99-3A9E-994E-B9EB-BDFFC428B6CD}"/>
    <cellStyle name="Normal 5" xfId="16" xr:uid="{EE23D8C3-3B02-8B49-99EF-7AE9F5482FBD}"/>
    <cellStyle name="Percent" xfId="1" builtinId="5"/>
    <cellStyle name="Percent 2" xfId="12" xr:uid="{BBDA7009-B3F7-4F47-A8DB-7071F4E2ACA7}"/>
    <cellStyle name="Percent 2 2" xfId="3" xr:uid="{12D6B996-8C28-4397-8A51-59C310F475A2}"/>
    <cellStyle name="Percent 4 2" xfId="14" xr:uid="{4169F216-B1F3-6F42-8C70-5A35EDC9230D}"/>
    <cellStyle name="Percent 5" xfId="4" xr:uid="{4086FA69-E90E-4CDE-868D-1B2B17E97D99}"/>
  </cellStyles>
  <dxfs count="0"/>
  <tableStyles count="0" defaultTableStyle="TableStyleMedium2" defaultPivotStyle="PivotStyleLight16"/>
  <colors>
    <mruColors>
      <color rgb="FFDCD5CE"/>
      <color rgb="FF1432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215900</xdr:colOff>
      <xdr:row>1</xdr:row>
      <xdr:rowOff>0</xdr:rowOff>
    </xdr:from>
    <xdr:to>
      <xdr:col>5</xdr:col>
      <xdr:colOff>2273300</xdr:colOff>
      <xdr:row>3</xdr:row>
      <xdr:rowOff>128537</xdr:rowOff>
    </xdr:to>
    <xdr:pic>
      <xdr:nvPicPr>
        <xdr:cNvPr id="4" name="Picture 3">
          <a:extLst>
            <a:ext uri="{FF2B5EF4-FFF2-40B4-BE49-F238E27FC236}">
              <a16:creationId xmlns:a16="http://schemas.microsoft.com/office/drawing/2014/main" id="{C51BF7C4-FB3F-D140-B075-64D123C17F21}"/>
            </a:ext>
          </a:extLst>
        </xdr:cNvPr>
        <xdr:cNvPicPr>
          <a:picLocks noChangeAspect="1"/>
        </xdr:cNvPicPr>
      </xdr:nvPicPr>
      <xdr:blipFill rotWithShape="1">
        <a:blip xmlns:r="http://schemas.openxmlformats.org/officeDocument/2006/relationships" r:embed="rId1"/>
        <a:srcRect t="33808" b="37722"/>
        <a:stretch/>
      </xdr:blipFill>
      <xdr:spPr>
        <a:xfrm>
          <a:off x="7442200" y="190500"/>
          <a:ext cx="2057400" cy="5857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55880</xdr:colOff>
      <xdr:row>19</xdr:row>
      <xdr:rowOff>0</xdr:rowOff>
    </xdr:from>
    <xdr:to>
      <xdr:col>14</xdr:col>
      <xdr:colOff>815340</xdr:colOff>
      <xdr:row>35</xdr:row>
      <xdr:rowOff>118159</xdr:rowOff>
    </xdr:to>
    <xdr:pic>
      <xdr:nvPicPr>
        <xdr:cNvPr id="2" name="Picture 1">
          <a:extLst>
            <a:ext uri="{FF2B5EF4-FFF2-40B4-BE49-F238E27FC236}">
              <a16:creationId xmlns:a16="http://schemas.microsoft.com/office/drawing/2014/main" id="{73FF3ED1-0E7C-4049-BDB8-51497258A4BE}"/>
            </a:ext>
          </a:extLst>
        </xdr:cNvPr>
        <xdr:cNvPicPr>
          <a:picLocks noChangeAspect="1"/>
        </xdr:cNvPicPr>
      </xdr:nvPicPr>
      <xdr:blipFill>
        <a:blip xmlns:r="http://schemas.openxmlformats.org/officeDocument/2006/relationships" r:embed="rId1"/>
        <a:stretch>
          <a:fillRect/>
        </a:stretch>
      </xdr:blipFill>
      <xdr:spPr>
        <a:xfrm>
          <a:off x="5400040" y="1198880"/>
          <a:ext cx="5361940" cy="3237279"/>
        </a:xfrm>
        <a:prstGeom prst="rect">
          <a:avLst/>
        </a:prstGeom>
      </xdr:spPr>
    </xdr:pic>
    <xdr:clientData/>
  </xdr:twoCellAnchor>
  <xdr:twoCellAnchor editAs="oneCell">
    <xdr:from>
      <xdr:col>8</xdr:col>
      <xdr:colOff>68580</xdr:colOff>
      <xdr:row>35</xdr:row>
      <xdr:rowOff>165100</xdr:rowOff>
    </xdr:from>
    <xdr:to>
      <xdr:col>14</xdr:col>
      <xdr:colOff>812800</xdr:colOff>
      <xdr:row>57</xdr:row>
      <xdr:rowOff>10160</xdr:rowOff>
    </xdr:to>
    <xdr:pic>
      <xdr:nvPicPr>
        <xdr:cNvPr id="3" name="Picture 2">
          <a:extLst>
            <a:ext uri="{FF2B5EF4-FFF2-40B4-BE49-F238E27FC236}">
              <a16:creationId xmlns:a16="http://schemas.microsoft.com/office/drawing/2014/main" id="{67F058FC-FDF6-7A45-A088-036ACDDBDFC3}"/>
            </a:ext>
          </a:extLst>
        </xdr:cNvPr>
        <xdr:cNvPicPr>
          <a:picLocks noChangeAspect="1"/>
        </xdr:cNvPicPr>
      </xdr:nvPicPr>
      <xdr:blipFill rotWithShape="1">
        <a:blip xmlns:r="http://schemas.openxmlformats.org/officeDocument/2006/relationships" r:embed="rId2"/>
        <a:srcRect l="9907" r="17198" b="2332"/>
        <a:stretch/>
      </xdr:blipFill>
      <xdr:spPr>
        <a:xfrm>
          <a:off x="5473700" y="7266940"/>
          <a:ext cx="5346700" cy="4091940"/>
        </a:xfrm>
        <a:prstGeom prst="rect">
          <a:avLst/>
        </a:prstGeom>
      </xdr:spPr>
    </xdr:pic>
    <xdr:clientData/>
  </xdr:twoCellAnchor>
  <xdr:twoCellAnchor editAs="oneCell">
    <xdr:from>
      <xdr:col>1</xdr:col>
      <xdr:colOff>0</xdr:colOff>
      <xdr:row>29</xdr:row>
      <xdr:rowOff>63501</xdr:rowOff>
    </xdr:from>
    <xdr:to>
      <xdr:col>8</xdr:col>
      <xdr:colOff>10160</xdr:colOff>
      <xdr:row>42</xdr:row>
      <xdr:rowOff>111371</xdr:rowOff>
    </xdr:to>
    <xdr:pic>
      <xdr:nvPicPr>
        <xdr:cNvPr id="5" name="Picture 4">
          <a:extLst>
            <a:ext uri="{FF2B5EF4-FFF2-40B4-BE49-F238E27FC236}">
              <a16:creationId xmlns:a16="http://schemas.microsoft.com/office/drawing/2014/main" id="{14334303-AD35-634F-AD35-CA42DA9C661B}"/>
            </a:ext>
          </a:extLst>
        </xdr:cNvPr>
        <xdr:cNvPicPr>
          <a:picLocks noChangeAspect="1"/>
        </xdr:cNvPicPr>
      </xdr:nvPicPr>
      <xdr:blipFill rotWithShape="1">
        <a:blip xmlns:r="http://schemas.openxmlformats.org/officeDocument/2006/relationships" r:embed="rId3"/>
        <a:srcRect b="24682"/>
        <a:stretch/>
      </xdr:blipFill>
      <xdr:spPr>
        <a:xfrm>
          <a:off x="243840" y="6007101"/>
          <a:ext cx="5171440" cy="2557390"/>
        </a:xfrm>
        <a:prstGeom prst="rect">
          <a:avLst/>
        </a:prstGeom>
      </xdr:spPr>
    </xdr:pic>
    <xdr:clientData/>
  </xdr:twoCellAnchor>
  <xdr:twoCellAnchor editAs="oneCell">
    <xdr:from>
      <xdr:col>1</xdr:col>
      <xdr:colOff>0</xdr:colOff>
      <xdr:row>42</xdr:row>
      <xdr:rowOff>127000</xdr:rowOff>
    </xdr:from>
    <xdr:to>
      <xdr:col>8</xdr:col>
      <xdr:colOff>11274</xdr:colOff>
      <xdr:row>57</xdr:row>
      <xdr:rowOff>0</xdr:rowOff>
    </xdr:to>
    <xdr:pic>
      <xdr:nvPicPr>
        <xdr:cNvPr id="6" name="Picture 5">
          <a:extLst>
            <a:ext uri="{FF2B5EF4-FFF2-40B4-BE49-F238E27FC236}">
              <a16:creationId xmlns:a16="http://schemas.microsoft.com/office/drawing/2014/main" id="{F207012A-5518-7F40-8CBE-4F03FB954C7E}"/>
            </a:ext>
          </a:extLst>
        </xdr:cNvPr>
        <xdr:cNvPicPr>
          <a:picLocks noChangeAspect="1"/>
        </xdr:cNvPicPr>
      </xdr:nvPicPr>
      <xdr:blipFill rotWithShape="1">
        <a:blip xmlns:r="http://schemas.openxmlformats.org/officeDocument/2006/relationships" r:embed="rId4"/>
        <a:srcRect l="1461" t="14687" b="19062"/>
        <a:stretch/>
      </xdr:blipFill>
      <xdr:spPr>
        <a:xfrm>
          <a:off x="243840" y="8580120"/>
          <a:ext cx="5172554" cy="2768600"/>
        </a:xfrm>
        <a:prstGeom prst="rect">
          <a:avLst/>
        </a:prstGeom>
      </xdr:spPr>
    </xdr:pic>
    <xdr:clientData/>
  </xdr:twoCellAnchor>
  <xdr:oneCellAnchor>
    <xdr:from>
      <xdr:col>8</xdr:col>
      <xdr:colOff>68580</xdr:colOff>
      <xdr:row>77</xdr:row>
      <xdr:rowOff>165100</xdr:rowOff>
    </xdr:from>
    <xdr:ext cx="5356860" cy="4041140"/>
    <xdr:pic>
      <xdr:nvPicPr>
        <xdr:cNvPr id="8" name="Picture 7">
          <a:extLst>
            <a:ext uri="{FF2B5EF4-FFF2-40B4-BE49-F238E27FC236}">
              <a16:creationId xmlns:a16="http://schemas.microsoft.com/office/drawing/2014/main" id="{384071F6-0FCB-D64D-BC67-972FD1E0FA31}"/>
            </a:ext>
          </a:extLst>
        </xdr:cNvPr>
        <xdr:cNvPicPr>
          <a:picLocks noChangeAspect="1"/>
        </xdr:cNvPicPr>
      </xdr:nvPicPr>
      <xdr:blipFill rotWithShape="1">
        <a:blip xmlns:r="http://schemas.openxmlformats.org/officeDocument/2006/relationships" r:embed="rId2"/>
        <a:srcRect l="9907" r="16141" b="2332"/>
        <a:stretch/>
      </xdr:blipFill>
      <xdr:spPr>
        <a:xfrm>
          <a:off x="5412740" y="4483100"/>
          <a:ext cx="5356860" cy="4041140"/>
        </a:xfrm>
        <a:prstGeom prst="rect">
          <a:avLst/>
        </a:prstGeom>
      </xdr:spPr>
    </xdr:pic>
    <xdr:clientData/>
  </xdr:oneCellAnchor>
  <xdr:twoCellAnchor editAs="oneCell">
    <xdr:from>
      <xdr:col>8</xdr:col>
      <xdr:colOff>71120</xdr:colOff>
      <xdr:row>61</xdr:row>
      <xdr:rowOff>0</xdr:rowOff>
    </xdr:from>
    <xdr:to>
      <xdr:col>15</xdr:col>
      <xdr:colOff>30480</xdr:colOff>
      <xdr:row>77</xdr:row>
      <xdr:rowOff>149168</xdr:rowOff>
    </xdr:to>
    <xdr:pic>
      <xdr:nvPicPr>
        <xdr:cNvPr id="11" name="Picture 10">
          <a:extLst>
            <a:ext uri="{FF2B5EF4-FFF2-40B4-BE49-F238E27FC236}">
              <a16:creationId xmlns:a16="http://schemas.microsoft.com/office/drawing/2014/main" id="{F1BCE9A4-9118-5C40-8615-63F20C6D74D6}"/>
            </a:ext>
          </a:extLst>
        </xdr:cNvPr>
        <xdr:cNvPicPr>
          <a:picLocks noChangeAspect="1"/>
        </xdr:cNvPicPr>
      </xdr:nvPicPr>
      <xdr:blipFill>
        <a:blip xmlns:r="http://schemas.openxmlformats.org/officeDocument/2006/relationships" r:embed="rId5"/>
        <a:stretch>
          <a:fillRect/>
        </a:stretch>
      </xdr:blipFill>
      <xdr:spPr>
        <a:xfrm>
          <a:off x="5476240" y="12120880"/>
          <a:ext cx="5384800" cy="3268288"/>
        </a:xfrm>
        <a:prstGeom prst="rect">
          <a:avLst/>
        </a:prstGeom>
      </xdr:spPr>
    </xdr:pic>
    <xdr:clientData/>
  </xdr:twoCellAnchor>
  <xdr:twoCellAnchor editAs="oneCell">
    <xdr:from>
      <xdr:col>8</xdr:col>
      <xdr:colOff>71120</xdr:colOff>
      <xdr:row>77</xdr:row>
      <xdr:rowOff>162559</xdr:rowOff>
    </xdr:from>
    <xdr:to>
      <xdr:col>15</xdr:col>
      <xdr:colOff>43550</xdr:colOff>
      <xdr:row>99</xdr:row>
      <xdr:rowOff>0</xdr:rowOff>
    </xdr:to>
    <xdr:pic>
      <xdr:nvPicPr>
        <xdr:cNvPr id="12" name="Picture 11">
          <a:extLst>
            <a:ext uri="{FF2B5EF4-FFF2-40B4-BE49-F238E27FC236}">
              <a16:creationId xmlns:a16="http://schemas.microsoft.com/office/drawing/2014/main" id="{1A24D95D-9AE0-2F49-A06D-30E9B023665C}"/>
            </a:ext>
          </a:extLst>
        </xdr:cNvPr>
        <xdr:cNvPicPr>
          <a:picLocks noChangeAspect="1"/>
        </xdr:cNvPicPr>
      </xdr:nvPicPr>
      <xdr:blipFill rotWithShape="1">
        <a:blip xmlns:r="http://schemas.openxmlformats.org/officeDocument/2006/relationships" r:embed="rId6"/>
        <a:srcRect l="5296" t="16916" r="32804" b="208"/>
        <a:stretch/>
      </xdr:blipFill>
      <xdr:spPr>
        <a:xfrm>
          <a:off x="5476240" y="15402559"/>
          <a:ext cx="5397870" cy="4084321"/>
        </a:xfrm>
        <a:prstGeom prst="rect">
          <a:avLst/>
        </a:prstGeom>
      </xdr:spPr>
    </xdr:pic>
    <xdr:clientData/>
  </xdr:twoCellAnchor>
  <xdr:twoCellAnchor editAs="oneCell">
    <xdr:from>
      <xdr:col>1</xdr:col>
      <xdr:colOff>0</xdr:colOff>
      <xdr:row>71</xdr:row>
      <xdr:rowOff>50800</xdr:rowOff>
    </xdr:from>
    <xdr:to>
      <xdr:col>8</xdr:col>
      <xdr:colOff>10648</xdr:colOff>
      <xdr:row>84</xdr:row>
      <xdr:rowOff>111759</xdr:rowOff>
    </xdr:to>
    <xdr:pic>
      <xdr:nvPicPr>
        <xdr:cNvPr id="13" name="Picture 12">
          <a:extLst>
            <a:ext uri="{FF2B5EF4-FFF2-40B4-BE49-F238E27FC236}">
              <a16:creationId xmlns:a16="http://schemas.microsoft.com/office/drawing/2014/main" id="{494CF614-6F23-1A43-9ED7-287212093CC0}"/>
            </a:ext>
          </a:extLst>
        </xdr:cNvPr>
        <xdr:cNvPicPr>
          <a:picLocks noChangeAspect="1"/>
        </xdr:cNvPicPr>
      </xdr:nvPicPr>
      <xdr:blipFill rotWithShape="1">
        <a:blip xmlns:r="http://schemas.openxmlformats.org/officeDocument/2006/relationships" r:embed="rId7"/>
        <a:srcRect l="988" t="2731" b="12271"/>
        <a:stretch/>
      </xdr:blipFill>
      <xdr:spPr>
        <a:xfrm>
          <a:off x="243840" y="14132560"/>
          <a:ext cx="5171928" cy="2570479"/>
        </a:xfrm>
        <a:prstGeom prst="rect">
          <a:avLst/>
        </a:prstGeom>
      </xdr:spPr>
    </xdr:pic>
    <xdr:clientData/>
  </xdr:twoCellAnchor>
  <xdr:twoCellAnchor editAs="oneCell">
    <xdr:from>
      <xdr:col>1</xdr:col>
      <xdr:colOff>10160</xdr:colOff>
      <xdr:row>84</xdr:row>
      <xdr:rowOff>152401</xdr:rowOff>
    </xdr:from>
    <xdr:to>
      <xdr:col>8</xdr:col>
      <xdr:colOff>10160</xdr:colOff>
      <xdr:row>98</xdr:row>
      <xdr:rowOff>179859</xdr:rowOff>
    </xdr:to>
    <xdr:pic>
      <xdr:nvPicPr>
        <xdr:cNvPr id="14" name="Picture 13">
          <a:extLst>
            <a:ext uri="{FF2B5EF4-FFF2-40B4-BE49-F238E27FC236}">
              <a16:creationId xmlns:a16="http://schemas.microsoft.com/office/drawing/2014/main" id="{3C079961-3716-EB4F-A9C6-DD8C7A91A504}"/>
            </a:ext>
          </a:extLst>
        </xdr:cNvPr>
        <xdr:cNvPicPr>
          <a:picLocks noChangeAspect="1"/>
        </xdr:cNvPicPr>
      </xdr:nvPicPr>
      <xdr:blipFill rotWithShape="1">
        <a:blip xmlns:r="http://schemas.openxmlformats.org/officeDocument/2006/relationships" r:embed="rId8"/>
        <a:srcRect b="10051"/>
        <a:stretch/>
      </xdr:blipFill>
      <xdr:spPr>
        <a:xfrm>
          <a:off x="254000" y="16743681"/>
          <a:ext cx="5161280" cy="2730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660401</xdr:colOff>
      <xdr:row>1</xdr:row>
      <xdr:rowOff>177800</xdr:rowOff>
    </xdr:from>
    <xdr:to>
      <xdr:col>27</xdr:col>
      <xdr:colOff>101601</xdr:colOff>
      <xdr:row>29</xdr:row>
      <xdr:rowOff>50800</xdr:rowOff>
    </xdr:to>
    <xdr:sp macro="" textlink="">
      <xdr:nvSpPr>
        <xdr:cNvPr id="2" name="TextBox 1">
          <a:extLst>
            <a:ext uri="{FF2B5EF4-FFF2-40B4-BE49-F238E27FC236}">
              <a16:creationId xmlns:a16="http://schemas.microsoft.com/office/drawing/2014/main" id="{13EE4839-9B5C-5B4B-9784-7F735970FD82}"/>
            </a:ext>
          </a:extLst>
        </xdr:cNvPr>
        <xdr:cNvSpPr txBox="1"/>
      </xdr:nvSpPr>
      <xdr:spPr>
        <a:xfrm>
          <a:off x="21780501" y="368300"/>
          <a:ext cx="6870700" cy="544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CALCULATING REAL</a:t>
          </a:r>
          <a:r>
            <a:rPr lang="en-US" sz="1100" b="1" u="sng" baseline="0"/>
            <a:t> ESTATE TAXES</a:t>
          </a:r>
          <a:endParaRPr lang="en-US" sz="1100" b="1" baseline="0"/>
        </a:p>
        <a:p>
          <a:r>
            <a:rPr lang="en-US" sz="1100" b="1" baseline="0"/>
            <a:t>Property Taxes for Project Under Construction</a:t>
          </a:r>
          <a:endParaRPr lang="en-US" sz="1100" b="0" baseline="0"/>
        </a:p>
        <a:p>
          <a:r>
            <a:rPr lang="en-US" sz="1100" b="0" baseline="0"/>
            <a:t>During construction, you're only going to be taxed on the % of stored values. The taxes due are based on the month for which they're assessed i.e. if in January, taxes are assessed, and you've completed 40% of the project, then taxes are due at that time based on 40% of stored values (stored value x tax rate = taxes due, assuming the stored value is the same as the assessed value)</a:t>
          </a:r>
        </a:p>
        <a:p>
          <a:endParaRPr lang="en-US" sz="1100" b="1" baseline="0"/>
        </a:p>
        <a:p>
          <a:r>
            <a:rPr lang="en-US" sz="1100" b="1" baseline="0"/>
            <a:t>Property Taxes for Stabilized Project (income / direct cap approach)</a:t>
          </a:r>
          <a:endParaRPr lang="en-US" sz="1100" b="0" baseline="0"/>
        </a:p>
        <a:p>
          <a:r>
            <a:rPr lang="en-US" sz="1100" b="0" baseline="0"/>
            <a:t>Once operating (during any stabilized year), taxes are calculated in the following way</a:t>
          </a:r>
        </a:p>
        <a:p>
          <a:r>
            <a:rPr lang="en-US" sz="1100" b="0" baseline="0"/>
            <a:t>1. NOI less real estate taxes</a:t>
          </a:r>
        </a:p>
        <a:p>
          <a:r>
            <a:rPr lang="en-US" sz="1100" b="0" baseline="0"/>
            <a:t>2. District appraisal assumed cap rate + the tax rate. Ask the town appraisal what they would use as a cap rate for the asset type. And then add the tax rate to the cap rate to get your "loaded cap rate." For ex, if the cap rate required is 4.50% and the tax rate is 2.40%, the loaded cap rate would be 6.90%</a:t>
          </a:r>
        </a:p>
        <a:p>
          <a:r>
            <a:rPr lang="en-US" sz="1100" b="0" baseline="0"/>
            <a:t>3. Divide the NOI by the loaded cap rate to get the market value</a:t>
          </a:r>
        </a:p>
        <a:p>
          <a:r>
            <a:rPr lang="en-US" sz="1100" b="0" baseline="0"/>
            <a:t>4. Multiply the market value by the tax rate to determine taxes due</a:t>
          </a:r>
        </a:p>
        <a:p>
          <a:endParaRPr lang="en-US" sz="1100" b="0" baseline="0"/>
        </a:p>
        <a:p>
          <a:r>
            <a:rPr lang="en-US" sz="1100" b="0" baseline="0"/>
            <a:t>For Example: NOI less real estate taxes is $2M. The district required cap rate for your asset is 4.50% and the tax rate is 2.40%. Add the two to get 6.90%. Take $2M / 6.90% to get the market value $29M. Assuming the assessed value is equal to 100% of the market value, multiply the market value by the tax rate ($29M x 2.40% = $695k)</a:t>
          </a:r>
        </a:p>
        <a:p>
          <a:endParaRPr lang="en-US" sz="1100" b="0" baseline="0"/>
        </a:p>
        <a:p>
          <a:r>
            <a:rPr lang="en-US" sz="1100" b="1" i="0" u="none" strike="noStrike">
              <a:solidFill>
                <a:schemeClr val="dk1"/>
              </a:solidFill>
              <a:effectLst/>
              <a:latin typeface="+mn-lt"/>
              <a:ea typeface="+mn-ea"/>
              <a:cs typeface="+mn-cs"/>
            </a:rPr>
            <a:t>QUESTIONS</a:t>
          </a:r>
          <a:r>
            <a:rPr lang="en-US" b="1"/>
            <a:t> TO ASK TAX</a:t>
          </a:r>
          <a:r>
            <a:rPr lang="en-US" b="1" baseline="0"/>
            <a:t> ASESSOR</a:t>
          </a:r>
          <a:endParaRPr lang="en-US" b="1"/>
        </a:p>
        <a:p>
          <a:r>
            <a:rPr lang="en-US" sz="1100" b="0" i="0" u="none" strike="noStrike">
              <a:solidFill>
                <a:schemeClr val="dk1"/>
              </a:solidFill>
              <a:effectLst/>
              <a:latin typeface="+mn-lt"/>
              <a:ea typeface="+mn-ea"/>
              <a:cs typeface="+mn-cs"/>
            </a:rPr>
            <a:t>1. What are real estate taxes for the land</a:t>
          </a:r>
          <a:r>
            <a:rPr lang="en-US"/>
            <a:t> </a:t>
          </a:r>
        </a:p>
        <a:p>
          <a:r>
            <a:rPr lang="en-US" sz="1100" b="0" i="0" u="none" strike="noStrike">
              <a:solidFill>
                <a:schemeClr val="dk1"/>
              </a:solidFill>
              <a:effectLst/>
              <a:latin typeface="+mn-lt"/>
              <a:ea typeface="+mn-ea"/>
              <a:cs typeface="+mn-cs"/>
            </a:rPr>
            <a:t>2. How are real estate taxes calculated for a project under construction</a:t>
          </a:r>
          <a:r>
            <a:rPr lang="en-US"/>
            <a:t> </a:t>
          </a:r>
          <a:r>
            <a:rPr lang="en-US" sz="1100" b="0" i="0" u="none" strike="noStrike">
              <a:solidFill>
                <a:schemeClr val="dk1"/>
              </a:solidFill>
              <a:effectLst/>
              <a:latin typeface="+mn-lt"/>
              <a:ea typeface="+mn-ea"/>
              <a:cs typeface="+mn-cs"/>
            </a:rPr>
            <a:t>2. How are real estate taxes calculated for a stabilized project</a:t>
          </a:r>
          <a:r>
            <a:rPr lang="en-US"/>
            <a:t> </a:t>
          </a:r>
        </a:p>
        <a:p>
          <a:r>
            <a:rPr lang="en-US" sz="1100" b="0" i="0" u="none" strike="noStrike">
              <a:solidFill>
                <a:schemeClr val="dk1"/>
              </a:solidFill>
              <a:effectLst/>
              <a:latin typeface="+mn-lt"/>
              <a:ea typeface="+mn-ea"/>
              <a:cs typeface="+mn-cs"/>
            </a:rPr>
            <a:t>3. What are taxes for a nearby comps?</a:t>
          </a:r>
        </a:p>
        <a:p>
          <a:r>
            <a:rPr lang="en-US" sz="1100" b="0" i="0" u="none" strike="noStrike" baseline="0">
              <a:solidFill>
                <a:schemeClr val="dk1"/>
              </a:solidFill>
              <a:effectLst/>
              <a:latin typeface="+mn-lt"/>
              <a:ea typeface="+mn-ea"/>
              <a:cs typeface="+mn-cs"/>
            </a:rPr>
            <a:t>4. Are there any tax abatements available (we'll be building this project with prevailing wage)</a:t>
          </a:r>
          <a:endParaRPr lang="en-US" sz="1100" b="0" baseline="0"/>
        </a:p>
      </xdr:txBody>
    </xdr:sp>
    <xdr:clientData/>
  </xdr:twoCellAnchor>
  <xdr:twoCellAnchor>
    <xdr:from>
      <xdr:col>27</xdr:col>
      <xdr:colOff>436683</xdr:colOff>
      <xdr:row>1</xdr:row>
      <xdr:rowOff>67831</xdr:rowOff>
    </xdr:from>
    <xdr:to>
      <xdr:col>37</xdr:col>
      <xdr:colOff>35293</xdr:colOff>
      <xdr:row>33</xdr:row>
      <xdr:rowOff>33259</xdr:rowOff>
    </xdr:to>
    <xdr:sp macro="" textlink="">
      <xdr:nvSpPr>
        <xdr:cNvPr id="3" name="TextBox 2">
          <a:extLst>
            <a:ext uri="{FF2B5EF4-FFF2-40B4-BE49-F238E27FC236}">
              <a16:creationId xmlns:a16="http://schemas.microsoft.com/office/drawing/2014/main" id="{5412FBB5-9D40-114B-874E-17D15EF9BF21}"/>
            </a:ext>
          </a:extLst>
        </xdr:cNvPr>
        <xdr:cNvSpPr txBox="1"/>
      </xdr:nvSpPr>
      <xdr:spPr>
        <a:xfrm>
          <a:off x="30254074" y="261092"/>
          <a:ext cx="7881219" cy="6412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t>CALCULATING REAL</a:t>
          </a:r>
          <a:r>
            <a:rPr lang="en-US" sz="1100" b="1" u="sng" baseline="0"/>
            <a:t> ESTATE TAXES FOR LAKELAND</a:t>
          </a:r>
        </a:p>
        <a:p>
          <a:r>
            <a:rPr lang="en-US" sz="1100" b="0" baseline="0"/>
            <a:t>- Every year the project is reassessed, most years the tax bill won't fluctuate more than 5% or 10%</a:t>
          </a:r>
        </a:p>
        <a:p>
          <a:r>
            <a:rPr lang="en-US" sz="1100" b="0" baseline="0"/>
            <a:t>- State and Local taxes (ie School taxes) are uncapped and typcially represent 40% of the taxes. Put another way, State and Local taxes are based on an estimated market value. The reamining taxes due are capped, and cannot increase by more than 10% per year </a:t>
          </a:r>
        </a:p>
        <a:p>
          <a:r>
            <a:rPr lang="en-US" sz="1100" b="0" baseline="0"/>
            <a:t>- Typical appraiser isn't given actuals by the property and they just make assumptions based on the comprable Class A apartment communities</a:t>
          </a:r>
        </a:p>
        <a:p>
          <a:endParaRPr lang="en-US" sz="1100" b="0" baseline="0"/>
        </a:p>
        <a:p>
          <a:r>
            <a:rPr lang="en-US" sz="1100" b="1" baseline="0"/>
            <a:t>Avenues</a:t>
          </a:r>
        </a:p>
        <a:p>
          <a:r>
            <a:rPr lang="en-US" sz="1100" b="0" baseline="0"/>
            <a:t>- Avenues has a differential this year beacuse they just sold. Had Avenues not sold, their market value would've just gone up by approx $2M</a:t>
          </a:r>
        </a:p>
        <a:p>
          <a:r>
            <a:rPr lang="en-US" sz="1100" b="0" baseline="0"/>
            <a:t>- Avenues is currently paying taxes of $484,756 based on an appraised value of $27M.  See attached exhibit. The new market value is going to be based on the sale price of $49,500,000, less a Cost of Sale Adjustment (this is a standard adjustment they take each year). Avenues new tax appraised value will be $42,075,000. </a:t>
          </a:r>
        </a:p>
        <a:p>
          <a:endParaRPr lang="en-US" sz="1100" b="0" baseline="0"/>
        </a:p>
        <a:p>
          <a:r>
            <a:rPr lang="en-US" sz="1100" b="0" baseline="0"/>
            <a:t>The process for calculating appraised value is as follows:</a:t>
          </a:r>
        </a:p>
        <a:p>
          <a:r>
            <a:rPr lang="en-US" sz="1100" b="0" baseline="0"/>
            <a:t>1. Appraiser takes an estimated rent/sf x. avg unit size x number of units to get the Gross Rental  Revenue from the apartments</a:t>
          </a:r>
        </a:p>
        <a:p>
          <a:r>
            <a:rPr lang="en-US" sz="1100" b="0" baseline="0"/>
            <a:t>2. Add in the Secondary Gross Income ie income from garages, storage</a:t>
          </a:r>
        </a:p>
        <a:p>
          <a:r>
            <a:rPr lang="en-US" sz="1100" b="0" baseline="0"/>
            <a:t>3. Subtract out 8% for vacancy factor</a:t>
          </a:r>
        </a:p>
        <a:p>
          <a:r>
            <a:rPr lang="en-US" sz="1100" b="0" baseline="0"/>
            <a:t>4. Apply an Expense Ratio of 40% to get your NOI</a:t>
          </a:r>
        </a:p>
        <a:p>
          <a:r>
            <a:rPr lang="en-US" sz="1100" b="0" baseline="0"/>
            <a:t>5. Divide NOI by a 5 cap</a:t>
          </a:r>
        </a:p>
        <a:p>
          <a:r>
            <a:rPr lang="en-US" sz="1100" b="0" baseline="0"/>
            <a:t>6. The last step is to subtract out what they call a Cost of Sale Adjustment which is your Pre Appraised Value less 15%</a:t>
          </a:r>
        </a:p>
        <a:p>
          <a:endParaRPr lang="en-US" sz="1100" b="0" baseline="0"/>
        </a:p>
        <a:p>
          <a:r>
            <a:rPr lang="en-US" sz="1100" b="1" baseline="0"/>
            <a:t>Arriva (Pre-Sale)</a:t>
          </a:r>
        </a:p>
        <a:p>
          <a:r>
            <a:rPr lang="en-US" sz="1100" b="0" i="0" u="none" strike="noStrike">
              <a:solidFill>
                <a:schemeClr val="dk1"/>
              </a:solidFill>
              <a:effectLst/>
              <a:latin typeface="+mn-lt"/>
              <a:ea typeface="+mn-ea"/>
              <a:cs typeface="+mn-cs"/>
            </a:rPr>
            <a:t>- Arriva</a:t>
          </a:r>
          <a:r>
            <a:rPr lang="en-US" sz="1100" b="0" i="0" u="none" strike="noStrike" baseline="0">
              <a:solidFill>
                <a:schemeClr val="dk1"/>
              </a:solidFill>
              <a:effectLst/>
              <a:latin typeface="+mn-lt"/>
              <a:ea typeface="+mn-ea"/>
              <a:cs typeface="+mn-cs"/>
            </a:rPr>
            <a:t> delivered 2018, 312 units, with an avg unit size of 1,121, and avg rent of $1.14/sf</a:t>
          </a:r>
        </a:p>
        <a:p>
          <a:r>
            <a:rPr lang="en-US" sz="1100" b="0" baseline="0"/>
            <a:t>- Appriased value is $46,000,000. Taxes Due is $669,000 or $2,144/unit</a:t>
          </a:r>
        </a:p>
        <a:p>
          <a:r>
            <a:rPr lang="en-US" sz="1100" b="0" baseline="0"/>
            <a:t>- Sold in 2019 for </a:t>
          </a:r>
          <a:r>
            <a:rPr lang="en-US" sz="1100" b="0" i="0" u="none" strike="noStrike">
              <a:solidFill>
                <a:schemeClr val="dk1"/>
              </a:solidFill>
              <a:effectLst/>
              <a:latin typeface="+mn-lt"/>
              <a:ea typeface="+mn-ea"/>
              <a:cs typeface="+mn-cs"/>
            </a:rPr>
            <a:t>$54,600,000 ($175,000/Unit)</a:t>
          </a:r>
          <a:endParaRPr lang="en-US" sz="1100" b="0" baseline="0"/>
        </a:p>
        <a:p>
          <a:endParaRPr lang="en-US" sz="1100" b="0" baseline="0"/>
        </a:p>
        <a:p>
          <a:r>
            <a:rPr lang="en-US" sz="1100" b="1" baseline="0"/>
            <a:t>Assumptions to use for our project</a:t>
          </a:r>
          <a:r>
            <a:rPr lang="en-US" sz="1100" b="0" baseline="0"/>
            <a:t>: $2100/unit</a:t>
          </a:r>
        </a:p>
        <a:p>
          <a:endParaRPr lang="en-US" sz="1100" b="0" baseline="0"/>
        </a:p>
        <a:p>
          <a:r>
            <a:rPr lang="en-US" sz="1100" b="1" baseline="0"/>
            <a:t>Follow Up Questions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t>- How are taxes calculated during construction? Until the entire complex is complete, taxes are calculated based on land value until everything is complete. If we phase in occupancy, they'll hold off until all buildings are complete (incl club house) all in one year.  However, land value parcel might increase, we need to check this.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342900</xdr:colOff>
      <xdr:row>1</xdr:row>
      <xdr:rowOff>50800</xdr:rowOff>
    </xdr:from>
    <xdr:to>
      <xdr:col>25</xdr:col>
      <xdr:colOff>330200</xdr:colOff>
      <xdr:row>57</xdr:row>
      <xdr:rowOff>50800</xdr:rowOff>
    </xdr:to>
    <xdr:sp macro="" textlink="">
      <xdr:nvSpPr>
        <xdr:cNvPr id="2" name="TextBox 1">
          <a:extLst>
            <a:ext uri="{FF2B5EF4-FFF2-40B4-BE49-F238E27FC236}">
              <a16:creationId xmlns:a16="http://schemas.microsoft.com/office/drawing/2014/main" id="{A4B93437-2066-F340-BC8C-59415FCAB664}"/>
            </a:ext>
          </a:extLst>
        </xdr:cNvPr>
        <xdr:cNvSpPr txBox="1"/>
      </xdr:nvSpPr>
      <xdr:spPr>
        <a:xfrm>
          <a:off x="26276300" y="241300"/>
          <a:ext cx="7416800" cy="1104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Justin Heller, Feb 25, 2021</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site has Commercial Corridor Zoning. A list of all allowed uses can be found here: https://library.municode.com/fl/cape_coral/codes/code_of_ordinances?nodeId=ART4ZODI_CH1GEPR_S4.1.6USZODISEHI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All utilies are there. Demands</a:t>
          </a:r>
        </a:p>
        <a:p>
          <a:r>
            <a:rPr lang="en-US" sz="1100">
              <a:solidFill>
                <a:schemeClr val="dk1"/>
              </a:solidFill>
              <a:effectLst/>
              <a:latin typeface="+mn-lt"/>
              <a:ea typeface="+mn-ea"/>
              <a:cs typeface="+mn-cs"/>
            </a:rPr>
            <a:t>Meter size</a:t>
          </a:r>
          <a:r>
            <a:rPr lang="en-US" sz="1100" baseline="0">
              <a:solidFill>
                <a:schemeClr val="dk1"/>
              </a:solidFill>
              <a:effectLst/>
              <a:latin typeface="+mn-lt"/>
              <a:ea typeface="+mn-ea"/>
              <a:cs typeface="+mn-cs"/>
            </a:rPr>
            <a:t> assumed, 4" master meter</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Sewer District 2</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Multi-Family is a conditional use which will need to meet the conditions in Section 5.11.4: https://library.municode.com/fl/cape_coral/codes/code_of_ordinances?nodeId=ART5DEST_CH11COUS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Commercial Corridor Development Parameters can be found in this table: https://library.municode.com/fl/cape_coral/codes/code_of_ordinances?nodeId=ART4ZODI_CH2SPREDI_S4.2.11COCOCC</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Our Impact fee estimator can be found here:</a:t>
          </a:r>
        </a:p>
        <a:p>
          <a:r>
            <a:rPr lang="en-US" sz="1100">
              <a:solidFill>
                <a:schemeClr val="dk1"/>
              </a:solidFill>
              <a:effectLst/>
              <a:latin typeface="+mn-lt"/>
              <a:ea typeface="+mn-ea"/>
              <a:cs typeface="+mn-cs"/>
            </a:rPr>
            <a:t>https://www.capecoral.net/department/community_development/permitting/commercial_building_permits_calculator.php</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future land use is pine island land use, commercial zoning, multifamily is allowed, conditions. Conditional use, 25 units / acre, can go straight to site development permit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New Rule:</a:t>
          </a:r>
          <a:r>
            <a:rPr lang="en-US" sz="1100" baseline="0">
              <a:solidFill>
                <a:schemeClr val="dk1"/>
              </a:solidFill>
              <a:effectLst/>
              <a:latin typeface="+mn-lt"/>
              <a:ea typeface="+mn-ea"/>
              <a:cs typeface="+mn-cs"/>
            </a:rPr>
            <a:t> </a:t>
          </a:r>
          <a:r>
            <a:rPr lang="en-US" sz="1100"/>
            <a:t>250’ set back requirement for multifamily on pine island rd? is this approved? </a:t>
          </a:r>
        </a:p>
        <a:p>
          <a:endParaRPr lang="en-US" sz="1100"/>
        </a:p>
        <a:p>
          <a:r>
            <a:rPr lang="en-US" sz="1100" b="1"/>
            <a:t>Utilites at Site</a:t>
          </a:r>
        </a:p>
        <a:p>
          <a:r>
            <a:rPr lang="en-US" sz="1100"/>
            <a:t>10" water, 16" irrigati</a:t>
          </a:r>
          <a:r>
            <a:rPr lang="en-US" sz="1100">
              <a:solidFill>
                <a:schemeClr val="dk1"/>
              </a:solidFill>
              <a:effectLst/>
              <a:latin typeface="+mn-lt"/>
              <a:ea typeface="+mn-ea"/>
              <a:cs typeface="+mn-cs"/>
            </a:rPr>
            <a:t>on</a:t>
          </a:r>
          <a:r>
            <a:rPr lang="en-US" sz="1100" baseline="0">
              <a:solidFill>
                <a:schemeClr val="dk1"/>
              </a:solidFill>
              <a:effectLst/>
              <a:latin typeface="+mn-lt"/>
              <a:ea typeface="+mn-ea"/>
              <a:cs typeface="+mn-cs"/>
            </a:rPr>
            <a:t> and 8" sewer. Key c</a:t>
          </a:r>
          <a:r>
            <a:rPr lang="en-US" sz="1100">
              <a:solidFill>
                <a:schemeClr val="dk1"/>
              </a:solidFill>
              <a:effectLst/>
              <a:latin typeface="+mn-lt"/>
              <a:ea typeface="+mn-ea"/>
              <a:cs typeface="+mn-cs"/>
            </a:rPr>
            <a:t>ontact</a:t>
          </a:r>
          <a:r>
            <a:rPr lang="en-US" sz="1100" baseline="0">
              <a:solidFill>
                <a:schemeClr val="dk1"/>
              </a:solidFill>
              <a:effectLst/>
              <a:latin typeface="+mn-lt"/>
              <a:ea typeface="+mn-ea"/>
              <a:cs typeface="+mn-cs"/>
            </a:rPr>
            <a:t> is Bill Sperry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a:t>
          </a:r>
          <a:r>
            <a:rPr lang="en-US" sz="1100">
              <a:solidFill>
                <a:schemeClr val="dk1"/>
              </a:solidFill>
              <a:effectLst/>
              <a:latin typeface="+mn-lt"/>
              <a:ea typeface="+mn-ea"/>
              <a:cs typeface="+mn-cs"/>
            </a:rPr>
            <a:t>or stormwater detention, contact Stephanie Smith,</a:t>
          </a:r>
          <a:r>
            <a:rPr lang="en-US" sz="1100" baseline="0">
              <a:solidFill>
                <a:schemeClr val="dk1"/>
              </a:solidFill>
              <a:effectLst/>
              <a:latin typeface="+mn-lt"/>
              <a:ea typeface="+mn-ea"/>
              <a:cs typeface="+mn-cs"/>
            </a:rPr>
            <a:t> t</a:t>
          </a:r>
          <a:r>
            <a:rPr lang="en-US" sz="1100">
              <a:solidFill>
                <a:schemeClr val="dk1"/>
              </a:solidFill>
              <a:effectLst/>
              <a:latin typeface="+mn-lt"/>
              <a:ea typeface="+mn-ea"/>
              <a:cs typeface="+mn-cs"/>
            </a:rPr>
            <a:t>o see if it's possible to use the existing lake as detention for the entire property rather than having to build supplemental underground</a:t>
          </a:r>
          <a:r>
            <a:rPr lang="en-US" sz="1100" baseline="0">
              <a:solidFill>
                <a:schemeClr val="dk1"/>
              </a:solidFill>
              <a:effectLst/>
              <a:latin typeface="+mn-lt"/>
              <a:ea typeface="+mn-ea"/>
              <a:cs typeface="+mn-cs"/>
            </a:rPr>
            <a:t> detenti</a:t>
          </a:r>
          <a:r>
            <a:rPr lang="en-US" sz="1100">
              <a:solidFill>
                <a:schemeClr val="dk1"/>
              </a:solidFill>
              <a:effectLst/>
              <a:latin typeface="+mn-lt"/>
              <a:ea typeface="+mn-ea"/>
              <a:cs typeface="+mn-cs"/>
            </a:rPr>
            <a:t>on.</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H</a:t>
          </a:r>
          <a:r>
            <a:rPr lang="en-US" sz="1100">
              <a:solidFill>
                <a:schemeClr val="dk1"/>
              </a:solidFill>
              <a:effectLst/>
              <a:latin typeface="+mn-lt"/>
              <a:ea typeface="+mn-ea"/>
              <a:cs typeface="+mn-cs"/>
            </a:rPr>
            <a:t>ow exaclty does the Utility Expansion Assessment work? Can we</a:t>
          </a:r>
          <a:r>
            <a:rPr lang="en-US" sz="1100" baseline="0">
              <a:solidFill>
                <a:schemeClr val="dk1"/>
              </a:solidFill>
              <a:effectLst/>
              <a:latin typeface="+mn-lt"/>
              <a:ea typeface="+mn-ea"/>
              <a:cs typeface="+mn-cs"/>
            </a:rPr>
            <a:t> get all the d</a:t>
          </a:r>
          <a:r>
            <a:rPr lang="en-US" sz="1100">
              <a:solidFill>
                <a:schemeClr val="dk1"/>
              </a:solidFill>
              <a:effectLst/>
              <a:latin typeface="+mn-lt"/>
              <a:ea typeface="+mn-ea"/>
              <a:cs typeface="+mn-cs"/>
            </a:rPr>
            <a:t>ocs on that?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Is the lake just a b</a:t>
          </a:r>
          <a:r>
            <a:rPr lang="en-US" sz="1100">
              <a:solidFill>
                <a:schemeClr val="dk1"/>
              </a:solidFill>
              <a:effectLst/>
              <a:latin typeface="+mn-lt"/>
              <a:ea typeface="+mn-ea"/>
              <a:cs typeface="+mn-cs"/>
            </a:rPr>
            <a:t>orrowd pit lake or under southwest </a:t>
          </a:r>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Parking</a:t>
          </a:r>
        </a:p>
        <a:p>
          <a:r>
            <a:rPr lang="en-US" sz="1100" b="0" baseline="0">
              <a:solidFill>
                <a:schemeClr val="dk1"/>
              </a:solidFill>
              <a:effectLst/>
              <a:latin typeface="+mn-lt"/>
              <a:ea typeface="+mn-ea"/>
              <a:cs typeface="+mn-cs"/>
            </a:rPr>
            <a:t>See  Article 6 in the Cape C</a:t>
          </a:r>
          <a:r>
            <a:rPr lang="en-US" sz="1100">
              <a:solidFill>
                <a:schemeClr val="dk1"/>
              </a:solidFill>
              <a:effectLst/>
              <a:latin typeface="+mn-lt"/>
              <a:ea typeface="+mn-ea"/>
              <a:cs typeface="+mn-cs"/>
            </a:rPr>
            <a:t>oral Land Development Code. Studio</a:t>
          </a:r>
          <a:r>
            <a:rPr lang="en-US" sz="1100" baseline="0">
              <a:solidFill>
                <a:schemeClr val="dk1"/>
              </a:solidFill>
              <a:effectLst/>
              <a:latin typeface="+mn-lt"/>
              <a:ea typeface="+mn-ea"/>
              <a:cs typeface="+mn-cs"/>
            </a:rPr>
            <a:t> requires 1 space. 1BD requires 1.5 spaces. 2BD+ requires 2 spaces. </a:t>
          </a:r>
          <a:r>
            <a:rPr lang="en-US" sz="1100" baseline="0">
              <a:solidFill>
                <a:srgbClr val="FF0000"/>
              </a:solidFill>
              <a:effectLst/>
              <a:latin typeface="+mn-lt"/>
              <a:ea typeface="+mn-ea"/>
              <a:cs typeface="+mn-cs"/>
            </a:rPr>
            <a:t>It's p</a:t>
          </a:r>
          <a:r>
            <a:rPr lang="en-US" sz="1100">
              <a:solidFill>
                <a:srgbClr val="FF0000"/>
              </a:solidFill>
              <a:effectLst/>
              <a:latin typeface="+mn-lt"/>
              <a:ea typeface="+mn-ea"/>
              <a:cs typeface="+mn-cs"/>
            </a:rPr>
            <a:t>ossible to get a 10%</a:t>
          </a:r>
          <a:r>
            <a:rPr lang="en-US" sz="1100" baseline="0">
              <a:solidFill>
                <a:srgbClr val="FF0000"/>
              </a:solidFill>
              <a:effectLst/>
              <a:latin typeface="+mn-lt"/>
              <a:ea typeface="+mn-ea"/>
              <a:cs typeface="+mn-cs"/>
            </a:rPr>
            <a:t> deviati</a:t>
          </a:r>
          <a:r>
            <a:rPr lang="en-US" sz="1100">
              <a:solidFill>
                <a:srgbClr val="FF0000"/>
              </a:solidFill>
              <a:effectLst/>
              <a:latin typeface="+mn-lt"/>
              <a:ea typeface="+mn-ea"/>
              <a:cs typeface="+mn-cs"/>
            </a:rPr>
            <a:t>on from this</a:t>
          </a:r>
          <a:r>
            <a:rPr lang="en-US" sz="1100" baseline="0">
              <a:solidFill>
                <a:srgbClr val="FF0000"/>
              </a:solidFill>
              <a:effectLst/>
              <a:latin typeface="+mn-lt"/>
              <a:ea typeface="+mn-ea"/>
              <a:cs typeface="+mn-cs"/>
            </a:rPr>
            <a:t> if y</a:t>
          </a:r>
          <a:r>
            <a:rPr lang="en-US" sz="1100">
              <a:solidFill>
                <a:srgbClr val="FF0000"/>
              </a:solidFill>
              <a:effectLst/>
              <a:latin typeface="+mn-lt"/>
              <a:ea typeface="+mn-ea"/>
              <a:cs typeface="+mn-cs"/>
            </a:rPr>
            <a:t>ou show harship?</a:t>
          </a:r>
          <a:r>
            <a:rPr lang="en-US" sz="1100" baseline="0">
              <a:solidFill>
                <a:srgbClr val="FF0000"/>
              </a:solidFill>
              <a:effectLst/>
              <a:latin typeface="+mn-lt"/>
              <a:ea typeface="+mn-ea"/>
              <a:cs typeface="+mn-cs"/>
            </a:rPr>
            <a:t> </a:t>
          </a:r>
          <a:r>
            <a:rPr lang="en-US" sz="1100">
              <a:solidFill>
                <a:schemeClr val="dk1"/>
              </a:solidFill>
              <a:effectLst/>
              <a:latin typeface="+mn-lt"/>
              <a:ea typeface="+mn-ea"/>
              <a:cs typeface="+mn-cs"/>
            </a:rPr>
            <a:t>Developments shall provide additional spaces equal to 10% of the total required to accommodate guest parking, up to 50 guest parking spaces. Spaces can be 9x18. 10% over and</a:t>
          </a:r>
          <a:r>
            <a:rPr lang="en-US" sz="1100" baseline="0">
              <a:solidFill>
                <a:schemeClr val="dk1"/>
              </a:solidFill>
              <a:effectLst/>
              <a:latin typeface="+mn-lt"/>
              <a:ea typeface="+mn-ea"/>
              <a:cs typeface="+mn-cs"/>
            </a:rPr>
            <a:t> above the required parking. In the site plan application, you can request an administrative deviation over and above, the 5% deviation that's allowed, if we can document </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Height and Spacing </a:t>
          </a:r>
        </a:p>
        <a:p>
          <a:r>
            <a:rPr lang="en-US" sz="1100" b="0" baseline="0">
              <a:solidFill>
                <a:srgbClr val="FF0000"/>
              </a:solidFill>
              <a:effectLst/>
              <a:latin typeface="+mn-lt"/>
              <a:ea typeface="+mn-ea"/>
              <a:cs typeface="+mn-cs"/>
            </a:rPr>
            <a:t>Max height? </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Traffic Impact  - </a:t>
          </a:r>
          <a:r>
            <a:rPr lang="en-US" sz="1100" b="0" baseline="0">
              <a:solidFill>
                <a:srgbClr val="FF0000"/>
              </a:solidFill>
              <a:effectLst/>
              <a:latin typeface="+mn-lt"/>
              <a:ea typeface="+mn-ea"/>
              <a:cs typeface="+mn-cs"/>
            </a:rPr>
            <a:t>D</a:t>
          </a:r>
          <a:r>
            <a:rPr lang="en-US" sz="1100">
              <a:solidFill>
                <a:srgbClr val="FF0000"/>
              </a:solidFill>
              <a:effectLst/>
              <a:latin typeface="+mn-lt"/>
              <a:ea typeface="+mn-ea"/>
              <a:cs typeface="+mn-cs"/>
            </a:rPr>
            <a:t>oes anything have to be done to increase the</a:t>
          </a:r>
          <a:r>
            <a:rPr lang="en-US" sz="1100" baseline="0">
              <a:solidFill>
                <a:srgbClr val="FF0000"/>
              </a:solidFill>
              <a:effectLst/>
              <a:latin typeface="+mn-lt"/>
              <a:ea typeface="+mn-ea"/>
              <a:cs typeface="+mn-cs"/>
            </a:rPr>
            <a:t> width </a:t>
          </a:r>
          <a:r>
            <a:rPr lang="en-US" sz="1100">
              <a:solidFill>
                <a:srgbClr val="FF0000"/>
              </a:solidFill>
              <a:effectLst/>
              <a:latin typeface="+mn-lt"/>
              <a:ea typeface="+mn-ea"/>
              <a:cs typeface="+mn-cs"/>
            </a:rPr>
            <a:t>of the road? </a:t>
          </a:r>
        </a:p>
        <a:p>
          <a:endParaRPr lang="en-US" sz="1100" b="0" baseline="0">
            <a:solidFill>
              <a:srgbClr val="FF0000"/>
            </a:solidFill>
            <a:effectLst/>
            <a:latin typeface="+mn-lt"/>
            <a:ea typeface="+mn-ea"/>
            <a:cs typeface="+mn-cs"/>
          </a:endParaRPr>
        </a:p>
        <a:p>
          <a:r>
            <a:rPr lang="en-US" sz="1100" b="0" baseline="0">
              <a:solidFill>
                <a:srgbClr val="FF0000"/>
              </a:solidFill>
              <a:effectLst/>
              <a:latin typeface="+mn-lt"/>
              <a:ea typeface="+mn-ea"/>
              <a:cs typeface="+mn-cs"/>
            </a:rPr>
            <a:t>Remediat</a:t>
          </a:r>
          <a:r>
            <a:rPr lang="en-US" sz="1100">
              <a:solidFill>
                <a:srgbClr val="FF0000"/>
              </a:solidFill>
              <a:effectLst/>
              <a:latin typeface="+mn-lt"/>
              <a:ea typeface="+mn-ea"/>
              <a:cs typeface="+mn-cs"/>
            </a:rPr>
            <a:t>on - Possible to get any incentive</a:t>
          </a:r>
          <a:r>
            <a:rPr lang="en-US" sz="1100" baseline="0">
              <a:solidFill>
                <a:srgbClr val="FF0000"/>
              </a:solidFill>
              <a:effectLst/>
              <a:latin typeface="+mn-lt"/>
              <a:ea typeface="+mn-ea"/>
              <a:cs typeface="+mn-cs"/>
            </a:rPr>
            <a:t> given that we're cleaning up a dirty site? </a:t>
          </a:r>
          <a:endParaRPr lang="en-US" sz="1100">
            <a:solidFill>
              <a:srgbClr val="FF0000"/>
            </a:solidFill>
            <a:effectLst/>
            <a:latin typeface="+mn-lt"/>
            <a:ea typeface="+mn-ea"/>
            <a:cs typeface="+mn-cs"/>
          </a:endParaRPr>
        </a:p>
        <a:p>
          <a:r>
            <a:rPr lang="en-US" sz="1100">
              <a:solidFill>
                <a:schemeClr val="dk1"/>
              </a:solidFill>
              <a:effectLst/>
              <a:latin typeface="+mn-lt"/>
              <a:ea typeface="+mn-ea"/>
              <a:cs typeface="+mn-cs"/>
            </a:rPr>
            <a:t>https://floridadep.gov/waste/waste-cleanup</a:t>
          </a:r>
        </a:p>
        <a:p>
          <a:endParaRPr lang="en-US" sz="1100">
            <a:solidFill>
              <a:schemeClr val="dk1"/>
            </a:solidFill>
            <a:effectLst/>
            <a:latin typeface="+mn-lt"/>
            <a:ea typeface="+mn-ea"/>
            <a:cs typeface="+mn-cs"/>
          </a:endParaRPr>
        </a:p>
        <a:p>
          <a:r>
            <a:rPr lang="en-US" sz="1100">
              <a:solidFill>
                <a:srgbClr val="FF0000"/>
              </a:solidFill>
              <a:effectLst/>
              <a:latin typeface="+mn-lt"/>
              <a:ea typeface="+mn-ea"/>
              <a:cs typeface="+mn-cs"/>
            </a:rPr>
            <a:t>Site Plan - Can we fit</a:t>
          </a:r>
          <a:r>
            <a:rPr lang="en-US" sz="1100" baseline="0">
              <a:solidFill>
                <a:srgbClr val="FF0000"/>
              </a:solidFill>
              <a:effectLst/>
              <a:latin typeface="+mn-lt"/>
              <a:ea typeface="+mn-ea"/>
              <a:cs typeface="+mn-cs"/>
            </a:rPr>
            <a:t> 675 units? 5 st</a:t>
          </a:r>
          <a:r>
            <a:rPr lang="en-US" sz="1100">
              <a:solidFill>
                <a:srgbClr val="FF0000"/>
              </a:solidFill>
              <a:effectLst/>
              <a:latin typeface="+mn-lt"/>
              <a:ea typeface="+mn-ea"/>
              <a:cs typeface="+mn-cs"/>
            </a:rPr>
            <a:t>ory Phase</a:t>
          </a:r>
          <a:r>
            <a:rPr lang="en-US" sz="1100" baseline="0">
              <a:solidFill>
                <a:srgbClr val="FF0000"/>
              </a:solidFill>
              <a:effectLst/>
              <a:latin typeface="+mn-lt"/>
              <a:ea typeface="+mn-ea"/>
              <a:cs typeface="+mn-cs"/>
            </a:rPr>
            <a:t> II?</a:t>
          </a:r>
          <a:endParaRPr lang="en-US" sz="1100">
            <a:solidFill>
              <a:srgbClr val="FF0000"/>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St</a:t>
          </a:r>
          <a:r>
            <a:rPr lang="en-US" sz="1100" b="0" i="0" u="none" strike="noStrike">
              <a:solidFill>
                <a:schemeClr val="dk1"/>
              </a:solidFill>
              <a:effectLst/>
              <a:latin typeface="+mn-lt"/>
              <a:ea typeface="+mn-ea"/>
              <a:cs typeface="+mn-cs"/>
            </a:rPr>
            <a:t>orm Water - can drain into the pond so long as we have water quality </a:t>
          </a:r>
        </a:p>
        <a:p>
          <a:endParaRPr lang="en-US" sz="1100">
            <a:solidFill>
              <a:schemeClr val="dk1"/>
            </a:solidFill>
            <a:effectLst/>
            <a:latin typeface="+mn-lt"/>
            <a:ea typeface="+mn-ea"/>
            <a:cs typeface="+mn-cs"/>
          </a:endParaRPr>
        </a:p>
        <a:p>
          <a:r>
            <a:rPr lang="en-US" sz="1100" b="1">
              <a:solidFill>
                <a:srgbClr val="FF0000"/>
              </a:solidFill>
              <a:effectLst/>
              <a:latin typeface="+mn-lt"/>
              <a:ea typeface="+mn-ea"/>
              <a:cs typeface="+mn-cs"/>
            </a:rPr>
            <a:t> Hiring C</a:t>
          </a:r>
          <a:r>
            <a:rPr lang="en-US" sz="1100" b="1" i="0" u="none" strike="noStrike">
              <a:solidFill>
                <a:srgbClr val="FF0000"/>
              </a:solidFill>
              <a:effectLst/>
              <a:latin typeface="+mn-lt"/>
              <a:ea typeface="+mn-ea"/>
              <a:cs typeface="+mn-cs"/>
            </a:rPr>
            <a:t>onsultants</a:t>
          </a:r>
          <a:r>
            <a:rPr lang="en-US" sz="1100" b="1">
              <a:solidFill>
                <a:srgbClr val="FF0000"/>
              </a:solidFill>
              <a:effectLst/>
              <a:latin typeface="+mn-lt"/>
              <a:ea typeface="+mn-ea"/>
              <a:cs typeface="+mn-cs"/>
            </a:rPr>
            <a:t> </a:t>
          </a:r>
        </a:p>
        <a:p>
          <a:r>
            <a:rPr lang="en-US" sz="1100" b="0" i="0" u="none" strike="noStrike">
              <a:solidFill>
                <a:schemeClr val="dk1"/>
              </a:solidFill>
              <a:effectLst/>
              <a:latin typeface="+mn-lt"/>
              <a:ea typeface="+mn-ea"/>
              <a:cs typeface="+mn-cs"/>
            </a:rPr>
            <a:t>1. Geo</a:t>
          </a:r>
        </a:p>
        <a:p>
          <a:r>
            <a:rPr lang="en-US" sz="1100" b="0" i="0" u="none" strike="noStrike">
              <a:solidFill>
                <a:schemeClr val="dk1"/>
              </a:solidFill>
              <a:effectLst/>
              <a:latin typeface="+mn-lt"/>
              <a:ea typeface="+mn-ea"/>
              <a:cs typeface="+mn-cs"/>
            </a:rPr>
            <a:t>2. Phase I</a:t>
          </a:r>
        </a:p>
        <a:p>
          <a:r>
            <a:rPr lang="en-US" sz="1100" b="0" i="0" u="none" strike="noStrike">
              <a:solidFill>
                <a:schemeClr val="dk1"/>
              </a:solidFill>
              <a:effectLst/>
              <a:latin typeface="+mn-lt"/>
              <a:ea typeface="+mn-ea"/>
              <a:cs typeface="+mn-cs"/>
            </a:rPr>
            <a:t>3. Wetland delineation</a:t>
          </a:r>
        </a:p>
        <a:p>
          <a:r>
            <a:rPr lang="en-US" sz="1100" b="0" i="0" u="none" strike="noStrike">
              <a:solidFill>
                <a:schemeClr val="dk1"/>
              </a:solidFill>
              <a:effectLst/>
              <a:latin typeface="+mn-lt"/>
              <a:ea typeface="+mn-ea"/>
              <a:cs typeface="+mn-cs"/>
            </a:rPr>
            <a:t>4. Water testing, make</a:t>
          </a:r>
          <a:r>
            <a:rPr lang="en-US" sz="1100" b="0" i="0" u="none" strike="noStrike" baseline="0">
              <a:solidFill>
                <a:schemeClr val="dk1"/>
              </a:solidFill>
              <a:effectLst/>
              <a:latin typeface="+mn-lt"/>
              <a:ea typeface="+mn-ea"/>
              <a:cs typeface="+mn-cs"/>
            </a:rPr>
            <a:t> sure it's n</a:t>
          </a:r>
          <a:r>
            <a:rPr lang="en-US" sz="1100" b="0" i="0" u="none" strike="noStrike">
              <a:solidFill>
                <a:schemeClr val="dk1"/>
              </a:solidFill>
              <a:effectLst/>
              <a:latin typeface="+mn-lt"/>
              <a:ea typeface="+mn-ea"/>
              <a:cs typeface="+mn-cs"/>
            </a:rPr>
            <a:t>ot corrosive</a:t>
          </a:r>
        </a:p>
        <a:p>
          <a:r>
            <a:rPr lang="en-US" sz="1100" b="0" i="0" u="none" strike="noStrike">
              <a:solidFill>
                <a:srgbClr val="FF0000"/>
              </a:solidFill>
              <a:effectLst/>
              <a:latin typeface="+mn-lt"/>
              <a:ea typeface="+mn-ea"/>
              <a:cs typeface="+mn-cs"/>
            </a:rPr>
            <a:t>5.</a:t>
          </a:r>
          <a:r>
            <a:rPr lang="en-US" sz="1100" b="0" i="0" u="none" strike="noStrike" baseline="0">
              <a:solidFill>
                <a:srgbClr val="FF0000"/>
              </a:solidFill>
              <a:effectLst/>
              <a:latin typeface="+mn-lt"/>
              <a:ea typeface="+mn-ea"/>
              <a:cs typeface="+mn-cs"/>
            </a:rPr>
            <a:t> Hire civil</a:t>
          </a:r>
        </a:p>
        <a:p>
          <a:r>
            <a:rPr lang="en-US" sz="1100" b="0" i="0" u="none" strike="noStrike" baseline="0">
              <a:solidFill>
                <a:schemeClr val="dk1"/>
              </a:solidFill>
              <a:effectLst/>
              <a:latin typeface="+mn-lt"/>
              <a:ea typeface="+mn-ea"/>
              <a:cs typeface="+mn-cs"/>
            </a:rPr>
            <a:t>6. Arrive and Dynamik t</a:t>
          </a:r>
          <a:r>
            <a:rPr lang="en-US" sz="1100" b="0" i="0" u="none" strike="noStrike">
              <a:solidFill>
                <a:schemeClr val="dk1"/>
              </a:solidFill>
              <a:effectLst/>
              <a:latin typeface="+mn-lt"/>
              <a:ea typeface="+mn-ea"/>
              <a:cs typeface="+mn-cs"/>
            </a:rPr>
            <a:t>o do site plans</a:t>
          </a:r>
        </a:p>
        <a:p>
          <a:r>
            <a:rPr lang="en-US" sz="1100" b="0" i="0" u="none" strike="noStrike">
              <a:solidFill>
                <a:schemeClr val="dk1"/>
              </a:solidFill>
              <a:effectLst/>
              <a:latin typeface="+mn-lt"/>
              <a:ea typeface="+mn-ea"/>
              <a:cs typeface="+mn-cs"/>
            </a:rPr>
            <a:t>7. Traffic</a:t>
          </a:r>
          <a:r>
            <a:rPr lang="en-US" sz="1100" b="0" i="0" u="none" strike="noStrike" baseline="0">
              <a:solidFill>
                <a:schemeClr val="dk1"/>
              </a:solidFill>
              <a:effectLst/>
              <a:latin typeface="+mn-lt"/>
              <a:ea typeface="+mn-ea"/>
              <a:cs typeface="+mn-cs"/>
            </a:rPr>
            <a:t> Impact Analysis</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Depth of lake, bathometrics</a:t>
          </a:r>
        </a:p>
        <a:p>
          <a:endParaRPr lang="en-US" sz="1100" b="0" i="0" u="none" strike="noStrike">
            <a:solidFill>
              <a:schemeClr val="dk1"/>
            </a:solidFill>
            <a:effectLst/>
            <a:latin typeface="+mn-lt"/>
            <a:ea typeface="+mn-ea"/>
            <a:cs typeface="+mn-cs"/>
          </a:endParaRPr>
        </a:p>
        <a:p>
          <a:r>
            <a:rPr lang="en-US" sz="1100" b="0" i="0" u="sng" strike="noStrike">
              <a:solidFill>
                <a:schemeClr val="dk1"/>
              </a:solidFill>
              <a:effectLst/>
              <a:latin typeface="+mn-lt"/>
              <a:ea typeface="+mn-ea"/>
              <a:cs typeface="+mn-cs"/>
            </a:rPr>
            <a:t>Bathometrics</a:t>
          </a:r>
          <a:br>
            <a:rPr lang="en-US" sz="1100" b="0" i="0" u="none" strike="noStrike">
              <a:solidFill>
                <a:schemeClr val="dk1"/>
              </a:solidFill>
              <a:effectLst/>
              <a:latin typeface="+mn-lt"/>
              <a:ea typeface="+mn-ea"/>
              <a:cs typeface="+mn-cs"/>
            </a:rPr>
          </a:br>
          <a:endParaRPr lang="en-US" sz="1100" b="0" i="0" u="none" strike="noStrike">
            <a:solidFill>
              <a:schemeClr val="dk1"/>
            </a:solidFill>
            <a:effectLst/>
            <a:latin typeface="+mn-lt"/>
            <a:ea typeface="+mn-ea"/>
            <a:cs typeface="+mn-cs"/>
          </a:endParaRPr>
        </a:p>
        <a:p>
          <a:br>
            <a:rPr lang="en-US"/>
          </a:br>
          <a:endParaRPr lang="en-US" sz="1100">
            <a:solidFill>
              <a:schemeClr val="dk1"/>
            </a:solidFill>
            <a:effectLst/>
            <a:latin typeface="+mn-lt"/>
            <a:ea typeface="+mn-ea"/>
            <a:cs typeface="+mn-cs"/>
          </a:endParaRPr>
        </a:p>
        <a:p>
          <a:endParaRPr lang="en-US" sz="1100" b="0" baseline="0">
            <a:solidFill>
              <a:srgbClr val="FF0000"/>
            </a:solidFill>
            <a:effectLst/>
            <a:latin typeface="+mn-lt"/>
            <a:ea typeface="+mn-ea"/>
            <a:cs typeface="+mn-cs"/>
          </a:endParaRPr>
        </a:p>
        <a:p>
          <a:endParaRPr lang="en-US" sz="1100" b="0" baseline="0">
            <a:solidFill>
              <a:schemeClr val="dk1"/>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sa%20Bella%20Underwriting%20Package%2010.26.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droccapcom-my.sharepoint.com/Users/ricardorubiano/RubiGroup%20Dropbox/Active%20Projects/Weslaco%20Midtown/Loan%20Review%20Documents/$$280165716764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droccapcom-my.sharepoint.com/Users/Avi/Rockhall%20Funding%20Corp/Dov%20Lazarus%20-%20Isles%20of%20Porto%20Vista/Isles%20of%20Porto%20Vista%20Wkbk.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olumes/GoogleDrive/My%20Drive/Underwriting%20Models/Best%20Models/2020-11-06%20Birmingham%20Proforma%20-%20221(d)4%20-%20High.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W%20RR%20Conventional%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80%LTV"/>
      <sheetName val="Proforma 75%LTV"/>
      <sheetName val="Proforma 60%LTV"/>
      <sheetName val="Loan Amort 80%"/>
      <sheetName val="Loan Amort 75%"/>
      <sheetName val="Loan Amort 60%"/>
      <sheetName val="RentRoll (2)"/>
      <sheetName val="Old Lease Summary"/>
      <sheetName val="Lease Renewals Summary"/>
    </sheetNames>
    <sheetDataSet>
      <sheetData sheetId="0"/>
      <sheetData sheetId="1"/>
      <sheetData sheetId="2"/>
      <sheetData sheetId="3"/>
      <sheetData sheetId="4"/>
      <sheetData sheetId="5">
        <row r="1">
          <cell r="C1" t="str">
            <v>Simple Loan Calculator</v>
          </cell>
        </row>
        <row r="3">
          <cell r="E3" t="str">
            <v>Enter values</v>
          </cell>
        </row>
        <row r="4">
          <cell r="C4" t="str">
            <v>Loan amount</v>
          </cell>
          <cell r="E4">
            <v>13530000</v>
          </cell>
        </row>
        <row r="5">
          <cell r="C5" t="str">
            <v>Annual interest rate</v>
          </cell>
          <cell r="E5">
            <v>5.7000000000000002E-2</v>
          </cell>
        </row>
        <row r="6">
          <cell r="C6" t="str">
            <v>Loan period in years</v>
          </cell>
          <cell r="E6">
            <v>30</v>
          </cell>
        </row>
        <row r="7">
          <cell r="C7" t="str">
            <v>Start date of loan</v>
          </cell>
          <cell r="E7">
            <v>39356</v>
          </cell>
        </row>
        <row r="9">
          <cell r="C9" t="str">
            <v>Monthly payment</v>
          </cell>
          <cell r="E9">
            <v>78528.177849671934</v>
          </cell>
        </row>
        <row r="10">
          <cell r="C10" t="str">
            <v>Number of payments</v>
          </cell>
          <cell r="E10">
            <v>360</v>
          </cell>
        </row>
        <row r="11">
          <cell r="C11" t="str">
            <v>Total interest</v>
          </cell>
          <cell r="E11">
            <v>14740144.025881898</v>
          </cell>
        </row>
        <row r="12">
          <cell r="C12" t="str">
            <v>Total cost of loan</v>
          </cell>
          <cell r="E12">
            <v>28270144.025881898</v>
          </cell>
        </row>
        <row r="15">
          <cell r="B15" t="str">
            <v>No.</v>
          </cell>
          <cell r="C15" t="str">
            <v>Payment Date</v>
          </cell>
          <cell r="D15" t="str">
            <v>Beginning Balance</v>
          </cell>
          <cell r="E15" t="str">
            <v>Payment</v>
          </cell>
          <cell r="F15" t="str">
            <v>Principal</v>
          </cell>
          <cell r="G15" t="str">
            <v>Interest</v>
          </cell>
          <cell r="H15" t="str">
            <v>Ending Balance</v>
          </cell>
        </row>
        <row r="16">
          <cell r="B16">
            <v>1</v>
          </cell>
          <cell r="C16">
            <v>39387</v>
          </cell>
          <cell r="D16">
            <v>13530000</v>
          </cell>
          <cell r="E16">
            <v>78528.177849671934</v>
          </cell>
          <cell r="F16">
            <v>14260.677849671934</v>
          </cell>
          <cell r="G16">
            <v>64267.5</v>
          </cell>
          <cell r="H16">
            <v>13515739.322150327</v>
          </cell>
        </row>
        <row r="17">
          <cell r="B17">
            <v>2</v>
          </cell>
          <cell r="C17">
            <v>39417</v>
          </cell>
          <cell r="D17">
            <v>13515739.322150327</v>
          </cell>
          <cell r="E17">
            <v>78528.177849671934</v>
          </cell>
          <cell r="F17">
            <v>14328.416069457882</v>
          </cell>
          <cell r="G17">
            <v>64199.761780214052</v>
          </cell>
          <cell r="H17">
            <v>13501410.90608087</v>
          </cell>
        </row>
        <row r="18">
          <cell r="B18">
            <v>3</v>
          </cell>
          <cell r="C18">
            <v>39448</v>
          </cell>
          <cell r="D18">
            <v>13501410.90608087</v>
          </cell>
          <cell r="E18">
            <v>78528.177849671934</v>
          </cell>
          <cell r="F18">
            <v>14396.4760457878</v>
          </cell>
          <cell r="G18">
            <v>64131.701803884134</v>
          </cell>
          <cell r="H18">
            <v>13487014.430035083</v>
          </cell>
        </row>
        <row r="19">
          <cell r="B19">
            <v>4</v>
          </cell>
          <cell r="C19">
            <v>39479</v>
          </cell>
          <cell r="D19">
            <v>13487014.430035083</v>
          </cell>
          <cell r="E19">
            <v>78528.177849671934</v>
          </cell>
          <cell r="F19">
            <v>14464.859307005296</v>
          </cell>
          <cell r="G19">
            <v>64063.318542666639</v>
          </cell>
          <cell r="H19">
            <v>13472549.570728075</v>
          </cell>
        </row>
        <row r="20">
          <cell r="B20">
            <v>5</v>
          </cell>
          <cell r="C20">
            <v>39508</v>
          </cell>
          <cell r="D20">
            <v>13472549.570728075</v>
          </cell>
          <cell r="E20">
            <v>78528.177849671934</v>
          </cell>
          <cell r="F20">
            <v>14533.567388713578</v>
          </cell>
          <cell r="G20">
            <v>63994.610460958356</v>
          </cell>
          <cell r="H20">
            <v>13458016.003339363</v>
          </cell>
        </row>
        <row r="21">
          <cell r="B21">
            <v>6</v>
          </cell>
          <cell r="C21">
            <v>39539</v>
          </cell>
          <cell r="D21">
            <v>13458016.003339363</v>
          </cell>
          <cell r="E21">
            <v>78528.177849671934</v>
          </cell>
          <cell r="F21">
            <v>14602.60183380996</v>
          </cell>
          <cell r="G21">
            <v>63925.576015861974</v>
          </cell>
          <cell r="H21">
            <v>13443413.40150555</v>
          </cell>
        </row>
        <row r="22">
          <cell r="B22">
            <v>7</v>
          </cell>
          <cell r="C22">
            <v>39569</v>
          </cell>
          <cell r="D22">
            <v>13443413.40150555</v>
          </cell>
          <cell r="E22">
            <v>78528.177849671934</v>
          </cell>
          <cell r="F22">
            <v>14671.964192520572</v>
          </cell>
          <cell r="G22">
            <v>63856.213657151362</v>
          </cell>
          <cell r="H22">
            <v>13428741.437313031</v>
          </cell>
        </row>
        <row r="23">
          <cell r="B23">
            <v>8</v>
          </cell>
          <cell r="C23">
            <v>39600</v>
          </cell>
          <cell r="D23">
            <v>13428741.437313031</v>
          </cell>
          <cell r="E23">
            <v>78528.177849671934</v>
          </cell>
          <cell r="F23">
            <v>14741.65602243504</v>
          </cell>
          <cell r="G23">
            <v>63786.521827236895</v>
          </cell>
          <cell r="H23">
            <v>13413999.781290596</v>
          </cell>
        </row>
        <row r="24">
          <cell r="B24">
            <v>9</v>
          </cell>
          <cell r="C24">
            <v>39630</v>
          </cell>
          <cell r="D24">
            <v>13413999.781290596</v>
          </cell>
          <cell r="E24">
            <v>78528.177849671934</v>
          </cell>
          <cell r="F24">
            <v>14811.678888541603</v>
          </cell>
          <cell r="G24">
            <v>63716.498961130332</v>
          </cell>
          <cell r="H24">
            <v>13399188.102402054</v>
          </cell>
        </row>
        <row r="25">
          <cell r="B25">
            <v>10</v>
          </cell>
          <cell r="C25">
            <v>39661</v>
          </cell>
          <cell r="D25">
            <v>13399188.102402054</v>
          </cell>
          <cell r="E25">
            <v>78528.177849671934</v>
          </cell>
          <cell r="F25">
            <v>14882.034363262181</v>
          </cell>
          <cell r="G25">
            <v>63646.143486409754</v>
          </cell>
          <cell r="H25">
            <v>13384306.068038791</v>
          </cell>
        </row>
        <row r="26">
          <cell r="B26">
            <v>11</v>
          </cell>
          <cell r="C26">
            <v>39692</v>
          </cell>
          <cell r="D26">
            <v>13384306.068038791</v>
          </cell>
          <cell r="E26">
            <v>78528.177849671934</v>
          </cell>
          <cell r="F26">
            <v>14952.724026487675</v>
          </cell>
          <cell r="G26">
            <v>63575.45382318426</v>
          </cell>
          <cell r="H26">
            <v>13369353.344012305</v>
          </cell>
        </row>
        <row r="27">
          <cell r="B27">
            <v>12</v>
          </cell>
          <cell r="C27">
            <v>39722</v>
          </cell>
          <cell r="D27">
            <v>13369353.344012305</v>
          </cell>
          <cell r="E27">
            <v>78528.177849671934</v>
          </cell>
          <cell r="F27">
            <v>15023.749465613488</v>
          </cell>
          <cell r="G27">
            <v>63504.428384058447</v>
          </cell>
          <cell r="H27">
            <v>13354329.594546689</v>
          </cell>
        </row>
        <row r="28">
          <cell r="B28">
            <v>13</v>
          </cell>
          <cell r="C28">
            <v>39753</v>
          </cell>
          <cell r="D28">
            <v>13354329.594546689</v>
          </cell>
          <cell r="E28">
            <v>78528.177849671934</v>
          </cell>
          <cell r="F28">
            <v>15095.112275575164</v>
          </cell>
          <cell r="G28">
            <v>63433.06557409677</v>
          </cell>
          <cell r="H28">
            <v>13339234.482271114</v>
          </cell>
        </row>
        <row r="29">
          <cell r="B29">
            <v>14</v>
          </cell>
          <cell r="C29">
            <v>39783</v>
          </cell>
          <cell r="D29">
            <v>13339234.482271114</v>
          </cell>
          <cell r="E29">
            <v>78528.177849671934</v>
          </cell>
          <cell r="F29">
            <v>15166.814058884142</v>
          </cell>
          <cell r="G29">
            <v>63361.363790787793</v>
          </cell>
          <cell r="H29">
            <v>13324067.668212231</v>
          </cell>
        </row>
        <row r="30">
          <cell r="B30">
            <v>15</v>
          </cell>
          <cell r="C30">
            <v>39814</v>
          </cell>
          <cell r="D30">
            <v>13324067.668212231</v>
          </cell>
          <cell r="E30">
            <v>78528.177849671934</v>
          </cell>
          <cell r="F30">
            <v>15238.856425663835</v>
          </cell>
          <cell r="G30">
            <v>63289.3214240081</v>
          </cell>
          <cell r="H30">
            <v>13308828.811786566</v>
          </cell>
        </row>
        <row r="31">
          <cell r="B31">
            <v>16</v>
          </cell>
          <cell r="C31">
            <v>39845</v>
          </cell>
          <cell r="D31">
            <v>13308828.811786566</v>
          </cell>
          <cell r="E31">
            <v>78528.177849671934</v>
          </cell>
          <cell r="F31">
            <v>15311.240993685751</v>
          </cell>
          <cell r="G31">
            <v>63216.936855986183</v>
          </cell>
          <cell r="H31">
            <v>13293517.570792878</v>
          </cell>
        </row>
        <row r="32">
          <cell r="B32">
            <v>17</v>
          </cell>
          <cell r="C32">
            <v>39873</v>
          </cell>
          <cell r="D32">
            <v>13293517.570792878</v>
          </cell>
          <cell r="E32">
            <v>78528.177849671934</v>
          </cell>
          <cell r="F32">
            <v>15383.969388405763</v>
          </cell>
          <cell r="G32">
            <v>63144.208461266171</v>
          </cell>
          <cell r="H32">
            <v>13278133.601404473</v>
          </cell>
        </row>
        <row r="33">
          <cell r="B33">
            <v>18</v>
          </cell>
          <cell r="C33">
            <v>39904</v>
          </cell>
          <cell r="D33">
            <v>13278133.601404473</v>
          </cell>
          <cell r="E33">
            <v>78528.177849671934</v>
          </cell>
          <cell r="F33">
            <v>15457.043243000691</v>
          </cell>
          <cell r="G33">
            <v>63071.134606671243</v>
          </cell>
          <cell r="H33">
            <v>13262676.558161473</v>
          </cell>
        </row>
        <row r="34">
          <cell r="B34">
            <v>19</v>
          </cell>
          <cell r="C34">
            <v>39934</v>
          </cell>
          <cell r="D34">
            <v>13262676.558161473</v>
          </cell>
          <cell r="E34">
            <v>78528.177849671934</v>
          </cell>
          <cell r="F34">
            <v>15530.464198404938</v>
          </cell>
          <cell r="G34">
            <v>62997.713651266997</v>
          </cell>
          <cell r="H34">
            <v>13247146.093963068</v>
          </cell>
        </row>
        <row r="35">
          <cell r="B35">
            <v>20</v>
          </cell>
          <cell r="C35">
            <v>39965</v>
          </cell>
          <cell r="D35">
            <v>13247146.093963068</v>
          </cell>
          <cell r="E35">
            <v>78528.177849671934</v>
          </cell>
          <cell r="F35">
            <v>15604.233903347362</v>
          </cell>
          <cell r="G35">
            <v>62923.943946324573</v>
          </cell>
          <cell r="H35">
            <v>13231541.86005972</v>
          </cell>
        </row>
        <row r="36">
          <cell r="B36">
            <v>21</v>
          </cell>
          <cell r="C36">
            <v>39995</v>
          </cell>
          <cell r="D36">
            <v>13231541.86005972</v>
          </cell>
          <cell r="E36">
            <v>78528.177849671934</v>
          </cell>
          <cell r="F36">
            <v>15678.354014388271</v>
          </cell>
          <cell r="G36">
            <v>62849.823835283663</v>
          </cell>
          <cell r="H36">
            <v>13215863.506045332</v>
          </cell>
        </row>
        <row r="37">
          <cell r="B37">
            <v>22</v>
          </cell>
          <cell r="C37">
            <v>40026</v>
          </cell>
          <cell r="D37">
            <v>13215863.506045332</v>
          </cell>
          <cell r="E37">
            <v>78528.177849671934</v>
          </cell>
          <cell r="F37">
            <v>15752.826195956608</v>
          </cell>
          <cell r="G37">
            <v>62775.351653715326</v>
          </cell>
          <cell r="H37">
            <v>13200110.679849373</v>
          </cell>
        </row>
        <row r="38">
          <cell r="B38">
            <v>23</v>
          </cell>
          <cell r="C38">
            <v>40057</v>
          </cell>
          <cell r="D38">
            <v>13200110.679849373</v>
          </cell>
          <cell r="E38">
            <v>78528.177849671934</v>
          </cell>
          <cell r="F38">
            <v>15827.652120387414</v>
          </cell>
          <cell r="G38">
            <v>62700.52572928452</v>
          </cell>
          <cell r="H38">
            <v>13184283.027728986</v>
          </cell>
        </row>
        <row r="39">
          <cell r="B39">
            <v>24</v>
          </cell>
          <cell r="C39">
            <v>40087</v>
          </cell>
          <cell r="D39">
            <v>13184283.027728986</v>
          </cell>
          <cell r="E39">
            <v>78528.177849671934</v>
          </cell>
          <cell r="F39">
            <v>15902.833467959252</v>
          </cell>
          <cell r="G39">
            <v>62625.344381712683</v>
          </cell>
          <cell r="H39">
            <v>13168380.194261026</v>
          </cell>
        </row>
        <row r="40">
          <cell r="B40">
            <v>25</v>
          </cell>
          <cell r="C40">
            <v>40118</v>
          </cell>
          <cell r="D40">
            <v>13168380.194261026</v>
          </cell>
          <cell r="E40">
            <v>78528.177849671934</v>
          </cell>
          <cell r="F40">
            <v>15978.371926932065</v>
          </cell>
          <cell r="G40">
            <v>62549.80592273987</v>
          </cell>
          <cell r="H40">
            <v>13152401.822334096</v>
          </cell>
        </row>
        <row r="41">
          <cell r="B41">
            <v>26</v>
          </cell>
          <cell r="C41">
            <v>40148</v>
          </cell>
          <cell r="D41">
            <v>13152401.822334096</v>
          </cell>
          <cell r="E41">
            <v>78528.177849671934</v>
          </cell>
          <cell r="F41">
            <v>16054.26919358498</v>
          </cell>
          <cell r="G41">
            <v>62473.908656086955</v>
          </cell>
          <cell r="H41">
            <v>13136347.55314051</v>
          </cell>
        </row>
        <row r="42">
          <cell r="B42">
            <v>27</v>
          </cell>
          <cell r="C42">
            <v>40179</v>
          </cell>
          <cell r="D42">
            <v>13136347.55314051</v>
          </cell>
          <cell r="E42">
            <v>78528.177849671934</v>
          </cell>
          <cell r="F42">
            <v>16130.526972254513</v>
          </cell>
          <cell r="G42">
            <v>62397.650877417422</v>
          </cell>
          <cell r="H42">
            <v>13120217.026168255</v>
          </cell>
        </row>
        <row r="43">
          <cell r="B43">
            <v>28</v>
          </cell>
          <cell r="C43">
            <v>40210</v>
          </cell>
          <cell r="D43">
            <v>13120217.026168255</v>
          </cell>
          <cell r="E43">
            <v>78528.177849671934</v>
          </cell>
          <cell r="F43">
            <v>16207.146975372721</v>
          </cell>
          <cell r="G43">
            <v>62321.030874299213</v>
          </cell>
          <cell r="H43">
            <v>13104009.879192881</v>
          </cell>
        </row>
        <row r="44">
          <cell r="B44">
            <v>29</v>
          </cell>
          <cell r="C44">
            <v>40238</v>
          </cell>
          <cell r="D44">
            <v>13104009.879192881</v>
          </cell>
          <cell r="E44">
            <v>78528.177849671934</v>
          </cell>
          <cell r="F44">
            <v>16284.130923505749</v>
          </cell>
          <cell r="G44">
            <v>62244.046926166186</v>
          </cell>
          <cell r="H44">
            <v>13087725.748269375</v>
          </cell>
        </row>
        <row r="45">
          <cell r="B45">
            <v>30</v>
          </cell>
          <cell r="C45">
            <v>40269</v>
          </cell>
          <cell r="D45">
            <v>13087725.748269375</v>
          </cell>
          <cell r="E45">
            <v>78528.177849671934</v>
          </cell>
          <cell r="F45">
            <v>16361.480545392405</v>
          </cell>
          <cell r="G45">
            <v>62166.697304279529</v>
          </cell>
          <cell r="H45">
            <v>13071364.267723983</v>
          </cell>
        </row>
        <row r="46">
          <cell r="B46">
            <v>31</v>
          </cell>
          <cell r="C46">
            <v>40299</v>
          </cell>
          <cell r="D46">
            <v>13071364.267723983</v>
          </cell>
          <cell r="E46">
            <v>78528.177849671934</v>
          </cell>
          <cell r="F46">
            <v>16439.197577983017</v>
          </cell>
          <cell r="G46">
            <v>62088.980271688917</v>
          </cell>
          <cell r="H46">
            <v>13054925.070146</v>
          </cell>
        </row>
        <row r="47">
          <cell r="B47">
            <v>32</v>
          </cell>
          <cell r="C47">
            <v>40330</v>
          </cell>
          <cell r="D47">
            <v>13054925.070146</v>
          </cell>
          <cell r="E47">
            <v>78528.177849671934</v>
          </cell>
          <cell r="F47">
            <v>16517.283766478438</v>
          </cell>
          <cell r="G47">
            <v>62010.894083193496</v>
          </cell>
          <cell r="H47">
            <v>13038407.78637952</v>
          </cell>
        </row>
        <row r="48">
          <cell r="B48">
            <v>33</v>
          </cell>
          <cell r="C48">
            <v>40360</v>
          </cell>
          <cell r="D48">
            <v>13038407.78637952</v>
          </cell>
          <cell r="E48">
            <v>78528.177849671934</v>
          </cell>
          <cell r="F48">
            <v>16595.740864369218</v>
          </cell>
          <cell r="G48">
            <v>61932.436985302716</v>
          </cell>
          <cell r="H48">
            <v>13021812.04551515</v>
          </cell>
        </row>
        <row r="49">
          <cell r="B49">
            <v>34</v>
          </cell>
          <cell r="C49">
            <v>40391</v>
          </cell>
          <cell r="D49">
            <v>13021812.04551515</v>
          </cell>
          <cell r="E49">
            <v>78528.177849671934</v>
          </cell>
          <cell r="F49">
            <v>16674.570633474978</v>
          </cell>
          <cell r="G49">
            <v>61853.607216196957</v>
          </cell>
          <cell r="H49">
            <v>13005137.474881675</v>
          </cell>
        </row>
        <row r="50">
          <cell r="B50">
            <v>35</v>
          </cell>
          <cell r="C50">
            <v>40422</v>
          </cell>
          <cell r="D50">
            <v>13005137.474881675</v>
          </cell>
          <cell r="E50">
            <v>78528.177849671934</v>
          </cell>
          <cell r="F50">
            <v>16753.774843983978</v>
          </cell>
          <cell r="G50">
            <v>61774.403005687956</v>
          </cell>
          <cell r="H50">
            <v>12988383.700037692</v>
          </cell>
        </row>
        <row r="51">
          <cell r="B51">
            <v>36</v>
          </cell>
          <cell r="C51">
            <v>40452</v>
          </cell>
          <cell r="D51">
            <v>12988383.700037692</v>
          </cell>
          <cell r="E51">
            <v>78528.177849671934</v>
          </cell>
          <cell r="F51">
            <v>16833.355274492897</v>
          </cell>
          <cell r="G51">
            <v>61694.822575179038</v>
          </cell>
          <cell r="H51">
            <v>12971550.344763197</v>
          </cell>
        </row>
        <row r="52">
          <cell r="B52">
            <v>37</v>
          </cell>
          <cell r="C52">
            <v>40483</v>
          </cell>
          <cell r="D52">
            <v>12971550.344763197</v>
          </cell>
          <cell r="E52">
            <v>78528.177849671934</v>
          </cell>
          <cell r="F52">
            <v>16913.313712046751</v>
          </cell>
          <cell r="G52">
            <v>61614.864137625184</v>
          </cell>
          <cell r="H52">
            <v>12954637.031051151</v>
          </cell>
        </row>
        <row r="53">
          <cell r="B53">
            <v>38</v>
          </cell>
          <cell r="C53">
            <v>40513</v>
          </cell>
          <cell r="D53">
            <v>12954637.031051151</v>
          </cell>
          <cell r="E53">
            <v>78528.177849671934</v>
          </cell>
          <cell r="F53">
            <v>16993.651952178967</v>
          </cell>
          <cell r="G53">
            <v>61534.525897492967</v>
          </cell>
          <cell r="H53">
            <v>12937643.37909897</v>
          </cell>
        </row>
        <row r="54">
          <cell r="B54">
            <v>39</v>
          </cell>
          <cell r="C54">
            <v>40544</v>
          </cell>
          <cell r="D54">
            <v>12937643.37909897</v>
          </cell>
          <cell r="E54">
            <v>78528.177849671934</v>
          </cell>
          <cell r="F54">
            <v>17074.371798951826</v>
          </cell>
          <cell r="G54">
            <v>61453.806050720108</v>
          </cell>
          <cell r="H54">
            <v>12920569.007300019</v>
          </cell>
        </row>
        <row r="55">
          <cell r="B55">
            <v>40</v>
          </cell>
          <cell r="C55">
            <v>40575</v>
          </cell>
          <cell r="D55">
            <v>12920569.007300019</v>
          </cell>
          <cell r="E55">
            <v>78528.177849671934</v>
          </cell>
          <cell r="F55">
            <v>17155.475064996841</v>
          </cell>
          <cell r="G55">
            <v>61372.702784675093</v>
          </cell>
          <cell r="H55">
            <v>12903413.532235023</v>
          </cell>
        </row>
        <row r="56">
          <cell r="B56">
            <v>41</v>
          </cell>
          <cell r="C56">
            <v>40603</v>
          </cell>
          <cell r="D56">
            <v>12903413.532235023</v>
          </cell>
          <cell r="E56">
            <v>78528.177849671934</v>
          </cell>
          <cell r="F56">
            <v>17236.963571555578</v>
          </cell>
          <cell r="G56">
            <v>61291.214278116357</v>
          </cell>
          <cell r="H56">
            <v>12886176.568663467</v>
          </cell>
        </row>
        <row r="57">
          <cell r="B57">
            <v>42</v>
          </cell>
          <cell r="C57">
            <v>40634</v>
          </cell>
          <cell r="D57">
            <v>12886176.568663467</v>
          </cell>
          <cell r="E57">
            <v>78528.177849671934</v>
          </cell>
          <cell r="F57">
            <v>17318.83914852047</v>
          </cell>
          <cell r="G57">
            <v>61209.338701151464</v>
          </cell>
          <cell r="H57">
            <v>12868857.729514945</v>
          </cell>
        </row>
        <row r="58">
          <cell r="B58">
            <v>43</v>
          </cell>
          <cell r="C58">
            <v>40664</v>
          </cell>
          <cell r="D58">
            <v>12868857.729514945</v>
          </cell>
          <cell r="E58">
            <v>78528.177849671934</v>
          </cell>
          <cell r="F58">
            <v>17401.103634475949</v>
          </cell>
          <cell r="G58">
            <v>61127.074215195986</v>
          </cell>
          <cell r="H58">
            <v>12851456.625880469</v>
          </cell>
        </row>
        <row r="59">
          <cell r="B59">
            <v>44</v>
          </cell>
          <cell r="C59">
            <v>40695</v>
          </cell>
          <cell r="D59">
            <v>12851456.625880469</v>
          </cell>
          <cell r="E59">
            <v>78528.177849671934</v>
          </cell>
          <cell r="F59">
            <v>17483.75887673971</v>
          </cell>
          <cell r="G59">
            <v>61044.418972932224</v>
          </cell>
          <cell r="H59">
            <v>12833972.867003728</v>
          </cell>
        </row>
        <row r="60">
          <cell r="B60">
            <v>45</v>
          </cell>
          <cell r="C60">
            <v>40725</v>
          </cell>
          <cell r="D60">
            <v>12833972.867003728</v>
          </cell>
          <cell r="E60">
            <v>78528.177849671934</v>
          </cell>
          <cell r="F60">
            <v>17566.806731404227</v>
          </cell>
          <cell r="G60">
            <v>60961.371118267707</v>
          </cell>
          <cell r="H60">
            <v>12816406.060272325</v>
          </cell>
        </row>
        <row r="61">
          <cell r="B61">
            <v>46</v>
          </cell>
          <cell r="C61">
            <v>40756</v>
          </cell>
          <cell r="D61">
            <v>12816406.060272325</v>
          </cell>
          <cell r="E61">
            <v>78528.177849671934</v>
          </cell>
          <cell r="F61">
            <v>17650.249063378396</v>
          </cell>
          <cell r="G61">
            <v>60877.928786293538</v>
          </cell>
          <cell r="H61">
            <v>12798755.811208945</v>
          </cell>
        </row>
        <row r="62">
          <cell r="B62">
            <v>47</v>
          </cell>
          <cell r="C62">
            <v>40787</v>
          </cell>
          <cell r="D62">
            <v>12798755.811208945</v>
          </cell>
          <cell r="E62">
            <v>78528.177849671934</v>
          </cell>
          <cell r="F62">
            <v>17734.087746429446</v>
          </cell>
          <cell r="G62">
            <v>60794.090103242488</v>
          </cell>
          <cell r="H62">
            <v>12781021.723462518</v>
          </cell>
        </row>
        <row r="63">
          <cell r="B63">
            <v>48</v>
          </cell>
          <cell r="C63">
            <v>40817</v>
          </cell>
          <cell r="D63">
            <v>12781021.723462518</v>
          </cell>
          <cell r="E63">
            <v>78528.177849671934</v>
          </cell>
          <cell r="F63">
            <v>17818.324663224972</v>
          </cell>
          <cell r="G63">
            <v>60709.853186446962</v>
          </cell>
          <cell r="H63">
            <v>12763203.398799291</v>
          </cell>
        </row>
        <row r="64">
          <cell r="B64">
            <v>49</v>
          </cell>
          <cell r="C64">
            <v>40848</v>
          </cell>
          <cell r="D64">
            <v>12763203.398799291</v>
          </cell>
          <cell r="E64">
            <v>78528.177849671934</v>
          </cell>
          <cell r="F64">
            <v>17902.961705375303</v>
          </cell>
          <cell r="G64">
            <v>60625.216144296632</v>
          </cell>
          <cell r="H64">
            <v>12745300.437093914</v>
          </cell>
        </row>
        <row r="65">
          <cell r="B65">
            <v>50</v>
          </cell>
          <cell r="C65">
            <v>40878</v>
          </cell>
          <cell r="D65">
            <v>12745300.437093914</v>
          </cell>
          <cell r="E65">
            <v>78528.177849671934</v>
          </cell>
          <cell r="F65">
            <v>17988.000773475847</v>
          </cell>
          <cell r="G65">
            <v>60540.177076196087</v>
          </cell>
          <cell r="H65">
            <v>12727312.436320439</v>
          </cell>
        </row>
        <row r="66">
          <cell r="B66">
            <v>51</v>
          </cell>
          <cell r="C66">
            <v>40909</v>
          </cell>
          <cell r="D66">
            <v>12727312.436320439</v>
          </cell>
          <cell r="E66">
            <v>78528.177849671934</v>
          </cell>
          <cell r="F66">
            <v>18073.443777149849</v>
          </cell>
          <cell r="G66">
            <v>60454.734072522086</v>
          </cell>
          <cell r="H66">
            <v>12709238.992543291</v>
          </cell>
        </row>
        <row r="67">
          <cell r="B67">
            <v>52</v>
          </cell>
          <cell r="C67">
            <v>40940</v>
          </cell>
          <cell r="D67">
            <v>12709238.992543291</v>
          </cell>
          <cell r="E67">
            <v>78528.177849671934</v>
          </cell>
          <cell r="F67">
            <v>18159.292635091304</v>
          </cell>
          <cell r="G67">
            <v>60368.88521458063</v>
          </cell>
          <cell r="H67">
            <v>12691079.699908197</v>
          </cell>
        </row>
        <row r="68">
          <cell r="B68">
            <v>53</v>
          </cell>
          <cell r="C68">
            <v>40969</v>
          </cell>
          <cell r="D68">
            <v>12691079.699908197</v>
          </cell>
          <cell r="E68">
            <v>78528.177849671934</v>
          </cell>
          <cell r="F68">
            <v>18245.549275108002</v>
          </cell>
          <cell r="G68">
            <v>60282.628574563932</v>
          </cell>
          <cell r="H68">
            <v>12672834.150633091</v>
          </cell>
        </row>
        <row r="69">
          <cell r="B69">
            <v>54</v>
          </cell>
          <cell r="C69">
            <v>41000</v>
          </cell>
          <cell r="D69">
            <v>12672834.150633091</v>
          </cell>
          <cell r="E69">
            <v>78528.177849671934</v>
          </cell>
          <cell r="F69">
            <v>18332.21563416475</v>
          </cell>
          <cell r="G69">
            <v>60195.962215507185</v>
          </cell>
          <cell r="H69">
            <v>12654501.934998924</v>
          </cell>
        </row>
        <row r="70">
          <cell r="B70">
            <v>55</v>
          </cell>
          <cell r="C70">
            <v>41030</v>
          </cell>
          <cell r="D70">
            <v>12654501.934998924</v>
          </cell>
          <cell r="E70">
            <v>78528.177849671934</v>
          </cell>
          <cell r="F70">
            <v>18419.29365842705</v>
          </cell>
          <cell r="G70">
            <v>60108.884191244884</v>
          </cell>
          <cell r="H70">
            <v>12636082.641340494</v>
          </cell>
        </row>
        <row r="71">
          <cell r="B71">
            <v>56</v>
          </cell>
          <cell r="C71">
            <v>41061</v>
          </cell>
          <cell r="D71">
            <v>12636082.641340494</v>
          </cell>
          <cell r="E71">
            <v>78528.177849671934</v>
          </cell>
          <cell r="F71">
            <v>18506.78530330459</v>
          </cell>
          <cell r="G71">
            <v>60021.392546367344</v>
          </cell>
          <cell r="H71">
            <v>12617575.856037192</v>
          </cell>
        </row>
        <row r="72">
          <cell r="B72">
            <v>57</v>
          </cell>
          <cell r="C72">
            <v>41091</v>
          </cell>
          <cell r="D72">
            <v>12617575.856037192</v>
          </cell>
          <cell r="E72">
            <v>78528.177849671934</v>
          </cell>
          <cell r="F72">
            <v>18594.692533495276</v>
          </cell>
          <cell r="G72">
            <v>59933.485316176659</v>
          </cell>
          <cell r="H72">
            <v>12598981.163503697</v>
          </cell>
        </row>
        <row r="73">
          <cell r="B73">
            <v>58</v>
          </cell>
          <cell r="C73">
            <v>41122</v>
          </cell>
          <cell r="D73">
            <v>12598981.163503697</v>
          </cell>
          <cell r="E73">
            <v>78528.177849671934</v>
          </cell>
          <cell r="F73">
            <v>18683.017323029373</v>
          </cell>
          <cell r="G73">
            <v>59845.160526642561</v>
          </cell>
          <cell r="H73">
            <v>12580298.146180669</v>
          </cell>
        </row>
        <row r="74">
          <cell r="B74">
            <v>59</v>
          </cell>
          <cell r="C74">
            <v>41153</v>
          </cell>
          <cell r="D74">
            <v>12580298.146180669</v>
          </cell>
          <cell r="E74">
            <v>78528.177849671934</v>
          </cell>
          <cell r="F74">
            <v>18771.761655313756</v>
          </cell>
          <cell r="G74">
            <v>59756.416194358178</v>
          </cell>
          <cell r="H74">
            <v>12561526.384525351</v>
          </cell>
        </row>
        <row r="75">
          <cell r="B75">
            <v>60</v>
          </cell>
          <cell r="C75">
            <v>41183</v>
          </cell>
          <cell r="D75">
            <v>12561526.384525351</v>
          </cell>
          <cell r="E75">
            <v>78528.177849671934</v>
          </cell>
          <cell r="F75">
            <v>18860.92752317652</v>
          </cell>
          <cell r="G75">
            <v>59667.250326495414</v>
          </cell>
          <cell r="H75">
            <v>12542665.457002174</v>
          </cell>
        </row>
        <row r="76">
          <cell r="B76">
            <v>61</v>
          </cell>
          <cell r="C76">
            <v>41214</v>
          </cell>
          <cell r="D76">
            <v>12542665.457002174</v>
          </cell>
          <cell r="E76">
            <v>78528.177849671934</v>
          </cell>
          <cell r="F76">
            <v>18950.516928911609</v>
          </cell>
          <cell r="G76">
            <v>59577.660920760325</v>
          </cell>
          <cell r="H76">
            <v>12523714.940073263</v>
          </cell>
        </row>
        <row r="77">
          <cell r="B77">
            <v>62</v>
          </cell>
          <cell r="C77">
            <v>41244</v>
          </cell>
          <cell r="D77">
            <v>12523714.940073263</v>
          </cell>
          <cell r="E77">
            <v>78528.177849671934</v>
          </cell>
          <cell r="F77">
            <v>19040.531884323937</v>
          </cell>
          <cell r="G77">
            <v>59487.645965347998</v>
          </cell>
          <cell r="H77">
            <v>12504674.408188939</v>
          </cell>
        </row>
        <row r="78">
          <cell r="B78">
            <v>63</v>
          </cell>
          <cell r="C78">
            <v>41275</v>
          </cell>
          <cell r="D78">
            <v>12504674.408188939</v>
          </cell>
          <cell r="E78">
            <v>78528.177849671934</v>
          </cell>
          <cell r="F78">
            <v>19130.974410774477</v>
          </cell>
          <cell r="G78">
            <v>59397.203438897457</v>
          </cell>
          <cell r="H78">
            <v>12485543.433778163</v>
          </cell>
        </row>
        <row r="79">
          <cell r="B79">
            <v>64</v>
          </cell>
          <cell r="C79">
            <v>41306</v>
          </cell>
          <cell r="D79">
            <v>12485543.433778163</v>
          </cell>
          <cell r="E79">
            <v>78528.177849671934</v>
          </cell>
          <cell r="F79">
            <v>19221.846539225662</v>
          </cell>
          <cell r="G79">
            <v>59306.331310446272</v>
          </cell>
          <cell r="H79">
            <v>12466321.587238938</v>
          </cell>
        </row>
        <row r="80">
          <cell r="B80">
            <v>65</v>
          </cell>
          <cell r="C80">
            <v>41334</v>
          </cell>
          <cell r="D80">
            <v>12466321.587238938</v>
          </cell>
          <cell r="E80">
            <v>78528.177849671934</v>
          </cell>
          <cell r="F80">
            <v>19313.150310286983</v>
          </cell>
          <cell r="G80">
            <v>59215.027539384952</v>
          </cell>
          <cell r="H80">
            <v>12447008.436928649</v>
          </cell>
        </row>
        <row r="81">
          <cell r="B81">
            <v>66</v>
          </cell>
          <cell r="C81">
            <v>41365</v>
          </cell>
          <cell r="D81">
            <v>12447008.436928649</v>
          </cell>
          <cell r="E81">
            <v>78528.177849671934</v>
          </cell>
          <cell r="F81">
            <v>19404.887774260853</v>
          </cell>
          <cell r="G81">
            <v>59123.290075411081</v>
          </cell>
          <cell r="H81">
            <v>12427603.54915439</v>
          </cell>
        </row>
        <row r="82">
          <cell r="B82">
            <v>67</v>
          </cell>
          <cell r="C82">
            <v>41395</v>
          </cell>
          <cell r="D82">
            <v>12427603.54915439</v>
          </cell>
          <cell r="E82">
            <v>78528.177849671934</v>
          </cell>
          <cell r="F82">
            <v>19497.060991188584</v>
          </cell>
          <cell r="G82">
            <v>59031.11685848335</v>
          </cell>
          <cell r="H82">
            <v>12408106.488163199</v>
          </cell>
        </row>
        <row r="83">
          <cell r="B83">
            <v>68</v>
          </cell>
          <cell r="C83">
            <v>41426</v>
          </cell>
          <cell r="D83">
            <v>12408106.488163199</v>
          </cell>
          <cell r="E83">
            <v>78528.177849671934</v>
          </cell>
          <cell r="F83">
            <v>19589.672030896741</v>
          </cell>
          <cell r="G83">
            <v>58938.505818775193</v>
          </cell>
          <cell r="H83">
            <v>12388516.816132301</v>
          </cell>
        </row>
        <row r="84">
          <cell r="B84">
            <v>69</v>
          </cell>
          <cell r="C84">
            <v>41456</v>
          </cell>
          <cell r="D84">
            <v>12388516.816132301</v>
          </cell>
          <cell r="E84">
            <v>78528.177849671934</v>
          </cell>
          <cell r="F84">
            <v>19682.722973043506</v>
          </cell>
          <cell r="G84">
            <v>58845.454876628428</v>
          </cell>
          <cell r="H84">
            <v>12368834.093159262</v>
          </cell>
        </row>
        <row r="85">
          <cell r="B85">
            <v>70</v>
          </cell>
          <cell r="C85">
            <v>41487</v>
          </cell>
          <cell r="D85">
            <v>12368834.093159262</v>
          </cell>
          <cell r="E85">
            <v>78528.177849671934</v>
          </cell>
          <cell r="F85">
            <v>19776.215907165439</v>
          </cell>
          <cell r="G85">
            <v>58751.961942506496</v>
          </cell>
          <cell r="H85">
            <v>12349057.877252093</v>
          </cell>
        </row>
        <row r="86">
          <cell r="B86">
            <v>71</v>
          </cell>
          <cell r="C86">
            <v>41518</v>
          </cell>
          <cell r="D86">
            <v>12349057.877252093</v>
          </cell>
          <cell r="E86">
            <v>78528.177849671934</v>
          </cell>
          <cell r="F86">
            <v>19870.152932724493</v>
          </cell>
          <cell r="G86">
            <v>58658.024916947441</v>
          </cell>
          <cell r="H86">
            <v>12329187.72431937</v>
          </cell>
        </row>
        <row r="87">
          <cell r="B87">
            <v>72</v>
          </cell>
          <cell r="C87">
            <v>41548</v>
          </cell>
          <cell r="D87">
            <v>12329187.72431937</v>
          </cell>
          <cell r="E87">
            <v>78528.177849671934</v>
          </cell>
          <cell r="F87">
            <v>19964.536159154923</v>
          </cell>
          <cell r="G87">
            <v>58563.641690517012</v>
          </cell>
          <cell r="H87">
            <v>12309223.188160213</v>
          </cell>
        </row>
        <row r="88">
          <cell r="B88">
            <v>73</v>
          </cell>
          <cell r="C88">
            <v>41579</v>
          </cell>
          <cell r="D88">
            <v>12309223.188160213</v>
          </cell>
          <cell r="E88">
            <v>78528.177849671934</v>
          </cell>
          <cell r="F88">
            <v>20059.367705910925</v>
          </cell>
          <cell r="G88">
            <v>58468.810143761009</v>
          </cell>
          <cell r="H88">
            <v>12289163.820454301</v>
          </cell>
        </row>
        <row r="89">
          <cell r="B89">
            <v>74</v>
          </cell>
          <cell r="C89">
            <v>41609</v>
          </cell>
          <cell r="D89">
            <v>12289163.820454301</v>
          </cell>
          <cell r="E89">
            <v>78528.177849671934</v>
          </cell>
          <cell r="F89">
            <v>20154.649702514005</v>
          </cell>
          <cell r="G89">
            <v>58373.528147157929</v>
          </cell>
          <cell r="H89">
            <v>12269009.170751788</v>
          </cell>
        </row>
        <row r="90">
          <cell r="B90">
            <v>75</v>
          </cell>
          <cell r="C90">
            <v>41640</v>
          </cell>
          <cell r="D90">
            <v>12269009.170751788</v>
          </cell>
          <cell r="E90">
            <v>78528.177849671934</v>
          </cell>
          <cell r="F90">
            <v>20250.384288600944</v>
          </cell>
          <cell r="G90">
            <v>58277.79356107099</v>
          </cell>
          <cell r="H90">
            <v>12248758.786463186</v>
          </cell>
        </row>
        <row r="91">
          <cell r="B91">
            <v>76</v>
          </cell>
          <cell r="C91">
            <v>41671</v>
          </cell>
          <cell r="D91">
            <v>12248758.786463186</v>
          </cell>
          <cell r="E91">
            <v>78528.177849671934</v>
          </cell>
          <cell r="F91">
            <v>20346.573613971799</v>
          </cell>
          <cell r="G91">
            <v>58181.604235700135</v>
          </cell>
          <cell r="H91">
            <v>12228412.212849213</v>
          </cell>
        </row>
        <row r="92">
          <cell r="B92">
            <v>77</v>
          </cell>
          <cell r="C92">
            <v>41699</v>
          </cell>
          <cell r="D92">
            <v>12228412.212849213</v>
          </cell>
          <cell r="E92">
            <v>78528.177849671934</v>
          </cell>
          <cell r="F92">
            <v>20443.219838638171</v>
          </cell>
          <cell r="G92">
            <v>58084.958011033763</v>
          </cell>
          <cell r="H92">
            <v>12207968.993010575</v>
          </cell>
        </row>
        <row r="93">
          <cell r="B93">
            <v>78</v>
          </cell>
          <cell r="C93">
            <v>41730</v>
          </cell>
          <cell r="D93">
            <v>12207968.993010575</v>
          </cell>
          <cell r="E93">
            <v>78528.177849671934</v>
          </cell>
          <cell r="F93">
            <v>20540.325132871701</v>
          </cell>
          <cell r="G93">
            <v>57987.852716800233</v>
          </cell>
          <cell r="H93">
            <v>12187428.667877704</v>
          </cell>
        </row>
        <row r="94">
          <cell r="B94">
            <v>79</v>
          </cell>
          <cell r="C94">
            <v>41760</v>
          </cell>
          <cell r="D94">
            <v>12187428.667877704</v>
          </cell>
          <cell r="E94">
            <v>78528.177849671934</v>
          </cell>
          <cell r="F94">
            <v>20637.891677252839</v>
          </cell>
          <cell r="G94">
            <v>57890.286172419095</v>
          </cell>
          <cell r="H94">
            <v>12166790.776200451</v>
          </cell>
        </row>
        <row r="95">
          <cell r="B95">
            <v>80</v>
          </cell>
          <cell r="C95">
            <v>41791</v>
          </cell>
          <cell r="D95">
            <v>12166790.776200451</v>
          </cell>
          <cell r="E95">
            <v>78528.177849671934</v>
          </cell>
          <cell r="F95">
            <v>20735.921662719797</v>
          </cell>
          <cell r="G95">
            <v>57792.256186952138</v>
          </cell>
          <cell r="H95">
            <v>12146054.854537731</v>
          </cell>
        </row>
        <row r="96">
          <cell r="B96">
            <v>81</v>
          </cell>
          <cell r="C96">
            <v>41821</v>
          </cell>
          <cell r="D96">
            <v>12146054.854537731</v>
          </cell>
          <cell r="E96">
            <v>78528.177849671934</v>
          </cell>
          <cell r="F96">
            <v>20834.417290617712</v>
          </cell>
          <cell r="G96">
            <v>57693.760559054223</v>
          </cell>
          <cell r="H96">
            <v>12125220.437247111</v>
          </cell>
        </row>
        <row r="97">
          <cell r="B97">
            <v>82</v>
          </cell>
          <cell r="C97">
            <v>41852</v>
          </cell>
          <cell r="D97">
            <v>12125220.437247111</v>
          </cell>
          <cell r="E97">
            <v>78528.177849671934</v>
          </cell>
          <cell r="F97">
            <v>20933.380772748162</v>
          </cell>
          <cell r="G97">
            <v>57594.797076923773</v>
          </cell>
          <cell r="H97">
            <v>12104287.056474363</v>
          </cell>
        </row>
        <row r="98">
          <cell r="B98">
            <v>83</v>
          </cell>
          <cell r="C98">
            <v>41883</v>
          </cell>
          <cell r="D98">
            <v>12104287.056474363</v>
          </cell>
          <cell r="E98">
            <v>78528.177849671934</v>
          </cell>
          <cell r="F98">
            <v>21032.814331418711</v>
          </cell>
          <cell r="G98">
            <v>57495.363518253223</v>
          </cell>
          <cell r="H98">
            <v>12083254.242142946</v>
          </cell>
        </row>
        <row r="99">
          <cell r="B99">
            <v>84</v>
          </cell>
          <cell r="C99">
            <v>41913</v>
          </cell>
          <cell r="D99">
            <v>12083254.242142946</v>
          </cell>
          <cell r="E99">
            <v>78528.177849671934</v>
          </cell>
          <cell r="F99">
            <v>21132.720199492942</v>
          </cell>
          <cell r="G99">
            <v>57395.457650178992</v>
          </cell>
          <cell r="H99">
            <v>12062121.521943454</v>
          </cell>
        </row>
        <row r="100">
          <cell r="B100">
            <v>85</v>
          </cell>
          <cell r="C100">
            <v>41944</v>
          </cell>
          <cell r="D100">
            <v>12062121.521943454</v>
          </cell>
          <cell r="E100">
            <v>78528.177849671934</v>
          </cell>
          <cell r="F100">
            <v>21233.100620440528</v>
          </cell>
          <cell r="G100">
            <v>57295.077229231407</v>
          </cell>
          <cell r="H100">
            <v>12040888.421323013</v>
          </cell>
        </row>
        <row r="101">
          <cell r="B101">
            <v>86</v>
          </cell>
          <cell r="C101">
            <v>41974</v>
          </cell>
          <cell r="D101">
            <v>12040888.421323013</v>
          </cell>
          <cell r="E101">
            <v>78528.177849671934</v>
          </cell>
          <cell r="F101">
            <v>21333.957848387625</v>
          </cell>
          <cell r="G101">
            <v>57194.22000128431</v>
          </cell>
          <cell r="H101">
            <v>12019554.46347462</v>
          </cell>
        </row>
        <row r="102">
          <cell r="B102">
            <v>87</v>
          </cell>
          <cell r="C102">
            <v>42005</v>
          </cell>
          <cell r="D102">
            <v>12019554.46347462</v>
          </cell>
          <cell r="E102">
            <v>78528.177849671934</v>
          </cell>
          <cell r="F102">
            <v>21435.294148167493</v>
          </cell>
          <cell r="G102">
            <v>57092.883701504441</v>
          </cell>
          <cell r="H102">
            <v>11998119.169326454</v>
          </cell>
        </row>
        <row r="103">
          <cell r="B103">
            <v>88</v>
          </cell>
          <cell r="C103">
            <v>42036</v>
          </cell>
          <cell r="D103">
            <v>11998119.169326454</v>
          </cell>
          <cell r="E103">
            <v>78528.177849671934</v>
          </cell>
          <cell r="F103">
            <v>21537.111795371275</v>
          </cell>
          <cell r="G103">
            <v>56991.06605430066</v>
          </cell>
          <cell r="H103">
            <v>11976582.057531081</v>
          </cell>
        </row>
        <row r="104">
          <cell r="B104">
            <v>89</v>
          </cell>
          <cell r="C104">
            <v>42064</v>
          </cell>
          <cell r="D104">
            <v>11976582.057531081</v>
          </cell>
          <cell r="E104">
            <v>78528.177849671934</v>
          </cell>
          <cell r="F104">
            <v>21639.413076399302</v>
          </cell>
          <cell r="G104">
            <v>56888.764773272633</v>
          </cell>
          <cell r="H104">
            <v>11954942.644454684</v>
          </cell>
        </row>
        <row r="105">
          <cell r="B105">
            <v>90</v>
          </cell>
          <cell r="C105">
            <v>42095</v>
          </cell>
          <cell r="D105">
            <v>11954942.644454684</v>
          </cell>
          <cell r="E105">
            <v>78528.177849671934</v>
          </cell>
          <cell r="F105">
            <v>21742.200288512184</v>
          </cell>
          <cell r="G105">
            <v>56785.977561159751</v>
          </cell>
          <cell r="H105">
            <v>11933200.44416617</v>
          </cell>
        </row>
        <row r="106">
          <cell r="B106">
            <v>91</v>
          </cell>
          <cell r="C106">
            <v>42125</v>
          </cell>
          <cell r="D106">
            <v>11933200.44416617</v>
          </cell>
          <cell r="E106">
            <v>78528.177849671934</v>
          </cell>
          <cell r="F106">
            <v>21845.475739882626</v>
          </cell>
          <cell r="G106">
            <v>56682.702109789308</v>
          </cell>
          <cell r="H106">
            <v>11911354.968426289</v>
          </cell>
        </row>
        <row r="107">
          <cell r="B107">
            <v>92</v>
          </cell>
          <cell r="C107">
            <v>42156</v>
          </cell>
          <cell r="D107">
            <v>11911354.968426289</v>
          </cell>
          <cell r="E107">
            <v>78528.177849671934</v>
          </cell>
          <cell r="F107">
            <v>21949.241749647066</v>
          </cell>
          <cell r="G107">
            <v>56578.936100024868</v>
          </cell>
          <cell r="H107">
            <v>11889405.726676639</v>
          </cell>
        </row>
        <row r="108">
          <cell r="B108">
            <v>93</v>
          </cell>
          <cell r="C108">
            <v>42186</v>
          </cell>
          <cell r="D108">
            <v>11889405.726676639</v>
          </cell>
          <cell r="E108">
            <v>78528.177849671934</v>
          </cell>
          <cell r="F108">
            <v>22053.500647957902</v>
          </cell>
          <cell r="G108">
            <v>56474.677201714032</v>
          </cell>
          <cell r="H108">
            <v>11867352.226028683</v>
          </cell>
        </row>
        <row r="109">
          <cell r="B109">
            <v>94</v>
          </cell>
          <cell r="C109">
            <v>42217</v>
          </cell>
          <cell r="D109">
            <v>11867352.226028683</v>
          </cell>
          <cell r="E109">
            <v>78528.177849671934</v>
          </cell>
          <cell r="F109">
            <v>22158.25477603569</v>
          </cell>
          <cell r="G109">
            <v>56369.923073636244</v>
          </cell>
          <cell r="H109">
            <v>11845193.971252646</v>
          </cell>
        </row>
        <row r="110">
          <cell r="B110">
            <v>95</v>
          </cell>
          <cell r="C110">
            <v>42248</v>
          </cell>
          <cell r="D110">
            <v>11845193.971252646</v>
          </cell>
          <cell r="E110">
            <v>78528.177849671934</v>
          </cell>
          <cell r="F110">
            <v>22263.506486221864</v>
          </cell>
          <cell r="G110">
            <v>56264.67136345007</v>
          </cell>
          <cell r="H110">
            <v>11822930.464766422</v>
          </cell>
        </row>
        <row r="111">
          <cell r="B111">
            <v>96</v>
          </cell>
          <cell r="C111">
            <v>42278</v>
          </cell>
          <cell r="D111">
            <v>11822930.464766422</v>
          </cell>
          <cell r="E111">
            <v>78528.177849671934</v>
          </cell>
          <cell r="F111">
            <v>22369.258142031431</v>
          </cell>
          <cell r="G111">
            <v>56158.919707640503</v>
          </cell>
          <cell r="H111">
            <v>11800561.206624391</v>
          </cell>
        </row>
        <row r="112">
          <cell r="B112">
            <v>97</v>
          </cell>
          <cell r="C112">
            <v>42309</v>
          </cell>
          <cell r="D112">
            <v>11800561.206624391</v>
          </cell>
          <cell r="E112">
            <v>78528.177849671934</v>
          </cell>
          <cell r="F112">
            <v>22475.512118206083</v>
          </cell>
          <cell r="G112">
            <v>56052.665731465851</v>
          </cell>
          <cell r="H112">
            <v>11778085.694506185</v>
          </cell>
        </row>
        <row r="113">
          <cell r="B113">
            <v>98</v>
          </cell>
          <cell r="C113">
            <v>42339</v>
          </cell>
          <cell r="D113">
            <v>11778085.694506185</v>
          </cell>
          <cell r="E113">
            <v>78528.177849671934</v>
          </cell>
          <cell r="F113">
            <v>22582.270800767554</v>
          </cell>
          <cell r="G113">
            <v>55945.907048904381</v>
          </cell>
          <cell r="H113">
            <v>11755503.423705418</v>
          </cell>
        </row>
        <row r="114">
          <cell r="B114">
            <v>99</v>
          </cell>
          <cell r="C114">
            <v>42370</v>
          </cell>
          <cell r="D114">
            <v>11755503.423705418</v>
          </cell>
          <cell r="E114">
            <v>78528.177849671934</v>
          </cell>
          <cell r="F114">
            <v>22689.536587071205</v>
          </cell>
          <cell r="G114">
            <v>55838.64126260073</v>
          </cell>
          <cell r="H114">
            <v>11732813.887118345</v>
          </cell>
        </row>
        <row r="115">
          <cell r="B115">
            <v>100</v>
          </cell>
          <cell r="C115">
            <v>42401</v>
          </cell>
          <cell r="D115">
            <v>11732813.887118345</v>
          </cell>
          <cell r="E115">
            <v>78528.177849671934</v>
          </cell>
          <cell r="F115">
            <v>22797.311885859795</v>
          </cell>
          <cell r="G115">
            <v>55730.865963812139</v>
          </cell>
          <cell r="H115">
            <v>11710016.575232483</v>
          </cell>
        </row>
        <row r="116">
          <cell r="B116">
            <v>101</v>
          </cell>
          <cell r="C116">
            <v>42430</v>
          </cell>
          <cell r="D116">
            <v>11710016.575232483</v>
          </cell>
          <cell r="E116">
            <v>78528.177849671934</v>
          </cell>
          <cell r="F116">
            <v>22905.599117317637</v>
          </cell>
          <cell r="G116">
            <v>55622.578732354297</v>
          </cell>
          <cell r="H116">
            <v>11687110.976115167</v>
          </cell>
        </row>
        <row r="117">
          <cell r="B117">
            <v>102</v>
          </cell>
          <cell r="C117">
            <v>42461</v>
          </cell>
          <cell r="D117">
            <v>11687110.976115167</v>
          </cell>
          <cell r="E117">
            <v>78528.177849671934</v>
          </cell>
          <cell r="F117">
            <v>23014.400713124895</v>
          </cell>
          <cell r="G117">
            <v>55513.77713654704</v>
          </cell>
          <cell r="H117">
            <v>11664096.575402042</v>
          </cell>
        </row>
        <row r="118">
          <cell r="B118">
            <v>103</v>
          </cell>
          <cell r="C118">
            <v>42491</v>
          </cell>
          <cell r="D118">
            <v>11664096.575402042</v>
          </cell>
          <cell r="E118">
            <v>78528.177849671934</v>
          </cell>
          <cell r="F118">
            <v>23123.719116512235</v>
          </cell>
          <cell r="G118">
            <v>55404.458733159699</v>
          </cell>
          <cell r="H118">
            <v>11640972.856285527</v>
          </cell>
        </row>
        <row r="119">
          <cell r="B119">
            <v>104</v>
          </cell>
          <cell r="C119">
            <v>42522</v>
          </cell>
          <cell r="D119">
            <v>11640972.856285527</v>
          </cell>
          <cell r="E119">
            <v>78528.177849671934</v>
          </cell>
          <cell r="F119">
            <v>23233.556782315682</v>
          </cell>
          <cell r="G119">
            <v>55294.621067356253</v>
          </cell>
          <cell r="H119">
            <v>11617739.299503213</v>
          </cell>
        </row>
        <row r="120">
          <cell r="B120">
            <v>105</v>
          </cell>
          <cell r="C120">
            <v>42552</v>
          </cell>
          <cell r="D120">
            <v>11617739.299503213</v>
          </cell>
          <cell r="E120">
            <v>78528.177849671934</v>
          </cell>
          <cell r="F120">
            <v>23343.916177031671</v>
          </cell>
          <cell r="G120">
            <v>55184.261672640263</v>
          </cell>
          <cell r="H120">
            <v>11594395.383326178</v>
          </cell>
        </row>
        <row r="121">
          <cell r="B121">
            <v>106</v>
          </cell>
          <cell r="C121">
            <v>42583</v>
          </cell>
          <cell r="D121">
            <v>11594395.383326178</v>
          </cell>
          <cell r="E121">
            <v>78528.177849671934</v>
          </cell>
          <cell r="F121">
            <v>23454.799778872592</v>
          </cell>
          <cell r="G121">
            <v>55073.378070799343</v>
          </cell>
          <cell r="H121">
            <v>11570940.583547307</v>
          </cell>
        </row>
        <row r="122">
          <cell r="B122">
            <v>107</v>
          </cell>
          <cell r="C122">
            <v>42614</v>
          </cell>
          <cell r="D122">
            <v>11570940.583547307</v>
          </cell>
          <cell r="E122">
            <v>78528.177849671934</v>
          </cell>
          <cell r="F122">
            <v>23566.21007782223</v>
          </cell>
          <cell r="G122">
            <v>54961.967771849704</v>
          </cell>
          <cell r="H122">
            <v>11547374.373469487</v>
          </cell>
        </row>
        <row r="123">
          <cell r="B123">
            <v>108</v>
          </cell>
          <cell r="C123">
            <v>42644</v>
          </cell>
          <cell r="D123">
            <v>11547374.373469487</v>
          </cell>
          <cell r="E123">
            <v>78528.177849671934</v>
          </cell>
          <cell r="F123">
            <v>23678.149575691874</v>
          </cell>
          <cell r="G123">
            <v>54850.02827398006</v>
          </cell>
          <cell r="H123">
            <v>11523696.223893791</v>
          </cell>
        </row>
        <row r="124">
          <cell r="B124">
            <v>109</v>
          </cell>
          <cell r="C124">
            <v>42675</v>
          </cell>
          <cell r="D124">
            <v>11523696.223893791</v>
          </cell>
          <cell r="E124">
            <v>78528.177849671934</v>
          </cell>
          <cell r="F124">
            <v>23790.620786176427</v>
          </cell>
          <cell r="G124">
            <v>54737.557063495507</v>
          </cell>
          <cell r="H124">
            <v>11499905.603107616</v>
          </cell>
        </row>
        <row r="125">
          <cell r="B125">
            <v>110</v>
          </cell>
          <cell r="C125">
            <v>42705</v>
          </cell>
          <cell r="D125">
            <v>11499905.603107616</v>
          </cell>
          <cell r="E125">
            <v>78528.177849671934</v>
          </cell>
          <cell r="F125">
            <v>23903.626234910756</v>
          </cell>
          <cell r="G125">
            <v>54624.551614761178</v>
          </cell>
          <cell r="H125">
            <v>11476001.976872701</v>
          </cell>
        </row>
        <row r="126">
          <cell r="B126">
            <v>111</v>
          </cell>
          <cell r="C126">
            <v>42736</v>
          </cell>
          <cell r="D126">
            <v>11476001.976872701</v>
          </cell>
          <cell r="E126">
            <v>78528.177849671934</v>
          </cell>
          <cell r="F126">
            <v>24017.168459526605</v>
          </cell>
          <cell r="G126">
            <v>54511.009390145329</v>
          </cell>
          <cell r="H126">
            <v>11451984.808413176</v>
          </cell>
        </row>
        <row r="127">
          <cell r="B127">
            <v>112</v>
          </cell>
          <cell r="C127">
            <v>42767</v>
          </cell>
          <cell r="D127">
            <v>11451984.808413176</v>
          </cell>
          <cell r="E127">
            <v>78528.177849671934</v>
          </cell>
          <cell r="F127">
            <v>24131.250009709351</v>
          </cell>
          <cell r="G127">
            <v>54396.927839962584</v>
          </cell>
          <cell r="H127">
            <v>11427853.55840347</v>
          </cell>
        </row>
        <row r="128">
          <cell r="B128">
            <v>113</v>
          </cell>
          <cell r="C128">
            <v>42795</v>
          </cell>
          <cell r="D128">
            <v>11427853.55840347</v>
          </cell>
          <cell r="E128">
            <v>78528.177849671934</v>
          </cell>
          <cell r="F128">
            <v>24245.873447255457</v>
          </cell>
          <cell r="G128">
            <v>54282.304402416477</v>
          </cell>
          <cell r="H128">
            <v>11403607.684956212</v>
          </cell>
        </row>
        <row r="129">
          <cell r="B129">
            <v>114</v>
          </cell>
          <cell r="C129">
            <v>42826</v>
          </cell>
          <cell r="D129">
            <v>11403607.684956212</v>
          </cell>
          <cell r="E129">
            <v>78528.177849671934</v>
          </cell>
          <cell r="F129">
            <v>24361.041346129932</v>
          </cell>
          <cell r="G129">
            <v>54167.136503542002</v>
          </cell>
          <cell r="H129">
            <v>11379246.643610083</v>
          </cell>
        </row>
        <row r="130">
          <cell r="B130">
            <v>115</v>
          </cell>
          <cell r="C130">
            <v>42856</v>
          </cell>
          <cell r="D130">
            <v>11379246.643610083</v>
          </cell>
          <cell r="E130">
            <v>78528.177849671934</v>
          </cell>
          <cell r="F130">
            <v>24476.756292524042</v>
          </cell>
          <cell r="G130">
            <v>54051.421557147893</v>
          </cell>
          <cell r="H130">
            <v>11354769.887317557</v>
          </cell>
        </row>
        <row r="131">
          <cell r="B131">
            <v>116</v>
          </cell>
          <cell r="C131">
            <v>42887</v>
          </cell>
          <cell r="D131">
            <v>11354769.887317557</v>
          </cell>
          <cell r="E131">
            <v>78528.177849671934</v>
          </cell>
          <cell r="F131">
            <v>24593.020884913538</v>
          </cell>
          <cell r="G131">
            <v>53935.156964758396</v>
          </cell>
          <cell r="H131">
            <v>11330176.866432639</v>
          </cell>
        </row>
        <row r="132">
          <cell r="B132">
            <v>117</v>
          </cell>
          <cell r="C132">
            <v>42917</v>
          </cell>
          <cell r="D132">
            <v>11330176.866432639</v>
          </cell>
          <cell r="E132">
            <v>78528.177849671934</v>
          </cell>
          <cell r="F132">
            <v>24709.837734116903</v>
          </cell>
          <cell r="G132">
            <v>53818.340115555031</v>
          </cell>
          <cell r="H132">
            <v>11305467.028698524</v>
          </cell>
        </row>
        <row r="133">
          <cell r="B133">
            <v>118</v>
          </cell>
          <cell r="C133">
            <v>42948</v>
          </cell>
          <cell r="D133">
            <v>11305467.028698524</v>
          </cell>
          <cell r="E133">
            <v>78528.177849671934</v>
          </cell>
          <cell r="F133">
            <v>24827.209463353945</v>
          </cell>
          <cell r="G133">
            <v>53700.968386317989</v>
          </cell>
          <cell r="H133">
            <v>11280639.81923517</v>
          </cell>
        </row>
        <row r="134">
          <cell r="B134">
            <v>119</v>
          </cell>
          <cell r="C134">
            <v>42979</v>
          </cell>
          <cell r="D134">
            <v>11280639.81923517</v>
          </cell>
          <cell r="E134">
            <v>78528.177849671934</v>
          </cell>
          <cell r="F134">
            <v>24945.138708304876</v>
          </cell>
          <cell r="G134">
            <v>53583.039141367059</v>
          </cell>
          <cell r="H134">
            <v>11255694.680526864</v>
          </cell>
        </row>
        <row r="135">
          <cell r="B135">
            <v>120</v>
          </cell>
          <cell r="C135">
            <v>43009</v>
          </cell>
          <cell r="D135">
            <v>11255694.680526864</v>
          </cell>
          <cell r="E135">
            <v>78528.177849671934</v>
          </cell>
          <cell r="F135">
            <v>25063.628117169334</v>
          </cell>
          <cell r="G135">
            <v>53464.549732502601</v>
          </cell>
          <cell r="H135">
            <v>11230631.052409694</v>
          </cell>
        </row>
        <row r="136">
          <cell r="B136">
            <v>121</v>
          </cell>
          <cell r="C136">
            <v>43040</v>
          </cell>
          <cell r="D136">
            <v>11230631.052409694</v>
          </cell>
          <cell r="E136">
            <v>78528.177849671934</v>
          </cell>
          <cell r="F136">
            <v>25182.680350725888</v>
          </cell>
          <cell r="G136">
            <v>53345.497498946046</v>
          </cell>
          <cell r="H136">
            <v>11205448.372058969</v>
          </cell>
        </row>
        <row r="137">
          <cell r="B137">
            <v>122</v>
          </cell>
          <cell r="C137">
            <v>43070</v>
          </cell>
          <cell r="D137">
            <v>11205448.372058969</v>
          </cell>
          <cell r="E137">
            <v>78528.177849671934</v>
          </cell>
          <cell r="F137">
            <v>25302.298082391833</v>
          </cell>
          <cell r="G137">
            <v>53225.879767280101</v>
          </cell>
          <cell r="H137">
            <v>11180146.073976578</v>
          </cell>
        </row>
        <row r="138">
          <cell r="B138">
            <v>123</v>
          </cell>
          <cell r="C138">
            <v>43101</v>
          </cell>
          <cell r="D138">
            <v>11180146.073976578</v>
          </cell>
          <cell r="E138">
            <v>78528.177849671934</v>
          </cell>
          <cell r="F138">
            <v>25422.483998283191</v>
          </cell>
          <cell r="G138">
            <v>53105.693851388743</v>
          </cell>
          <cell r="H138">
            <v>11154723.589978294</v>
          </cell>
        </row>
        <row r="139">
          <cell r="B139">
            <v>124</v>
          </cell>
          <cell r="C139">
            <v>43132</v>
          </cell>
          <cell r="D139">
            <v>11154723.589978294</v>
          </cell>
          <cell r="E139">
            <v>78528.177849671934</v>
          </cell>
          <cell r="F139">
            <v>25543.240797275037</v>
          </cell>
          <cell r="G139">
            <v>52984.937052396897</v>
          </cell>
          <cell r="H139">
            <v>11129180.349181019</v>
          </cell>
        </row>
        <row r="140">
          <cell r="B140">
            <v>125</v>
          </cell>
          <cell r="C140">
            <v>43160</v>
          </cell>
          <cell r="D140">
            <v>11129180.349181019</v>
          </cell>
          <cell r="E140">
            <v>78528.177849671934</v>
          </cell>
          <cell r="F140">
            <v>25664.571191062096</v>
          </cell>
          <cell r="G140">
            <v>52863.606658609839</v>
          </cell>
          <cell r="H140">
            <v>11103515.777989957</v>
          </cell>
        </row>
        <row r="141">
          <cell r="B141">
            <v>126</v>
          </cell>
          <cell r="C141">
            <v>43191</v>
          </cell>
          <cell r="D141">
            <v>11103515.777989957</v>
          </cell>
          <cell r="E141">
            <v>78528.177849671934</v>
          </cell>
          <cell r="F141">
            <v>25786.477904219639</v>
          </cell>
          <cell r="G141">
            <v>52741.699945452296</v>
          </cell>
          <cell r="H141">
            <v>11077729.300085733</v>
          </cell>
        </row>
        <row r="142">
          <cell r="B142">
            <v>127</v>
          </cell>
          <cell r="C142">
            <v>43221</v>
          </cell>
          <cell r="D142">
            <v>11077729.300085733</v>
          </cell>
          <cell r="E142">
            <v>78528.177849671934</v>
          </cell>
          <cell r="F142">
            <v>25908.963674264705</v>
          </cell>
          <cell r="G142">
            <v>52619.214175407229</v>
          </cell>
          <cell r="H142">
            <v>11051820.336411469</v>
          </cell>
        </row>
        <row r="143">
          <cell r="B143">
            <v>128</v>
          </cell>
          <cell r="C143">
            <v>43252</v>
          </cell>
          <cell r="D143">
            <v>11051820.336411469</v>
          </cell>
          <cell r="E143">
            <v>78528.177849671934</v>
          </cell>
          <cell r="F143">
            <v>26032.031251717461</v>
          </cell>
          <cell r="G143">
            <v>52496.146597954474</v>
          </cell>
          <cell r="H143">
            <v>11025788.305159753</v>
          </cell>
        </row>
        <row r="144">
          <cell r="B144">
            <v>129</v>
          </cell>
          <cell r="C144">
            <v>43282</v>
          </cell>
          <cell r="D144">
            <v>11025788.305159753</v>
          </cell>
          <cell r="E144">
            <v>78528.177849671934</v>
          </cell>
          <cell r="F144">
            <v>26155.683400163107</v>
          </cell>
          <cell r="G144">
            <v>52372.494449508828</v>
          </cell>
          <cell r="H144">
            <v>10999632.62175959</v>
          </cell>
        </row>
        <row r="145">
          <cell r="B145">
            <v>130</v>
          </cell>
          <cell r="C145">
            <v>43313</v>
          </cell>
          <cell r="D145">
            <v>10999632.62175959</v>
          </cell>
          <cell r="E145">
            <v>78528.177849671934</v>
          </cell>
          <cell r="F145">
            <v>26279.922896313881</v>
          </cell>
          <cell r="G145">
            <v>52248.254953358053</v>
          </cell>
          <cell r="H145">
            <v>10973352.698863275</v>
          </cell>
        </row>
        <row r="146">
          <cell r="B146">
            <v>131</v>
          </cell>
          <cell r="C146">
            <v>43344</v>
          </cell>
          <cell r="D146">
            <v>10973352.698863275</v>
          </cell>
          <cell r="E146">
            <v>78528.177849671934</v>
          </cell>
          <cell r="F146">
            <v>26404.752530071375</v>
          </cell>
          <cell r="G146">
            <v>52123.425319600559</v>
          </cell>
          <cell r="H146">
            <v>10946947.946333203</v>
          </cell>
        </row>
        <row r="147">
          <cell r="B147">
            <v>132</v>
          </cell>
          <cell r="C147">
            <v>43374</v>
          </cell>
          <cell r="D147">
            <v>10946947.946333203</v>
          </cell>
          <cell r="E147">
            <v>78528.177849671934</v>
          </cell>
          <cell r="F147">
            <v>26530.175104589216</v>
          </cell>
          <cell r="G147">
            <v>51998.002745082718</v>
          </cell>
          <cell r="H147">
            <v>10920417.771228613</v>
          </cell>
        </row>
        <row r="148">
          <cell r="B148">
            <v>133</v>
          </cell>
          <cell r="C148">
            <v>43405</v>
          </cell>
          <cell r="D148">
            <v>10920417.771228613</v>
          </cell>
          <cell r="E148">
            <v>78528.177849671934</v>
          </cell>
          <cell r="F148">
            <v>26656.19343633602</v>
          </cell>
          <cell r="G148">
            <v>51871.984413335915</v>
          </cell>
          <cell r="H148">
            <v>10893761.577792276</v>
          </cell>
        </row>
        <row r="149">
          <cell r="B149">
            <v>134</v>
          </cell>
          <cell r="C149">
            <v>43435</v>
          </cell>
          <cell r="D149">
            <v>10893761.577792276</v>
          </cell>
          <cell r="E149">
            <v>78528.177849671934</v>
          </cell>
          <cell r="F149">
            <v>26782.810355158625</v>
          </cell>
          <cell r="G149">
            <v>51745.36749451331</v>
          </cell>
          <cell r="H149">
            <v>10866978.767437113</v>
          </cell>
        </row>
        <row r="150">
          <cell r="B150">
            <v>135</v>
          </cell>
          <cell r="C150">
            <v>43466</v>
          </cell>
          <cell r="D150">
            <v>10866978.767437113</v>
          </cell>
          <cell r="E150">
            <v>78528.177849671934</v>
          </cell>
          <cell r="F150">
            <v>26910.028704345648</v>
          </cell>
          <cell r="G150">
            <v>51618.149145326286</v>
          </cell>
          <cell r="H150">
            <v>10840068.73873277</v>
          </cell>
        </row>
        <row r="151">
          <cell r="B151">
            <v>136</v>
          </cell>
          <cell r="C151">
            <v>43497</v>
          </cell>
          <cell r="D151">
            <v>10840068.73873277</v>
          </cell>
          <cell r="E151">
            <v>78528.177849671934</v>
          </cell>
          <cell r="F151">
            <v>27037.851340691275</v>
          </cell>
          <cell r="G151">
            <v>51490.326508980659</v>
          </cell>
          <cell r="H151">
            <v>10813030.887392078</v>
          </cell>
        </row>
        <row r="152">
          <cell r="B152">
            <v>137</v>
          </cell>
          <cell r="C152">
            <v>43525</v>
          </cell>
          <cell r="D152">
            <v>10813030.887392078</v>
          </cell>
          <cell r="E152">
            <v>78528.177849671934</v>
          </cell>
          <cell r="F152">
            <v>27166.281134559569</v>
          </cell>
          <cell r="G152">
            <v>51361.896715112365</v>
          </cell>
          <cell r="H152">
            <v>10785864.606257519</v>
          </cell>
        </row>
        <row r="153">
          <cell r="B153">
            <v>138</v>
          </cell>
          <cell r="C153">
            <v>43556</v>
          </cell>
          <cell r="D153">
            <v>10785864.606257519</v>
          </cell>
          <cell r="E153">
            <v>78528.177849671934</v>
          </cell>
          <cell r="F153">
            <v>27295.32096994872</v>
          </cell>
          <cell r="G153">
            <v>51232.856879723215</v>
          </cell>
          <cell r="H153">
            <v>10758569.28528757</v>
          </cell>
        </row>
        <row r="154">
          <cell r="B154">
            <v>139</v>
          </cell>
          <cell r="C154">
            <v>43586</v>
          </cell>
          <cell r="D154">
            <v>10758569.28528757</v>
          </cell>
          <cell r="E154">
            <v>78528.177849671934</v>
          </cell>
          <cell r="F154">
            <v>27424.97374455598</v>
          </cell>
          <cell r="G154">
            <v>51103.204105115954</v>
          </cell>
          <cell r="H154">
            <v>10731144.311543014</v>
          </cell>
        </row>
        <row r="155">
          <cell r="B155">
            <v>140</v>
          </cell>
          <cell r="C155">
            <v>43617</v>
          </cell>
          <cell r="D155">
            <v>10731144.311543014</v>
          </cell>
          <cell r="E155">
            <v>78528.177849671934</v>
          </cell>
          <cell r="F155">
            <v>27555.242369842621</v>
          </cell>
          <cell r="G155">
            <v>50972.935479829313</v>
          </cell>
          <cell r="H155">
            <v>10703589.06917317</v>
          </cell>
        </row>
        <row r="156">
          <cell r="B156">
            <v>141</v>
          </cell>
          <cell r="C156">
            <v>43647</v>
          </cell>
          <cell r="D156">
            <v>10703589.06917317</v>
          </cell>
          <cell r="E156">
            <v>78528.177849671934</v>
          </cell>
          <cell r="F156">
            <v>27686.129771099375</v>
          </cell>
          <cell r="G156">
            <v>50842.048078572559</v>
          </cell>
          <cell r="H156">
            <v>10675902.939402072</v>
          </cell>
        </row>
        <row r="157">
          <cell r="B157">
            <v>142</v>
          </cell>
          <cell r="C157">
            <v>43678</v>
          </cell>
          <cell r="D157">
            <v>10675902.939402072</v>
          </cell>
          <cell r="E157">
            <v>78528.177849671934</v>
          </cell>
          <cell r="F157">
            <v>27817.638887512097</v>
          </cell>
          <cell r="G157">
            <v>50710.538962159837</v>
          </cell>
          <cell r="H157">
            <v>10648085.300514556</v>
          </cell>
        </row>
        <row r="158">
          <cell r="B158">
            <v>143</v>
          </cell>
          <cell r="C158">
            <v>43709</v>
          </cell>
          <cell r="D158">
            <v>10648085.300514556</v>
          </cell>
          <cell r="E158">
            <v>78528.177849671934</v>
          </cell>
          <cell r="F158">
            <v>27949.772672227795</v>
          </cell>
          <cell r="G158">
            <v>50578.40517744414</v>
          </cell>
          <cell r="H158">
            <v>10620135.52784233</v>
          </cell>
        </row>
        <row r="159">
          <cell r="B159">
            <v>144</v>
          </cell>
          <cell r="C159">
            <v>43739</v>
          </cell>
          <cell r="D159">
            <v>10620135.52784233</v>
          </cell>
          <cell r="E159">
            <v>78528.177849671934</v>
          </cell>
          <cell r="F159">
            <v>28082.534092420872</v>
          </cell>
          <cell r="G159">
            <v>50445.643757251062</v>
          </cell>
          <cell r="H159">
            <v>10592052.993749907</v>
          </cell>
        </row>
        <row r="160">
          <cell r="B160">
            <v>145</v>
          </cell>
          <cell r="C160">
            <v>43770</v>
          </cell>
          <cell r="D160">
            <v>10592052.993749907</v>
          </cell>
          <cell r="E160">
            <v>78528.177849671934</v>
          </cell>
          <cell r="F160">
            <v>28215.926129359876</v>
          </cell>
          <cell r="G160">
            <v>50312.251720312059</v>
          </cell>
          <cell r="H160">
            <v>10563837.067620547</v>
          </cell>
        </row>
        <row r="161">
          <cell r="B161">
            <v>146</v>
          </cell>
          <cell r="C161">
            <v>43800</v>
          </cell>
          <cell r="D161">
            <v>10563837.067620547</v>
          </cell>
          <cell r="E161">
            <v>78528.177849671934</v>
          </cell>
          <cell r="F161">
            <v>28349.951778474337</v>
          </cell>
          <cell r="G161">
            <v>50178.226071197598</v>
          </cell>
          <cell r="H161">
            <v>10535487.115842072</v>
          </cell>
        </row>
        <row r="162">
          <cell r="B162">
            <v>147</v>
          </cell>
          <cell r="C162">
            <v>43831</v>
          </cell>
          <cell r="D162">
            <v>10535487.115842072</v>
          </cell>
          <cell r="E162">
            <v>78528.177849671934</v>
          </cell>
          <cell r="F162">
            <v>28484.614049422089</v>
          </cell>
          <cell r="G162">
            <v>50043.563800249845</v>
          </cell>
          <cell r="H162">
            <v>10507002.501792651</v>
          </cell>
        </row>
        <row r="163">
          <cell r="B163">
            <v>148</v>
          </cell>
          <cell r="C163">
            <v>43862</v>
          </cell>
          <cell r="D163">
            <v>10507002.501792651</v>
          </cell>
          <cell r="E163">
            <v>78528.177849671934</v>
          </cell>
          <cell r="F163">
            <v>28619.915966156848</v>
          </cell>
          <cell r="G163">
            <v>49908.261883515086</v>
          </cell>
          <cell r="H163">
            <v>10478382.585826494</v>
          </cell>
        </row>
        <row r="164">
          <cell r="B164">
            <v>149</v>
          </cell>
          <cell r="C164">
            <v>43891</v>
          </cell>
          <cell r="D164">
            <v>10478382.585826494</v>
          </cell>
          <cell r="E164">
            <v>78528.177849671934</v>
          </cell>
          <cell r="F164">
            <v>28755.860566996089</v>
          </cell>
          <cell r="G164">
            <v>49772.317282675845</v>
          </cell>
          <cell r="H164">
            <v>10449626.725259498</v>
          </cell>
        </row>
        <row r="165">
          <cell r="B165">
            <v>150</v>
          </cell>
          <cell r="C165">
            <v>43922</v>
          </cell>
          <cell r="D165">
            <v>10449626.725259498</v>
          </cell>
          <cell r="E165">
            <v>78528.177849671934</v>
          </cell>
          <cell r="F165">
            <v>28892.450904689322</v>
          </cell>
          <cell r="G165">
            <v>49635.726944982613</v>
          </cell>
          <cell r="H165">
            <v>10420734.274354804</v>
          </cell>
        </row>
        <row r="166">
          <cell r="B166">
            <v>151</v>
          </cell>
          <cell r="C166">
            <v>43952</v>
          </cell>
          <cell r="D166">
            <v>10420734.274354804</v>
          </cell>
          <cell r="E166">
            <v>78528.177849671934</v>
          </cell>
          <cell r="F166">
            <v>29029.690046486612</v>
          </cell>
          <cell r="G166">
            <v>49498.487803185322</v>
          </cell>
          <cell r="H166">
            <v>10391704.584308319</v>
          </cell>
        </row>
        <row r="167">
          <cell r="B167">
            <v>152</v>
          </cell>
          <cell r="C167">
            <v>43983</v>
          </cell>
          <cell r="D167">
            <v>10391704.584308319</v>
          </cell>
          <cell r="E167">
            <v>78528.177849671934</v>
          </cell>
          <cell r="F167">
            <v>29167.581074207425</v>
          </cell>
          <cell r="G167">
            <v>49360.59677546451</v>
          </cell>
          <cell r="H167">
            <v>10362537.003234111</v>
          </cell>
        </row>
        <row r="168">
          <cell r="B168">
            <v>153</v>
          </cell>
          <cell r="C168">
            <v>44013</v>
          </cell>
          <cell r="D168">
            <v>10362537.003234111</v>
          </cell>
          <cell r="E168">
            <v>78528.177849671934</v>
          </cell>
          <cell r="F168">
            <v>29306.127084309912</v>
          </cell>
          <cell r="G168">
            <v>49222.050765362023</v>
          </cell>
          <cell r="H168">
            <v>10333230.876149803</v>
          </cell>
        </row>
        <row r="169">
          <cell r="B169">
            <v>154</v>
          </cell>
          <cell r="C169">
            <v>44044</v>
          </cell>
          <cell r="D169">
            <v>10333230.876149803</v>
          </cell>
          <cell r="E169">
            <v>78528.177849671934</v>
          </cell>
          <cell r="F169">
            <v>29445.331187960372</v>
          </cell>
          <cell r="G169">
            <v>49082.846661711563</v>
          </cell>
          <cell r="H169">
            <v>10303785.544961844</v>
          </cell>
        </row>
        <row r="170">
          <cell r="B170">
            <v>155</v>
          </cell>
          <cell r="C170">
            <v>44075</v>
          </cell>
          <cell r="D170">
            <v>10303785.544961844</v>
          </cell>
          <cell r="E170">
            <v>78528.177849671934</v>
          </cell>
          <cell r="F170">
            <v>29585.196511103175</v>
          </cell>
          <cell r="G170">
            <v>48942.981338568759</v>
          </cell>
          <cell r="H170">
            <v>10274200.348450735</v>
          </cell>
        </row>
        <row r="171">
          <cell r="B171">
            <v>156</v>
          </cell>
          <cell r="C171">
            <v>44105</v>
          </cell>
          <cell r="D171">
            <v>10274200.348450735</v>
          </cell>
          <cell r="E171">
            <v>78528.177849671934</v>
          </cell>
          <cell r="F171">
            <v>29725.726194530944</v>
          </cell>
          <cell r="G171">
            <v>48802.451655140991</v>
          </cell>
          <cell r="H171">
            <v>10244474.622256201</v>
          </cell>
        </row>
        <row r="172">
          <cell r="B172">
            <v>157</v>
          </cell>
          <cell r="C172">
            <v>44136</v>
          </cell>
          <cell r="D172">
            <v>10244474.622256201</v>
          </cell>
          <cell r="E172">
            <v>78528.177849671934</v>
          </cell>
          <cell r="F172">
            <v>29866.923393954981</v>
          </cell>
          <cell r="G172">
            <v>48661.254455716953</v>
          </cell>
          <cell r="H172">
            <v>10214607.698862247</v>
          </cell>
        </row>
        <row r="173">
          <cell r="B173">
            <v>158</v>
          </cell>
          <cell r="C173">
            <v>44166</v>
          </cell>
          <cell r="D173">
            <v>10214607.698862247</v>
          </cell>
          <cell r="E173">
            <v>78528.177849671934</v>
          </cell>
          <cell r="F173">
            <v>30008.791280076264</v>
          </cell>
          <cell r="G173">
            <v>48519.38656959567</v>
          </cell>
          <cell r="H173">
            <v>10184598.907582171</v>
          </cell>
        </row>
        <row r="174">
          <cell r="B174">
            <v>159</v>
          </cell>
          <cell r="C174">
            <v>44197</v>
          </cell>
          <cell r="D174">
            <v>10184598.907582171</v>
          </cell>
          <cell r="E174">
            <v>78528.177849671934</v>
          </cell>
          <cell r="F174">
            <v>30151.333038656623</v>
          </cell>
          <cell r="G174">
            <v>48376.844811015311</v>
          </cell>
          <cell r="H174">
            <v>10154447.574543513</v>
          </cell>
        </row>
        <row r="175">
          <cell r="B175">
            <v>160</v>
          </cell>
          <cell r="C175">
            <v>44228</v>
          </cell>
          <cell r="D175">
            <v>10154447.574543513</v>
          </cell>
          <cell r="E175">
            <v>78528.177849671934</v>
          </cell>
          <cell r="F175">
            <v>30294.55187059025</v>
          </cell>
          <cell r="G175">
            <v>48233.625979081684</v>
          </cell>
          <cell r="H175">
            <v>10124153.022672925</v>
          </cell>
        </row>
        <row r="176">
          <cell r="B176">
            <v>161</v>
          </cell>
          <cell r="C176">
            <v>44256</v>
          </cell>
          <cell r="D176">
            <v>10124153.022672925</v>
          </cell>
          <cell r="E176">
            <v>78528.177849671934</v>
          </cell>
          <cell r="F176">
            <v>30438.450991975544</v>
          </cell>
          <cell r="G176">
            <v>48089.726857696391</v>
          </cell>
          <cell r="H176">
            <v>10093714.571680944</v>
          </cell>
        </row>
        <row r="177">
          <cell r="B177">
            <v>162</v>
          </cell>
          <cell r="C177">
            <v>44287</v>
          </cell>
          <cell r="D177">
            <v>10093714.571680944</v>
          </cell>
          <cell r="E177">
            <v>78528.177849671934</v>
          </cell>
          <cell r="F177">
            <v>30583.03363418745</v>
          </cell>
          <cell r="G177">
            <v>47945.144215484484</v>
          </cell>
          <cell r="H177">
            <v>10063131.538046759</v>
          </cell>
        </row>
        <row r="178">
          <cell r="B178">
            <v>163</v>
          </cell>
          <cell r="C178">
            <v>44317</v>
          </cell>
          <cell r="D178">
            <v>10063131.538046759</v>
          </cell>
          <cell r="E178">
            <v>78528.177849671934</v>
          </cell>
          <cell r="F178">
            <v>30728.303043949832</v>
          </cell>
          <cell r="G178">
            <v>47799.874805722102</v>
          </cell>
          <cell r="H178">
            <v>10032403.235002808</v>
          </cell>
        </row>
        <row r="179">
          <cell r="B179">
            <v>164</v>
          </cell>
          <cell r="C179">
            <v>44348</v>
          </cell>
          <cell r="D179">
            <v>10032403.235002808</v>
          </cell>
          <cell r="E179">
            <v>78528.177849671934</v>
          </cell>
          <cell r="F179">
            <v>30874.262483408595</v>
          </cell>
          <cell r="G179">
            <v>47653.91536626334</v>
          </cell>
          <cell r="H179">
            <v>10001528.972519398</v>
          </cell>
        </row>
        <row r="180">
          <cell r="B180">
            <v>165</v>
          </cell>
          <cell r="C180">
            <v>44378</v>
          </cell>
          <cell r="D180">
            <v>10001528.972519398</v>
          </cell>
          <cell r="E180">
            <v>78528.177849671934</v>
          </cell>
          <cell r="F180">
            <v>31020.915230204795</v>
          </cell>
          <cell r="G180">
            <v>47507.262619467139</v>
          </cell>
          <cell r="H180">
            <v>9970508.0572891943</v>
          </cell>
        </row>
        <row r="181">
          <cell r="B181">
            <v>166</v>
          </cell>
          <cell r="C181">
            <v>44409</v>
          </cell>
          <cell r="D181">
            <v>9970508.0572891943</v>
          </cell>
          <cell r="E181">
            <v>78528.177849671934</v>
          </cell>
          <cell r="F181">
            <v>31168.26457754826</v>
          </cell>
          <cell r="G181">
            <v>47359.913272123675</v>
          </cell>
          <cell r="H181">
            <v>9939339.7927116491</v>
          </cell>
        </row>
        <row r="182">
          <cell r="B182">
            <v>167</v>
          </cell>
          <cell r="C182">
            <v>44440</v>
          </cell>
          <cell r="D182">
            <v>9939339.7927116491</v>
          </cell>
          <cell r="E182">
            <v>78528.177849671934</v>
          </cell>
          <cell r="F182">
            <v>31316.313834291599</v>
          </cell>
          <cell r="G182">
            <v>47211.864015380335</v>
          </cell>
          <cell r="H182">
            <v>9908023.4788773507</v>
          </cell>
        </row>
        <row r="183">
          <cell r="B183">
            <v>168</v>
          </cell>
          <cell r="C183">
            <v>44470</v>
          </cell>
          <cell r="D183">
            <v>9908023.4788773507</v>
          </cell>
          <cell r="E183">
            <v>78528.177849671934</v>
          </cell>
          <cell r="F183">
            <v>31465.066325004518</v>
          </cell>
          <cell r="G183">
            <v>47063.111524667416</v>
          </cell>
          <cell r="H183">
            <v>9876558.4125523455</v>
          </cell>
        </row>
        <row r="184">
          <cell r="B184">
            <v>169</v>
          </cell>
          <cell r="C184">
            <v>44501</v>
          </cell>
          <cell r="D184">
            <v>9876558.4125523455</v>
          </cell>
          <cell r="E184">
            <v>78528.177849671934</v>
          </cell>
          <cell r="F184">
            <v>31614.525390048293</v>
          </cell>
          <cell r="G184">
            <v>46913.652459623641</v>
          </cell>
          <cell r="H184">
            <v>9844943.8871623017</v>
          </cell>
        </row>
        <row r="185">
          <cell r="B185">
            <v>170</v>
          </cell>
          <cell r="C185">
            <v>44531</v>
          </cell>
          <cell r="D185">
            <v>9844943.8871623017</v>
          </cell>
          <cell r="E185">
            <v>78528.177849671934</v>
          </cell>
          <cell r="F185">
            <v>31764.694385651004</v>
          </cell>
          <cell r="G185">
            <v>46763.48346402093</v>
          </cell>
          <cell r="H185">
            <v>9813179.1927766502</v>
          </cell>
        </row>
        <row r="186">
          <cell r="B186">
            <v>171</v>
          </cell>
          <cell r="C186">
            <v>44562</v>
          </cell>
          <cell r="D186">
            <v>9813179.1927766502</v>
          </cell>
          <cell r="E186">
            <v>78528.177849671934</v>
          </cell>
          <cell r="F186">
            <v>31915.57668398285</v>
          </cell>
          <cell r="G186">
            <v>46612.601165689084</v>
          </cell>
          <cell r="H186">
            <v>9781263.6160926633</v>
          </cell>
        </row>
        <row r="187">
          <cell r="B187">
            <v>172</v>
          </cell>
          <cell r="C187">
            <v>44593</v>
          </cell>
          <cell r="D187">
            <v>9781263.6160926633</v>
          </cell>
          <cell r="E187">
            <v>78528.177849671934</v>
          </cell>
          <cell r="F187">
            <v>32067.175673231788</v>
          </cell>
          <cell r="G187">
            <v>46461.002176440146</v>
          </cell>
          <cell r="H187">
            <v>9749196.4404194318</v>
          </cell>
        </row>
        <row r="188">
          <cell r="B188">
            <v>173</v>
          </cell>
          <cell r="C188">
            <v>44621</v>
          </cell>
          <cell r="D188">
            <v>9749196.4404194318</v>
          </cell>
          <cell r="E188">
            <v>78528.177849671934</v>
          </cell>
          <cell r="F188">
            <v>32219.494757679633</v>
          </cell>
          <cell r="G188">
            <v>46308.683091992301</v>
          </cell>
          <cell r="H188">
            <v>9716976.9456617497</v>
          </cell>
        </row>
        <row r="189">
          <cell r="B189">
            <v>174</v>
          </cell>
          <cell r="C189">
            <v>44652</v>
          </cell>
          <cell r="D189">
            <v>9716976.9456617497</v>
          </cell>
          <cell r="E189">
            <v>78528.177849671934</v>
          </cell>
          <cell r="F189">
            <v>32372.537357778623</v>
          </cell>
          <cell r="G189">
            <v>46155.640491893311</v>
          </cell>
          <cell r="H189">
            <v>9684604.4083039686</v>
          </cell>
        </row>
        <row r="190">
          <cell r="B190">
            <v>175</v>
          </cell>
          <cell r="C190">
            <v>44682</v>
          </cell>
          <cell r="D190">
            <v>9684604.4083039686</v>
          </cell>
          <cell r="E190">
            <v>78528.177849671934</v>
          </cell>
          <cell r="F190">
            <v>32526.306910228086</v>
          </cell>
          <cell r="G190">
            <v>46001.870939443848</v>
          </cell>
          <cell r="H190">
            <v>9652078.1013937443</v>
          </cell>
        </row>
        <row r="191">
          <cell r="B191">
            <v>176</v>
          </cell>
          <cell r="C191">
            <v>44713</v>
          </cell>
          <cell r="D191">
            <v>9652078.1013937443</v>
          </cell>
          <cell r="E191">
            <v>78528.177849671934</v>
          </cell>
          <cell r="F191">
            <v>32680.806868051652</v>
          </cell>
          <cell r="G191">
            <v>45847.370981620283</v>
          </cell>
          <cell r="H191">
            <v>9619397.2945256941</v>
          </cell>
        </row>
        <row r="192">
          <cell r="B192">
            <v>177</v>
          </cell>
          <cell r="C192">
            <v>44743</v>
          </cell>
          <cell r="D192">
            <v>9619397.2945256941</v>
          </cell>
          <cell r="E192">
            <v>78528.177849671934</v>
          </cell>
          <cell r="F192">
            <v>32836.040700674886</v>
          </cell>
          <cell r="G192">
            <v>45692.137148997048</v>
          </cell>
          <cell r="H192">
            <v>9586561.2538250163</v>
          </cell>
        </row>
        <row r="193">
          <cell r="B193">
            <v>178</v>
          </cell>
          <cell r="C193">
            <v>44774</v>
          </cell>
          <cell r="D193">
            <v>9586561.2538250163</v>
          </cell>
          <cell r="E193">
            <v>78528.177849671934</v>
          </cell>
          <cell r="F193">
            <v>32992.01189400311</v>
          </cell>
          <cell r="G193">
            <v>45536.165955668825</v>
          </cell>
          <cell r="H193">
            <v>9553569.2419310138</v>
          </cell>
        </row>
        <row r="194">
          <cell r="B194">
            <v>179</v>
          </cell>
          <cell r="C194">
            <v>44805</v>
          </cell>
          <cell r="D194">
            <v>9553569.2419310138</v>
          </cell>
          <cell r="E194">
            <v>78528.177849671934</v>
          </cell>
          <cell r="F194">
            <v>33148.723950499618</v>
          </cell>
          <cell r="G194">
            <v>45379.453899172317</v>
          </cell>
          <cell r="H194">
            <v>9520420.5179805122</v>
          </cell>
        </row>
        <row r="195">
          <cell r="B195">
            <v>180</v>
          </cell>
          <cell r="C195">
            <v>44835</v>
          </cell>
          <cell r="D195">
            <v>9520420.5179805122</v>
          </cell>
          <cell r="E195">
            <v>78528.177849671934</v>
          </cell>
          <cell r="F195">
            <v>33306.180389264504</v>
          </cell>
          <cell r="G195">
            <v>45221.99746040743</v>
          </cell>
          <cell r="H195">
            <v>9487114.337591242</v>
          </cell>
        </row>
        <row r="196">
          <cell r="B196">
            <v>181</v>
          </cell>
          <cell r="C196">
            <v>44866</v>
          </cell>
          <cell r="D196">
            <v>9487114.337591242</v>
          </cell>
          <cell r="E196">
            <v>78528.177849671934</v>
          </cell>
          <cell r="F196">
            <v>33464.384746113537</v>
          </cell>
          <cell r="G196">
            <v>45063.793103558397</v>
          </cell>
          <cell r="H196">
            <v>9453649.9528451301</v>
          </cell>
        </row>
        <row r="197">
          <cell r="B197">
            <v>182</v>
          </cell>
          <cell r="C197">
            <v>44896</v>
          </cell>
          <cell r="D197">
            <v>9453649.9528451301</v>
          </cell>
          <cell r="E197">
            <v>78528.177849671934</v>
          </cell>
          <cell r="F197">
            <v>33623.340573657566</v>
          </cell>
          <cell r="G197">
            <v>44904.837276014368</v>
          </cell>
          <cell r="H197">
            <v>9420026.6122714728</v>
          </cell>
        </row>
        <row r="198">
          <cell r="B198">
            <v>183</v>
          </cell>
          <cell r="C198">
            <v>44927</v>
          </cell>
          <cell r="D198">
            <v>9420026.6122714728</v>
          </cell>
          <cell r="E198">
            <v>78528.177849671934</v>
          </cell>
          <cell r="F198">
            <v>33783.051441382442</v>
          </cell>
          <cell r="G198">
            <v>44745.126408289492</v>
          </cell>
          <cell r="H198">
            <v>9386243.5608300902</v>
          </cell>
        </row>
        <row r="199">
          <cell r="B199">
            <v>184</v>
          </cell>
          <cell r="C199">
            <v>44958</v>
          </cell>
          <cell r="D199">
            <v>9386243.5608300902</v>
          </cell>
          <cell r="E199">
            <v>78528.177849671934</v>
          </cell>
          <cell r="F199">
            <v>33943.520935729008</v>
          </cell>
          <cell r="G199">
            <v>44584.656913942927</v>
          </cell>
          <cell r="H199">
            <v>9352300.039894361</v>
          </cell>
        </row>
        <row r="200">
          <cell r="B200">
            <v>185</v>
          </cell>
          <cell r="C200">
            <v>44986</v>
          </cell>
          <cell r="D200">
            <v>9352300.039894361</v>
          </cell>
          <cell r="E200">
            <v>78528.177849671934</v>
          </cell>
          <cell r="F200">
            <v>34104.752660173719</v>
          </cell>
          <cell r="G200">
            <v>44423.425189498215</v>
          </cell>
          <cell r="H200">
            <v>9318195.2872341871</v>
          </cell>
        </row>
        <row r="201">
          <cell r="B201">
            <v>186</v>
          </cell>
          <cell r="C201">
            <v>45017</v>
          </cell>
          <cell r="D201">
            <v>9318195.2872341871</v>
          </cell>
          <cell r="E201">
            <v>78528.177849671934</v>
          </cell>
          <cell r="F201">
            <v>34266.750235309548</v>
          </cell>
          <cell r="G201">
            <v>44261.427614362387</v>
          </cell>
          <cell r="H201">
            <v>9283928.5369988792</v>
          </cell>
        </row>
        <row r="202">
          <cell r="B202">
            <v>187</v>
          </cell>
          <cell r="C202">
            <v>45047</v>
          </cell>
          <cell r="D202">
            <v>9283928.5369988792</v>
          </cell>
          <cell r="E202">
            <v>78528.177849671934</v>
          </cell>
          <cell r="F202">
            <v>34429.517298927261</v>
          </cell>
          <cell r="G202">
            <v>44098.660550744673</v>
          </cell>
          <cell r="H202">
            <v>9249499.0196999498</v>
          </cell>
        </row>
        <row r="203">
          <cell r="B203">
            <v>188</v>
          </cell>
          <cell r="C203">
            <v>45078</v>
          </cell>
          <cell r="D203">
            <v>9249499.0196999498</v>
          </cell>
          <cell r="E203">
            <v>78528.177849671934</v>
          </cell>
          <cell r="F203">
            <v>34593.057506097175</v>
          </cell>
          <cell r="G203">
            <v>43935.120343574759</v>
          </cell>
          <cell r="H203">
            <v>9214905.9621938467</v>
          </cell>
        </row>
        <row r="204">
          <cell r="B204">
            <v>189</v>
          </cell>
          <cell r="C204">
            <v>45108</v>
          </cell>
          <cell r="D204">
            <v>9214905.9621938467</v>
          </cell>
          <cell r="E204">
            <v>78528.177849671934</v>
          </cell>
          <cell r="F204">
            <v>34757.374529251167</v>
          </cell>
          <cell r="G204">
            <v>43770.803320420768</v>
          </cell>
          <cell r="H204">
            <v>9180148.5876646005</v>
          </cell>
        </row>
        <row r="205">
          <cell r="B205">
            <v>190</v>
          </cell>
          <cell r="C205">
            <v>45139</v>
          </cell>
          <cell r="D205">
            <v>9180148.5876646005</v>
          </cell>
          <cell r="E205">
            <v>78528.177849671934</v>
          </cell>
          <cell r="F205">
            <v>34922.472058265084</v>
          </cell>
          <cell r="G205">
            <v>43605.70579140685</v>
          </cell>
          <cell r="H205">
            <v>9145226.1156063303</v>
          </cell>
        </row>
        <row r="206">
          <cell r="B206">
            <v>191</v>
          </cell>
          <cell r="C206">
            <v>45170</v>
          </cell>
          <cell r="D206">
            <v>9145226.1156063303</v>
          </cell>
          <cell r="E206">
            <v>78528.177849671934</v>
          </cell>
          <cell r="F206">
            <v>35088.353800541867</v>
          </cell>
          <cell r="G206">
            <v>43439.824049130068</v>
          </cell>
          <cell r="H206">
            <v>9110137.7618057914</v>
          </cell>
        </row>
        <row r="207">
          <cell r="B207">
            <v>192</v>
          </cell>
          <cell r="C207">
            <v>45200</v>
          </cell>
          <cell r="D207">
            <v>9110137.7618057914</v>
          </cell>
          <cell r="E207">
            <v>78528.177849671934</v>
          </cell>
          <cell r="F207">
            <v>35255.023481094424</v>
          </cell>
          <cell r="G207">
            <v>43273.15436857751</v>
          </cell>
          <cell r="H207">
            <v>9074882.7383246943</v>
          </cell>
        </row>
        <row r="208">
          <cell r="B208">
            <v>193</v>
          </cell>
          <cell r="C208">
            <v>45231</v>
          </cell>
          <cell r="D208">
            <v>9074882.7383246943</v>
          </cell>
          <cell r="E208">
            <v>78528.177849671934</v>
          </cell>
          <cell r="F208">
            <v>35422.484842629638</v>
          </cell>
          <cell r="G208">
            <v>43105.693007042297</v>
          </cell>
          <cell r="H208">
            <v>9039460.2534820624</v>
          </cell>
        </row>
        <row r="209">
          <cell r="B209">
            <v>194</v>
          </cell>
          <cell r="C209">
            <v>45261</v>
          </cell>
          <cell r="D209">
            <v>9039460.2534820624</v>
          </cell>
          <cell r="E209">
            <v>78528.177849671934</v>
          </cell>
          <cell r="F209">
            <v>35590.741645632137</v>
          </cell>
          <cell r="G209">
            <v>42937.436204039797</v>
          </cell>
          <cell r="H209">
            <v>9003869.5118364319</v>
          </cell>
        </row>
        <row r="210">
          <cell r="B210">
            <v>195</v>
          </cell>
          <cell r="C210">
            <v>45292</v>
          </cell>
          <cell r="D210">
            <v>9003869.5118364319</v>
          </cell>
          <cell r="E210">
            <v>78528.177849671934</v>
          </cell>
          <cell r="F210">
            <v>35759.797668448882</v>
          </cell>
          <cell r="G210">
            <v>42768.380181223052</v>
          </cell>
          <cell r="H210">
            <v>8968109.7141679823</v>
          </cell>
        </row>
        <row r="211">
          <cell r="B211">
            <v>196</v>
          </cell>
          <cell r="C211">
            <v>45323</v>
          </cell>
          <cell r="D211">
            <v>8968109.7141679823</v>
          </cell>
          <cell r="E211">
            <v>78528.177849671934</v>
          </cell>
          <cell r="F211">
            <v>35929.656707374023</v>
          </cell>
          <cell r="G211">
            <v>42598.521142297912</v>
          </cell>
          <cell r="H211">
            <v>8932180.0574606098</v>
          </cell>
        </row>
        <row r="212">
          <cell r="B212">
            <v>197</v>
          </cell>
          <cell r="C212">
            <v>45352</v>
          </cell>
          <cell r="D212">
            <v>8932180.0574606098</v>
          </cell>
          <cell r="E212">
            <v>78528.177849671934</v>
          </cell>
          <cell r="F212">
            <v>36100.322576734041</v>
          </cell>
          <cell r="G212">
            <v>42427.855272937893</v>
          </cell>
          <cell r="H212">
            <v>8896079.7348838709</v>
          </cell>
        </row>
        <row r="213">
          <cell r="B213">
            <v>198</v>
          </cell>
          <cell r="C213">
            <v>45383</v>
          </cell>
          <cell r="D213">
            <v>8896079.7348838709</v>
          </cell>
          <cell r="E213">
            <v>78528.177849671934</v>
          </cell>
          <cell r="F213">
            <v>36271.799108973551</v>
          </cell>
          <cell r="G213">
            <v>42256.378740698383</v>
          </cell>
          <cell r="H213">
            <v>8859807.9357748963</v>
          </cell>
        </row>
        <row r="214">
          <cell r="B214">
            <v>199</v>
          </cell>
          <cell r="C214">
            <v>45413</v>
          </cell>
          <cell r="D214">
            <v>8859807.9357748963</v>
          </cell>
          <cell r="E214">
            <v>78528.177849671934</v>
          </cell>
          <cell r="F214">
            <v>36444.090154741178</v>
          </cell>
          <cell r="G214">
            <v>42084.087694930757</v>
          </cell>
          <cell r="H214">
            <v>8823363.8456201553</v>
          </cell>
        </row>
        <row r="215">
          <cell r="B215">
            <v>200</v>
          </cell>
          <cell r="C215">
            <v>45444</v>
          </cell>
          <cell r="D215">
            <v>8823363.8456201553</v>
          </cell>
          <cell r="E215">
            <v>78528.177849671934</v>
          </cell>
          <cell r="F215">
            <v>36617.199582976195</v>
          </cell>
          <cell r="G215">
            <v>41910.97826669574</v>
          </cell>
          <cell r="H215">
            <v>8786746.64603718</v>
          </cell>
        </row>
        <row r="216">
          <cell r="B216">
            <v>201</v>
          </cell>
          <cell r="C216">
            <v>45474</v>
          </cell>
          <cell r="D216">
            <v>8786746.64603718</v>
          </cell>
          <cell r="E216">
            <v>78528.177849671934</v>
          </cell>
          <cell r="F216">
            <v>36791.131280995331</v>
          </cell>
          <cell r="G216">
            <v>41737.046568676604</v>
          </cell>
          <cell r="H216">
            <v>8749955.5147561803</v>
          </cell>
        </row>
        <row r="217">
          <cell r="B217">
            <v>202</v>
          </cell>
          <cell r="C217">
            <v>45505</v>
          </cell>
          <cell r="D217">
            <v>8749955.5147561803</v>
          </cell>
          <cell r="E217">
            <v>78528.177849671934</v>
          </cell>
          <cell r="F217">
            <v>36965.88915458008</v>
          </cell>
          <cell r="G217">
            <v>41562.288695091855</v>
          </cell>
          <cell r="H217">
            <v>8712989.6256016046</v>
          </cell>
        </row>
        <row r="218">
          <cell r="B218">
            <v>203</v>
          </cell>
          <cell r="C218">
            <v>45536</v>
          </cell>
          <cell r="D218">
            <v>8712989.6256016046</v>
          </cell>
          <cell r="E218">
            <v>78528.177849671934</v>
          </cell>
          <cell r="F218">
            <v>37141.477128064311</v>
          </cell>
          <cell r="G218">
            <v>41386.700721607624</v>
          </cell>
          <cell r="H218">
            <v>8675848.1484735385</v>
          </cell>
        </row>
        <row r="219">
          <cell r="B219">
            <v>204</v>
          </cell>
          <cell r="C219">
            <v>45566</v>
          </cell>
          <cell r="D219">
            <v>8675848.1484735385</v>
          </cell>
          <cell r="E219">
            <v>78528.177849671934</v>
          </cell>
          <cell r="F219">
            <v>37317.899144422627</v>
          </cell>
          <cell r="G219">
            <v>41210.278705249308</v>
          </cell>
          <cell r="H219">
            <v>8638530.2493291125</v>
          </cell>
        </row>
        <row r="220">
          <cell r="B220">
            <v>205</v>
          </cell>
          <cell r="C220">
            <v>45597</v>
          </cell>
          <cell r="D220">
            <v>8638530.2493291125</v>
          </cell>
          <cell r="E220">
            <v>78528.177849671934</v>
          </cell>
          <cell r="F220">
            <v>37495.159165358651</v>
          </cell>
          <cell r="G220">
            <v>41033.018684313283</v>
          </cell>
          <cell r="H220">
            <v>8601035.0901637524</v>
          </cell>
        </row>
        <row r="221">
          <cell r="B221">
            <v>206</v>
          </cell>
          <cell r="C221">
            <v>45627</v>
          </cell>
          <cell r="D221">
            <v>8601035.0901637524</v>
          </cell>
          <cell r="E221">
            <v>78528.177849671934</v>
          </cell>
          <cell r="F221">
            <v>37673.261171394108</v>
          </cell>
          <cell r="G221">
            <v>40854.916678277827</v>
          </cell>
          <cell r="H221">
            <v>8563361.8289923593</v>
          </cell>
        </row>
        <row r="222">
          <cell r="B222">
            <v>207</v>
          </cell>
          <cell r="C222">
            <v>45658</v>
          </cell>
          <cell r="D222">
            <v>8563361.8289923593</v>
          </cell>
          <cell r="E222">
            <v>78528.177849671934</v>
          </cell>
          <cell r="F222">
            <v>37852.209161958228</v>
          </cell>
          <cell r="G222">
            <v>40675.968687713706</v>
          </cell>
          <cell r="H222">
            <v>8525509.6198304035</v>
          </cell>
        </row>
        <row r="223">
          <cell r="B223">
            <v>208</v>
          </cell>
          <cell r="C223">
            <v>45689</v>
          </cell>
          <cell r="D223">
            <v>8525509.6198304035</v>
          </cell>
          <cell r="E223">
            <v>78528.177849671934</v>
          </cell>
          <cell r="F223">
            <v>38032.00715547752</v>
          </cell>
          <cell r="G223">
            <v>40496.170694194414</v>
          </cell>
          <cell r="H223">
            <v>8487477.6126749255</v>
          </cell>
        </row>
        <row r="224">
          <cell r="B224">
            <v>209</v>
          </cell>
          <cell r="C224">
            <v>45717</v>
          </cell>
          <cell r="D224">
            <v>8487477.6126749255</v>
          </cell>
          <cell r="E224">
            <v>78528.177849671934</v>
          </cell>
          <cell r="F224">
            <v>38212.659189466038</v>
          </cell>
          <cell r="G224">
            <v>40315.518660205897</v>
          </cell>
          <cell r="H224">
            <v>8449264.9534854591</v>
          </cell>
        </row>
        <row r="225">
          <cell r="B225">
            <v>210</v>
          </cell>
          <cell r="C225">
            <v>45748</v>
          </cell>
          <cell r="D225">
            <v>8449264.9534854591</v>
          </cell>
          <cell r="E225">
            <v>78528.177849671934</v>
          </cell>
          <cell r="F225">
            <v>38394.169320616005</v>
          </cell>
          <cell r="G225">
            <v>40134.008529055929</v>
          </cell>
          <cell r="H225">
            <v>8410870.7841648422</v>
          </cell>
        </row>
        <row r="226">
          <cell r="B226">
            <v>211</v>
          </cell>
          <cell r="C226">
            <v>45778</v>
          </cell>
          <cell r="D226">
            <v>8410870.7841648422</v>
          </cell>
          <cell r="E226">
            <v>78528.177849671934</v>
          </cell>
          <cell r="F226">
            <v>38576.541624888938</v>
          </cell>
          <cell r="G226">
            <v>39951.636224782997</v>
          </cell>
          <cell r="H226">
            <v>8372294.2425399497</v>
          </cell>
        </row>
        <row r="227">
          <cell r="B227">
            <v>212</v>
          </cell>
          <cell r="C227">
            <v>45809</v>
          </cell>
          <cell r="D227">
            <v>8372294.2425399497</v>
          </cell>
          <cell r="E227">
            <v>78528.177849671934</v>
          </cell>
          <cell r="F227">
            <v>38759.780197607171</v>
          </cell>
          <cell r="G227">
            <v>39768.397652064763</v>
          </cell>
          <cell r="H227">
            <v>8333534.4623423405</v>
          </cell>
        </row>
        <row r="228">
          <cell r="B228">
            <v>213</v>
          </cell>
          <cell r="C228">
            <v>45839</v>
          </cell>
          <cell r="D228">
            <v>8333534.4623423405</v>
          </cell>
          <cell r="E228">
            <v>78528.177849671934</v>
          </cell>
          <cell r="F228">
            <v>38943.889153545817</v>
          </cell>
          <cell r="G228">
            <v>39584.288696126117</v>
          </cell>
          <cell r="H228">
            <v>8294590.5731888004</v>
          </cell>
        </row>
        <row r="229">
          <cell r="B229">
            <v>214</v>
          </cell>
          <cell r="C229">
            <v>45870</v>
          </cell>
          <cell r="D229">
            <v>8294590.5731888004</v>
          </cell>
          <cell r="E229">
            <v>78528.177849671934</v>
          </cell>
          <cell r="F229">
            <v>39128.872627025135</v>
          </cell>
          <cell r="G229">
            <v>39399.305222646799</v>
          </cell>
          <cell r="H229">
            <v>8255461.700561773</v>
          </cell>
        </row>
        <row r="230">
          <cell r="B230">
            <v>215</v>
          </cell>
          <cell r="C230">
            <v>45901</v>
          </cell>
          <cell r="D230">
            <v>8255461.700561773</v>
          </cell>
          <cell r="E230">
            <v>78528.177849671934</v>
          </cell>
          <cell r="F230">
            <v>39314.73477200351</v>
          </cell>
          <cell r="G230">
            <v>39213.443077668424</v>
          </cell>
          <cell r="H230">
            <v>8216146.9657897688</v>
          </cell>
        </row>
        <row r="231">
          <cell r="B231">
            <v>216</v>
          </cell>
          <cell r="C231">
            <v>45931</v>
          </cell>
          <cell r="D231">
            <v>8216146.9657897688</v>
          </cell>
          <cell r="E231">
            <v>78528.177849671934</v>
          </cell>
          <cell r="F231">
            <v>39501.479762170537</v>
          </cell>
          <cell r="G231">
            <v>39026.698087501398</v>
          </cell>
          <cell r="H231">
            <v>8176645.4860275947</v>
          </cell>
        </row>
        <row r="232">
          <cell r="B232">
            <v>217</v>
          </cell>
          <cell r="C232">
            <v>45962</v>
          </cell>
          <cell r="D232">
            <v>8176645.4860275947</v>
          </cell>
          <cell r="E232">
            <v>78528.177849671934</v>
          </cell>
          <cell r="F232">
            <v>39689.111791040857</v>
          </cell>
          <cell r="G232">
            <v>38839.066058631077</v>
          </cell>
          <cell r="H232">
            <v>8136956.3742365539</v>
          </cell>
        </row>
        <row r="233">
          <cell r="B233">
            <v>218</v>
          </cell>
          <cell r="C233">
            <v>45992</v>
          </cell>
          <cell r="D233">
            <v>8136956.3742365539</v>
          </cell>
          <cell r="E233">
            <v>78528.177849671934</v>
          </cell>
          <cell r="F233">
            <v>39877.635072048302</v>
          </cell>
          <cell r="G233">
            <v>38650.542777623632</v>
          </cell>
          <cell r="H233">
            <v>8097078.7391645089</v>
          </cell>
        </row>
        <row r="234">
          <cell r="B234">
            <v>219</v>
          </cell>
          <cell r="C234">
            <v>46023</v>
          </cell>
          <cell r="D234">
            <v>8097078.7391645089</v>
          </cell>
          <cell r="E234">
            <v>78528.177849671934</v>
          </cell>
          <cell r="F234">
            <v>40067.053838640517</v>
          </cell>
          <cell r="G234">
            <v>38461.124011031417</v>
          </cell>
          <cell r="H234">
            <v>8057011.685325861</v>
          </cell>
        </row>
        <row r="235">
          <cell r="B235">
            <v>220</v>
          </cell>
          <cell r="C235">
            <v>46054</v>
          </cell>
          <cell r="D235">
            <v>8057011.685325861</v>
          </cell>
          <cell r="E235">
            <v>78528.177849671934</v>
          </cell>
          <cell r="F235">
            <v>40257.372344374096</v>
          </cell>
          <cell r="G235">
            <v>38270.805505297838</v>
          </cell>
          <cell r="H235">
            <v>8016754.3129814863</v>
          </cell>
        </row>
        <row r="236">
          <cell r="B236">
            <v>221</v>
          </cell>
          <cell r="C236">
            <v>46082</v>
          </cell>
          <cell r="D236">
            <v>8016754.3129814863</v>
          </cell>
          <cell r="E236">
            <v>78528.177849671934</v>
          </cell>
          <cell r="F236">
            <v>40448.594863009872</v>
          </cell>
          <cell r="G236">
            <v>38079.582986662062</v>
          </cell>
          <cell r="H236">
            <v>7976305.7181184776</v>
          </cell>
        </row>
        <row r="237">
          <cell r="B237">
            <v>222</v>
          </cell>
          <cell r="C237">
            <v>46113</v>
          </cell>
          <cell r="D237">
            <v>7976305.7181184776</v>
          </cell>
          <cell r="E237">
            <v>78528.177849671934</v>
          </cell>
          <cell r="F237">
            <v>40640.725688609164</v>
          </cell>
          <cell r="G237">
            <v>37887.452161062771</v>
          </cell>
          <cell r="H237">
            <v>7935664.9924298637</v>
          </cell>
        </row>
        <row r="238">
          <cell r="B238">
            <v>223</v>
          </cell>
          <cell r="C238">
            <v>46143</v>
          </cell>
          <cell r="D238">
            <v>7935664.9924298637</v>
          </cell>
          <cell r="E238">
            <v>78528.177849671934</v>
          </cell>
          <cell r="F238">
            <v>40833.769135630086</v>
          </cell>
          <cell r="G238">
            <v>37694.408714041849</v>
          </cell>
          <cell r="H238">
            <v>7894831.2232942358</v>
          </cell>
        </row>
        <row r="239">
          <cell r="B239">
            <v>224</v>
          </cell>
          <cell r="C239">
            <v>46174</v>
          </cell>
          <cell r="D239">
            <v>7894831.2232942358</v>
          </cell>
          <cell r="E239">
            <v>78528.177849671934</v>
          </cell>
          <cell r="F239">
            <v>41027.729539024316</v>
          </cell>
          <cell r="G239">
            <v>37500.448310647618</v>
          </cell>
          <cell r="H239">
            <v>7853803.4937552065</v>
          </cell>
        </row>
        <row r="240">
          <cell r="B240">
            <v>225</v>
          </cell>
          <cell r="C240">
            <v>46204</v>
          </cell>
          <cell r="D240">
            <v>7853803.4937552065</v>
          </cell>
          <cell r="E240">
            <v>78528.177849671934</v>
          </cell>
          <cell r="F240">
            <v>41222.611254334704</v>
          </cell>
          <cell r="G240">
            <v>37305.56659533723</v>
          </cell>
          <cell r="H240">
            <v>7812580.8825008757</v>
          </cell>
        </row>
        <row r="241">
          <cell r="B241">
            <v>226</v>
          </cell>
          <cell r="C241">
            <v>46235</v>
          </cell>
          <cell r="D241">
            <v>7812580.8825008757</v>
          </cell>
          <cell r="E241">
            <v>78528.177849671934</v>
          </cell>
          <cell r="F241">
            <v>41418.418657792776</v>
          </cell>
          <cell r="G241">
            <v>37109.759191879159</v>
          </cell>
          <cell r="H241">
            <v>7771162.4638430849</v>
          </cell>
        </row>
        <row r="242">
          <cell r="B242">
            <v>227</v>
          </cell>
          <cell r="C242">
            <v>46266</v>
          </cell>
          <cell r="D242">
            <v>7771162.4638430849</v>
          </cell>
          <cell r="E242">
            <v>78528.177849671934</v>
          </cell>
          <cell r="F242">
            <v>41615.156146417285</v>
          </cell>
          <cell r="G242">
            <v>36913.02170325465</v>
          </cell>
          <cell r="H242">
            <v>7729547.3076966666</v>
          </cell>
        </row>
        <row r="243">
          <cell r="B243">
            <v>228</v>
          </cell>
          <cell r="C243">
            <v>46296</v>
          </cell>
          <cell r="D243">
            <v>7729547.3076966666</v>
          </cell>
          <cell r="E243">
            <v>78528.177849671934</v>
          </cell>
          <cell r="F243">
            <v>41812.828138112767</v>
          </cell>
          <cell r="G243">
            <v>36715.349711559167</v>
          </cell>
          <cell r="H243">
            <v>7687734.4795585498</v>
          </cell>
        </row>
        <row r="244">
          <cell r="B244">
            <v>229</v>
          </cell>
          <cell r="C244">
            <v>46327</v>
          </cell>
          <cell r="D244">
            <v>7687734.4795585498</v>
          </cell>
          <cell r="E244">
            <v>78528.177849671934</v>
          </cell>
          <cell r="F244">
            <v>42011.439071768822</v>
          </cell>
          <cell r="G244">
            <v>36516.738777903112</v>
          </cell>
          <cell r="H244">
            <v>7645723.0404867828</v>
          </cell>
        </row>
        <row r="245">
          <cell r="B245">
            <v>230</v>
          </cell>
          <cell r="C245">
            <v>46357</v>
          </cell>
          <cell r="D245">
            <v>7645723.0404867828</v>
          </cell>
          <cell r="E245">
            <v>78528.177849671934</v>
          </cell>
          <cell r="F245">
            <v>42210.993407359718</v>
          </cell>
          <cell r="G245">
            <v>36317.184442312217</v>
          </cell>
          <cell r="H245">
            <v>7603512.0470794179</v>
          </cell>
        </row>
        <row r="246">
          <cell r="B246">
            <v>231</v>
          </cell>
          <cell r="C246">
            <v>46388</v>
          </cell>
          <cell r="D246">
            <v>7603512.0470794179</v>
          </cell>
          <cell r="E246">
            <v>78528.177849671934</v>
          </cell>
          <cell r="F246">
            <v>42411.4956260447</v>
          </cell>
          <cell r="G246">
            <v>36116.682223627235</v>
          </cell>
          <cell r="H246">
            <v>7561100.5514533743</v>
          </cell>
        </row>
        <row r="247">
          <cell r="B247">
            <v>232</v>
          </cell>
          <cell r="C247">
            <v>46419</v>
          </cell>
          <cell r="D247">
            <v>7561100.5514533743</v>
          </cell>
          <cell r="E247">
            <v>78528.177849671934</v>
          </cell>
          <cell r="F247">
            <v>42612.950230268405</v>
          </cell>
          <cell r="G247">
            <v>35915.227619403529</v>
          </cell>
          <cell r="H247">
            <v>7518487.6012231037</v>
          </cell>
        </row>
        <row r="248">
          <cell r="B248">
            <v>233</v>
          </cell>
          <cell r="C248">
            <v>46447</v>
          </cell>
          <cell r="D248">
            <v>7518487.6012231037</v>
          </cell>
          <cell r="E248">
            <v>78528.177849671934</v>
          </cell>
          <cell r="F248">
            <v>42815.361743862195</v>
          </cell>
          <cell r="G248">
            <v>35712.816105809739</v>
          </cell>
          <cell r="H248">
            <v>7475672.2394792438</v>
          </cell>
        </row>
        <row r="249">
          <cell r="B249">
            <v>234</v>
          </cell>
          <cell r="C249">
            <v>46478</v>
          </cell>
          <cell r="D249">
            <v>7475672.2394792438</v>
          </cell>
          <cell r="E249">
            <v>78528.177849671934</v>
          </cell>
          <cell r="F249">
            <v>43018.734712145524</v>
          </cell>
          <cell r="G249">
            <v>35509.44313752641</v>
          </cell>
          <cell r="H249">
            <v>7432653.5047670975</v>
          </cell>
        </row>
        <row r="250">
          <cell r="B250">
            <v>235</v>
          </cell>
          <cell r="C250">
            <v>46508</v>
          </cell>
          <cell r="D250">
            <v>7432653.5047670975</v>
          </cell>
          <cell r="E250">
            <v>78528.177849671934</v>
          </cell>
          <cell r="F250">
            <v>43223.073702028225</v>
          </cell>
          <cell r="G250">
            <v>35305.104147643709</v>
          </cell>
          <cell r="H250">
            <v>7389430.4310650676</v>
          </cell>
        </row>
        <row r="251">
          <cell r="B251">
            <v>236</v>
          </cell>
          <cell r="C251">
            <v>46539</v>
          </cell>
          <cell r="D251">
            <v>7389430.4310650676</v>
          </cell>
          <cell r="E251">
            <v>78528.177849671934</v>
          </cell>
          <cell r="F251">
            <v>43428.383302112867</v>
          </cell>
          <cell r="G251">
            <v>35099.794547559068</v>
          </cell>
          <cell r="H251">
            <v>7346002.0477629527</v>
          </cell>
        </row>
        <row r="252">
          <cell r="B252">
            <v>237</v>
          </cell>
          <cell r="C252">
            <v>46569</v>
          </cell>
          <cell r="D252">
            <v>7346002.0477629527</v>
          </cell>
          <cell r="E252">
            <v>78528.177849671934</v>
          </cell>
          <cell r="F252">
            <v>43634.668122797906</v>
          </cell>
          <cell r="G252">
            <v>34893.509726874028</v>
          </cell>
          <cell r="H252">
            <v>7302367.379640162</v>
          </cell>
        </row>
        <row r="253">
          <cell r="B253">
            <v>238</v>
          </cell>
          <cell r="C253">
            <v>46600</v>
          </cell>
          <cell r="D253">
            <v>7302367.379640162</v>
          </cell>
          <cell r="E253">
            <v>78528.177849671934</v>
          </cell>
          <cell r="F253">
            <v>43841.932796381167</v>
          </cell>
          <cell r="G253">
            <v>34686.245053290768</v>
          </cell>
          <cell r="H253">
            <v>7258525.4468437731</v>
          </cell>
        </row>
        <row r="254">
          <cell r="B254">
            <v>239</v>
          </cell>
          <cell r="C254">
            <v>46631</v>
          </cell>
          <cell r="D254">
            <v>7258525.4468437731</v>
          </cell>
          <cell r="E254">
            <v>78528.177849671934</v>
          </cell>
          <cell r="F254">
            <v>44050.181977164015</v>
          </cell>
          <cell r="G254">
            <v>34477.99587250792</v>
          </cell>
          <cell r="H254">
            <v>7214475.2648666054</v>
          </cell>
        </row>
        <row r="255">
          <cell r="B255">
            <v>240</v>
          </cell>
          <cell r="C255">
            <v>46661</v>
          </cell>
          <cell r="D255">
            <v>7214475.2648666054</v>
          </cell>
          <cell r="E255">
            <v>78528.177849671934</v>
          </cell>
          <cell r="F255">
            <v>44259.42034155556</v>
          </cell>
          <cell r="G255">
            <v>34268.757508116374</v>
          </cell>
          <cell r="H255">
            <v>7170215.8445250541</v>
          </cell>
        </row>
        <row r="256">
          <cell r="B256">
            <v>241</v>
          </cell>
          <cell r="C256">
            <v>46692</v>
          </cell>
          <cell r="D256">
            <v>7170215.8445250541</v>
          </cell>
          <cell r="E256">
            <v>78528.177849671934</v>
          </cell>
          <cell r="F256">
            <v>44469.652588177931</v>
          </cell>
          <cell r="G256">
            <v>34058.525261494004</v>
          </cell>
          <cell r="H256">
            <v>7125746.1919368729</v>
          </cell>
        </row>
        <row r="257">
          <cell r="B257">
            <v>242</v>
          </cell>
          <cell r="C257">
            <v>46722</v>
          </cell>
          <cell r="D257">
            <v>7125746.1919368729</v>
          </cell>
          <cell r="E257">
            <v>78528.177849671934</v>
          </cell>
          <cell r="F257">
            <v>44680.883437971788</v>
          </cell>
          <cell r="G257">
            <v>33847.294411700146</v>
          </cell>
          <cell r="H257">
            <v>7081065.3084989041</v>
          </cell>
        </row>
        <row r="258">
          <cell r="B258">
            <v>243</v>
          </cell>
          <cell r="C258">
            <v>46753</v>
          </cell>
          <cell r="D258">
            <v>7081065.3084989041</v>
          </cell>
          <cell r="E258">
            <v>78528.177849671934</v>
          </cell>
          <cell r="F258">
            <v>44893.117634302143</v>
          </cell>
          <cell r="G258">
            <v>33635.060215369791</v>
          </cell>
          <cell r="H258">
            <v>7036172.1908645928</v>
          </cell>
        </row>
        <row r="259">
          <cell r="B259">
            <v>244</v>
          </cell>
          <cell r="C259">
            <v>46784</v>
          </cell>
          <cell r="D259">
            <v>7036172.1908645928</v>
          </cell>
          <cell r="E259">
            <v>78528.177849671934</v>
          </cell>
          <cell r="F259">
            <v>45106.359943065123</v>
          </cell>
          <cell r="G259">
            <v>33421.817906606811</v>
          </cell>
          <cell r="H259">
            <v>6991065.8309215307</v>
          </cell>
        </row>
        <row r="260">
          <cell r="B260">
            <v>245</v>
          </cell>
          <cell r="C260">
            <v>46813</v>
          </cell>
          <cell r="D260">
            <v>6991065.8309215307</v>
          </cell>
          <cell r="E260">
            <v>78528.177849671934</v>
          </cell>
          <cell r="F260">
            <v>45320.615152794664</v>
          </cell>
          <cell r="G260">
            <v>33207.56269687727</v>
          </cell>
          <cell r="H260">
            <v>6945745.2157687321</v>
          </cell>
        </row>
        <row r="261">
          <cell r="B261">
            <v>246</v>
          </cell>
          <cell r="C261">
            <v>46844</v>
          </cell>
          <cell r="D261">
            <v>6945745.2157687321</v>
          </cell>
          <cell r="E261">
            <v>78528.177849671934</v>
          </cell>
          <cell r="F261">
            <v>45535.888074770461</v>
          </cell>
          <cell r="G261">
            <v>32992.289774901474</v>
          </cell>
          <cell r="H261">
            <v>6900209.3276939616</v>
          </cell>
        </row>
        <row r="262">
          <cell r="B262">
            <v>247</v>
          </cell>
          <cell r="C262">
            <v>46874</v>
          </cell>
          <cell r="D262">
            <v>6900209.3276939616</v>
          </cell>
          <cell r="E262">
            <v>78528.177849671934</v>
          </cell>
          <cell r="F262">
            <v>45752.183543125619</v>
          </cell>
          <cell r="G262">
            <v>32775.994306546316</v>
          </cell>
          <cell r="H262">
            <v>6854457.1441508383</v>
          </cell>
        </row>
        <row r="263">
          <cell r="B263">
            <v>248</v>
          </cell>
          <cell r="C263">
            <v>46905</v>
          </cell>
          <cell r="D263">
            <v>6854457.1441508383</v>
          </cell>
          <cell r="E263">
            <v>78528.177849671934</v>
          </cell>
          <cell r="F263">
            <v>45969.506414955453</v>
          </cell>
          <cell r="G263">
            <v>32558.671434716482</v>
          </cell>
          <cell r="H263">
            <v>6808487.6377358809</v>
          </cell>
        </row>
        <row r="264">
          <cell r="B264">
            <v>249</v>
          </cell>
          <cell r="C264">
            <v>46935</v>
          </cell>
          <cell r="D264">
            <v>6808487.6377358809</v>
          </cell>
          <cell r="E264">
            <v>78528.177849671934</v>
          </cell>
          <cell r="F264">
            <v>46187.861570426496</v>
          </cell>
          <cell r="G264">
            <v>32340.316279245435</v>
          </cell>
          <cell r="H264">
            <v>6762299.7761654556</v>
          </cell>
        </row>
        <row r="265">
          <cell r="B265">
            <v>250</v>
          </cell>
          <cell r="C265">
            <v>46966</v>
          </cell>
          <cell r="D265">
            <v>6762299.7761654556</v>
          </cell>
          <cell r="E265">
            <v>78528.177849671934</v>
          </cell>
          <cell r="F265">
            <v>46407.253912886023</v>
          </cell>
          <cell r="G265">
            <v>32120.923936785912</v>
          </cell>
          <cell r="H265">
            <v>6715892.5222525671</v>
          </cell>
        </row>
        <row r="266">
          <cell r="B266">
            <v>251</v>
          </cell>
          <cell r="C266">
            <v>46997</v>
          </cell>
          <cell r="D266">
            <v>6715892.5222525671</v>
          </cell>
          <cell r="E266">
            <v>78528.177849671934</v>
          </cell>
          <cell r="F266">
            <v>46627.688368972245</v>
          </cell>
          <cell r="G266">
            <v>31900.489480699693</v>
          </cell>
          <cell r="H266">
            <v>6669264.833883591</v>
          </cell>
        </row>
        <row r="267">
          <cell r="B267">
            <v>252</v>
          </cell>
          <cell r="C267">
            <v>47027</v>
          </cell>
          <cell r="D267">
            <v>6669264.833883591</v>
          </cell>
          <cell r="E267">
            <v>78528.177849671934</v>
          </cell>
          <cell r="F267">
            <v>46849.169888724879</v>
          </cell>
          <cell r="G267">
            <v>31679.007960947056</v>
          </cell>
          <cell r="H267">
            <v>6622415.6639948711</v>
          </cell>
        </row>
        <row r="268">
          <cell r="B268">
            <v>253</v>
          </cell>
          <cell r="C268">
            <v>47058</v>
          </cell>
          <cell r="D268">
            <v>6622415.6639948711</v>
          </cell>
          <cell r="E268">
            <v>78528.177849671934</v>
          </cell>
          <cell r="F268">
            <v>47071.703445696301</v>
          </cell>
          <cell r="G268">
            <v>31456.474403975637</v>
          </cell>
          <cell r="H268">
            <v>6575343.9605491757</v>
          </cell>
        </row>
        <row r="269">
          <cell r="B269">
            <v>254</v>
          </cell>
          <cell r="C269">
            <v>47088</v>
          </cell>
          <cell r="D269">
            <v>6575343.9605491757</v>
          </cell>
          <cell r="E269">
            <v>78528.177849671934</v>
          </cell>
          <cell r="F269">
            <v>47295.294037063351</v>
          </cell>
          <cell r="G269">
            <v>31232.883812608583</v>
          </cell>
          <cell r="H269">
            <v>6528048.6665121093</v>
          </cell>
        </row>
        <row r="270">
          <cell r="B270">
            <v>255</v>
          </cell>
          <cell r="C270">
            <v>47119</v>
          </cell>
          <cell r="D270">
            <v>6528048.6665121093</v>
          </cell>
          <cell r="E270">
            <v>78528.177849671934</v>
          </cell>
          <cell r="F270">
            <v>47519.946683739414</v>
          </cell>
          <cell r="G270">
            <v>31008.231165932517</v>
          </cell>
          <cell r="H270">
            <v>6480528.7198283672</v>
          </cell>
        </row>
        <row r="271">
          <cell r="B271">
            <v>256</v>
          </cell>
          <cell r="C271">
            <v>47150</v>
          </cell>
          <cell r="D271">
            <v>6480528.7198283672</v>
          </cell>
          <cell r="E271">
            <v>78528.177849671934</v>
          </cell>
          <cell r="F271">
            <v>47745.666430487196</v>
          </cell>
          <cell r="G271">
            <v>30782.511419184742</v>
          </cell>
          <cell r="H271">
            <v>6432783.053397879</v>
          </cell>
        </row>
        <row r="272">
          <cell r="B272">
            <v>257</v>
          </cell>
          <cell r="C272">
            <v>47178</v>
          </cell>
          <cell r="D272">
            <v>6432783.053397879</v>
          </cell>
          <cell r="E272">
            <v>78528.177849671934</v>
          </cell>
          <cell r="F272">
            <v>47972.458346032014</v>
          </cell>
          <cell r="G272">
            <v>30555.719503639924</v>
          </cell>
          <cell r="H272">
            <v>6384810.5950518399</v>
          </cell>
        </row>
        <row r="273">
          <cell r="B273">
            <v>258</v>
          </cell>
          <cell r="C273">
            <v>47209</v>
          </cell>
          <cell r="D273">
            <v>6384810.5950518399</v>
          </cell>
          <cell r="E273">
            <v>78528.177849671934</v>
          </cell>
          <cell r="F273">
            <v>48200.3275231757</v>
          </cell>
          <cell r="G273">
            <v>30327.850326496238</v>
          </cell>
          <cell r="H273">
            <v>6336610.267528668</v>
          </cell>
        </row>
        <row r="274">
          <cell r="B274">
            <v>259</v>
          </cell>
          <cell r="C274">
            <v>47239</v>
          </cell>
          <cell r="D274">
            <v>6336610.267528668</v>
          </cell>
          <cell r="E274">
            <v>78528.177849671934</v>
          </cell>
          <cell r="F274">
            <v>48429.27907891076</v>
          </cell>
          <cell r="G274">
            <v>30098.898770761174</v>
          </cell>
          <cell r="H274">
            <v>6288180.9884497598</v>
          </cell>
        </row>
        <row r="275">
          <cell r="B275">
            <v>260</v>
          </cell>
          <cell r="C275">
            <v>47270</v>
          </cell>
          <cell r="D275">
            <v>6288180.9884497598</v>
          </cell>
          <cell r="E275">
            <v>78528.177849671934</v>
          </cell>
          <cell r="F275">
            <v>48659.318154535576</v>
          </cell>
          <cell r="G275">
            <v>29868.859695136358</v>
          </cell>
          <cell r="H275">
            <v>6239521.6702952236</v>
          </cell>
        </row>
        <row r="276">
          <cell r="B276">
            <v>261</v>
          </cell>
          <cell r="C276">
            <v>47300</v>
          </cell>
          <cell r="D276">
            <v>6239521.6702952236</v>
          </cell>
          <cell r="E276">
            <v>78528.177849671934</v>
          </cell>
          <cell r="F276">
            <v>48890.449915769626</v>
          </cell>
          <cell r="G276">
            <v>29637.727933902312</v>
          </cell>
          <cell r="H276">
            <v>6190631.2203794569</v>
          </cell>
        </row>
        <row r="277">
          <cell r="B277">
            <v>262</v>
          </cell>
          <cell r="C277">
            <v>47331</v>
          </cell>
          <cell r="D277">
            <v>6190631.2203794569</v>
          </cell>
          <cell r="E277">
            <v>78528.177849671934</v>
          </cell>
          <cell r="F277">
            <v>49122.679552869515</v>
          </cell>
          <cell r="G277">
            <v>29405.49829680242</v>
          </cell>
          <cell r="H277">
            <v>6141508.540826574</v>
          </cell>
        </row>
        <row r="278">
          <cell r="B278">
            <v>263</v>
          </cell>
          <cell r="C278">
            <v>47362</v>
          </cell>
          <cell r="D278">
            <v>6141508.540826574</v>
          </cell>
          <cell r="E278">
            <v>78528.177849671934</v>
          </cell>
          <cell r="F278">
            <v>49356.012280745708</v>
          </cell>
          <cell r="G278">
            <v>29172.165568926226</v>
          </cell>
          <cell r="H278">
            <v>6092152.5285458341</v>
          </cell>
        </row>
        <row r="279">
          <cell r="B279">
            <v>264</v>
          </cell>
          <cell r="C279">
            <v>47392</v>
          </cell>
          <cell r="D279">
            <v>6092152.5285458341</v>
          </cell>
          <cell r="E279">
            <v>78528.177849671934</v>
          </cell>
          <cell r="F279">
            <v>49590.45333907922</v>
          </cell>
          <cell r="G279">
            <v>28937.72451059271</v>
          </cell>
          <cell r="H279">
            <v>6042562.0752067491</v>
          </cell>
        </row>
        <row r="280">
          <cell r="B280">
            <v>265</v>
          </cell>
          <cell r="C280">
            <v>47423</v>
          </cell>
          <cell r="D280">
            <v>6042562.0752067491</v>
          </cell>
          <cell r="E280">
            <v>78528.177849671934</v>
          </cell>
          <cell r="F280">
            <v>49826.007992439874</v>
          </cell>
          <cell r="G280">
            <v>28702.169857232057</v>
          </cell>
          <cell r="H280">
            <v>5992736.0672143176</v>
          </cell>
        </row>
        <row r="281">
          <cell r="B281">
            <v>266</v>
          </cell>
          <cell r="C281">
            <v>47453</v>
          </cell>
          <cell r="D281">
            <v>5992736.0672143176</v>
          </cell>
          <cell r="E281">
            <v>78528.177849671934</v>
          </cell>
          <cell r="F281">
            <v>50062.681530403926</v>
          </cell>
          <cell r="G281">
            <v>28465.496319268008</v>
          </cell>
          <cell r="H281">
            <v>5942673.3856839091</v>
          </cell>
        </row>
        <row r="282">
          <cell r="B282">
            <v>267</v>
          </cell>
          <cell r="C282">
            <v>47484</v>
          </cell>
          <cell r="D282">
            <v>5942673.3856839091</v>
          </cell>
          <cell r="E282">
            <v>78528.177849671934</v>
          </cell>
          <cell r="F282">
            <v>50300.479267673363</v>
          </cell>
          <cell r="G282">
            <v>28227.698581998568</v>
          </cell>
          <cell r="H282">
            <v>5892372.9064162299</v>
          </cell>
        </row>
        <row r="283">
          <cell r="B283">
            <v>268</v>
          </cell>
          <cell r="C283">
            <v>47515</v>
          </cell>
          <cell r="D283">
            <v>5892372.9064162299</v>
          </cell>
          <cell r="E283">
            <v>78528.177849671934</v>
          </cell>
          <cell r="F283">
            <v>50539.406544194848</v>
          </cell>
          <cell r="G283">
            <v>27988.77130547709</v>
          </cell>
          <cell r="H283">
            <v>5841833.4998720437</v>
          </cell>
        </row>
        <row r="284">
          <cell r="B284">
            <v>269</v>
          </cell>
          <cell r="C284">
            <v>47543</v>
          </cell>
          <cell r="D284">
            <v>5841833.4998720437</v>
          </cell>
          <cell r="E284">
            <v>78528.177849671934</v>
          </cell>
          <cell r="F284">
            <v>50779.46872527973</v>
          </cell>
          <cell r="G284">
            <v>27748.709124392208</v>
          </cell>
          <cell r="H284">
            <v>5791054.0311467573</v>
          </cell>
        </row>
        <row r="285">
          <cell r="B285">
            <v>270</v>
          </cell>
          <cell r="C285">
            <v>47574</v>
          </cell>
          <cell r="D285">
            <v>5791054.0311467573</v>
          </cell>
          <cell r="E285">
            <v>78528.177849671934</v>
          </cell>
          <cell r="F285">
            <v>51020.671201724836</v>
          </cell>
          <cell r="G285">
            <v>27507.506647947095</v>
          </cell>
          <cell r="H285">
            <v>5740033.359945029</v>
          </cell>
        </row>
        <row r="286">
          <cell r="B286">
            <v>271</v>
          </cell>
          <cell r="C286">
            <v>47604</v>
          </cell>
          <cell r="D286">
            <v>5740033.359945029</v>
          </cell>
          <cell r="E286">
            <v>78528.177849671934</v>
          </cell>
          <cell r="F286">
            <v>51263.019389933048</v>
          </cell>
          <cell r="G286">
            <v>27265.158459738886</v>
          </cell>
          <cell r="H286">
            <v>5688770.3405551016</v>
          </cell>
        </row>
        <row r="287">
          <cell r="B287">
            <v>272</v>
          </cell>
          <cell r="C287">
            <v>47635</v>
          </cell>
          <cell r="D287">
            <v>5688770.3405551016</v>
          </cell>
          <cell r="E287">
            <v>78528.177849671934</v>
          </cell>
          <cell r="F287">
            <v>51506.518732035198</v>
          </cell>
          <cell r="G287">
            <v>27021.659117636733</v>
          </cell>
          <cell r="H287">
            <v>5637263.821823068</v>
          </cell>
        </row>
        <row r="288">
          <cell r="B288">
            <v>273</v>
          </cell>
          <cell r="C288">
            <v>47665</v>
          </cell>
          <cell r="D288">
            <v>5637263.821823068</v>
          </cell>
          <cell r="E288">
            <v>78528.177849671934</v>
          </cell>
          <cell r="F288">
            <v>51751.174696012364</v>
          </cell>
          <cell r="G288">
            <v>26777.003153659571</v>
          </cell>
          <cell r="H288">
            <v>5585512.6471270472</v>
          </cell>
        </row>
        <row r="289">
          <cell r="B289">
            <v>274</v>
          </cell>
          <cell r="C289">
            <v>47696</v>
          </cell>
          <cell r="D289">
            <v>5585512.6471270472</v>
          </cell>
          <cell r="E289">
            <v>78528.177849671934</v>
          </cell>
          <cell r="F289">
            <v>51996.992775818464</v>
          </cell>
          <cell r="G289">
            <v>26531.185073853474</v>
          </cell>
          <cell r="H289">
            <v>5533515.654351227</v>
          </cell>
        </row>
        <row r="290">
          <cell r="B290">
            <v>275</v>
          </cell>
          <cell r="C290">
            <v>47727</v>
          </cell>
          <cell r="D290">
            <v>5533515.654351227</v>
          </cell>
          <cell r="E290">
            <v>78528.177849671934</v>
          </cell>
          <cell r="F290">
            <v>52243.978491503607</v>
          </cell>
          <cell r="G290">
            <v>26284.199358168327</v>
          </cell>
          <cell r="H290">
            <v>5481271.6758597195</v>
          </cell>
        </row>
        <row r="291">
          <cell r="B291">
            <v>276</v>
          </cell>
          <cell r="C291">
            <v>47757</v>
          </cell>
          <cell r="D291">
            <v>5481271.6758597195</v>
          </cell>
          <cell r="E291">
            <v>78528.177849671934</v>
          </cell>
          <cell r="F291">
            <v>52492.13738933827</v>
          </cell>
          <cell r="G291">
            <v>26036.040460333668</v>
          </cell>
          <cell r="H291">
            <v>5428779.53847038</v>
          </cell>
        </row>
        <row r="292">
          <cell r="B292">
            <v>277</v>
          </cell>
          <cell r="C292">
            <v>47788</v>
          </cell>
          <cell r="D292">
            <v>5428779.53847038</v>
          </cell>
          <cell r="E292">
            <v>78528.177849671934</v>
          </cell>
          <cell r="F292">
            <v>52741.475041937629</v>
          </cell>
          <cell r="G292">
            <v>25786.702807734306</v>
          </cell>
          <cell r="H292">
            <v>5376038.0634284467</v>
          </cell>
        </row>
        <row r="293">
          <cell r="B293">
            <v>278</v>
          </cell>
          <cell r="C293">
            <v>47818</v>
          </cell>
          <cell r="D293">
            <v>5376038.0634284467</v>
          </cell>
          <cell r="E293">
            <v>78528.177849671934</v>
          </cell>
          <cell r="F293">
            <v>52991.997048386809</v>
          </cell>
          <cell r="G293">
            <v>25536.180801285122</v>
          </cell>
          <cell r="H293">
            <v>5323046.0663800538</v>
          </cell>
        </row>
        <row r="294">
          <cell r="B294">
            <v>279</v>
          </cell>
          <cell r="C294">
            <v>47849</v>
          </cell>
          <cell r="D294">
            <v>5323046.0663800538</v>
          </cell>
          <cell r="E294">
            <v>78528.177849671934</v>
          </cell>
          <cell r="F294">
            <v>53243.709034366679</v>
          </cell>
          <cell r="G294">
            <v>25284.468815305256</v>
          </cell>
          <cell r="H294">
            <v>5269802.3573456928</v>
          </cell>
        </row>
        <row r="295">
          <cell r="B295">
            <v>280</v>
          </cell>
          <cell r="C295">
            <v>47880</v>
          </cell>
          <cell r="D295">
            <v>5269802.3573456928</v>
          </cell>
          <cell r="E295">
            <v>78528.177849671934</v>
          </cell>
          <cell r="F295">
            <v>53496.616652279896</v>
          </cell>
          <cell r="G295">
            <v>25031.561197392039</v>
          </cell>
          <cell r="H295">
            <v>5216305.7406934053</v>
          </cell>
        </row>
        <row r="296">
          <cell r="B296">
            <v>281</v>
          </cell>
          <cell r="C296">
            <v>47908</v>
          </cell>
          <cell r="D296">
            <v>5216305.7406934053</v>
          </cell>
          <cell r="E296">
            <v>78528.177849671934</v>
          </cell>
          <cell r="F296">
            <v>53750.725581378261</v>
          </cell>
          <cell r="G296">
            <v>24777.452268293673</v>
          </cell>
          <cell r="H296">
            <v>5162555.0151120275</v>
          </cell>
        </row>
        <row r="297">
          <cell r="B297">
            <v>282</v>
          </cell>
          <cell r="C297">
            <v>47939</v>
          </cell>
          <cell r="D297">
            <v>5162555.0151120275</v>
          </cell>
          <cell r="E297">
            <v>78528.177849671934</v>
          </cell>
          <cell r="F297">
            <v>54006.0415278898</v>
          </cell>
          <cell r="G297">
            <v>24522.136321782131</v>
          </cell>
          <cell r="H297">
            <v>5108548.9735841379</v>
          </cell>
        </row>
        <row r="298">
          <cell r="B298">
            <v>283</v>
          </cell>
          <cell r="C298">
            <v>47969</v>
          </cell>
          <cell r="D298">
            <v>5108548.9735841379</v>
          </cell>
          <cell r="E298">
            <v>78528.177849671934</v>
          </cell>
          <cell r="F298">
            <v>54262.570225147283</v>
          </cell>
          <cell r="G298">
            <v>24265.607624524655</v>
          </cell>
          <cell r="H298">
            <v>5054286.4033589959</v>
          </cell>
        </row>
        <row r="299">
          <cell r="B299">
            <v>284</v>
          </cell>
          <cell r="C299">
            <v>48000</v>
          </cell>
          <cell r="D299">
            <v>5054286.4033589959</v>
          </cell>
          <cell r="E299">
            <v>78528.177849671934</v>
          </cell>
          <cell r="F299">
            <v>54520.3174337167</v>
          </cell>
          <cell r="G299">
            <v>24007.860415955231</v>
          </cell>
          <cell r="H299">
            <v>4999766.0859252736</v>
          </cell>
        </row>
        <row r="300">
          <cell r="B300">
            <v>285</v>
          </cell>
          <cell r="C300">
            <v>48030</v>
          </cell>
          <cell r="D300">
            <v>4999766.0859252736</v>
          </cell>
          <cell r="E300">
            <v>78528.177849671934</v>
          </cell>
          <cell r="F300">
            <v>54779.288941526887</v>
          </cell>
          <cell r="G300">
            <v>23748.888908145051</v>
          </cell>
          <cell r="H300">
            <v>4944986.7969837487</v>
          </cell>
        </row>
        <row r="301">
          <cell r="B301">
            <v>286</v>
          </cell>
          <cell r="C301">
            <v>48061</v>
          </cell>
          <cell r="D301">
            <v>4944986.7969837487</v>
          </cell>
          <cell r="E301">
            <v>78528.177849671934</v>
          </cell>
          <cell r="F301">
            <v>55039.490563999134</v>
          </cell>
          <cell r="G301">
            <v>23488.687285672804</v>
          </cell>
          <cell r="H301">
            <v>4889947.3064197451</v>
          </cell>
        </row>
        <row r="302">
          <cell r="B302">
            <v>287</v>
          </cell>
          <cell r="C302">
            <v>48092</v>
          </cell>
          <cell r="D302">
            <v>4889947.3064197451</v>
          </cell>
          <cell r="E302">
            <v>78528.177849671934</v>
          </cell>
          <cell r="F302">
            <v>55300.92814417815</v>
          </cell>
          <cell r="G302">
            <v>23227.249705493788</v>
          </cell>
          <cell r="H302">
            <v>4834646.3782755658</v>
          </cell>
        </row>
        <row r="303">
          <cell r="B303">
            <v>288</v>
          </cell>
          <cell r="C303">
            <v>48122</v>
          </cell>
          <cell r="D303">
            <v>4834646.3782755658</v>
          </cell>
          <cell r="E303">
            <v>78528.177849671934</v>
          </cell>
          <cell r="F303">
            <v>55563.607552863003</v>
          </cell>
          <cell r="G303">
            <v>22964.570296808935</v>
          </cell>
          <cell r="H303">
            <v>4779082.7707227096</v>
          </cell>
        </row>
        <row r="304">
          <cell r="B304">
            <v>289</v>
          </cell>
          <cell r="C304">
            <v>48153</v>
          </cell>
          <cell r="D304">
            <v>4779082.7707227096</v>
          </cell>
          <cell r="E304">
            <v>78528.177849671934</v>
          </cell>
          <cell r="F304">
            <v>55827.534688739062</v>
          </cell>
          <cell r="G304">
            <v>22700.643160932868</v>
          </cell>
          <cell r="H304">
            <v>4723255.2360339612</v>
          </cell>
        </row>
        <row r="305">
          <cell r="B305">
            <v>290</v>
          </cell>
          <cell r="C305">
            <v>48183</v>
          </cell>
          <cell r="D305">
            <v>4723255.2360339612</v>
          </cell>
          <cell r="E305">
            <v>78528.177849671934</v>
          </cell>
          <cell r="F305">
            <v>56092.715478510618</v>
          </cell>
          <cell r="G305">
            <v>22435.462371161317</v>
          </cell>
          <cell r="H305">
            <v>4667162.5205554515</v>
          </cell>
        </row>
        <row r="306">
          <cell r="B306">
            <v>291</v>
          </cell>
          <cell r="C306">
            <v>48214</v>
          </cell>
          <cell r="D306">
            <v>4667162.5205554515</v>
          </cell>
          <cell r="E306">
            <v>78528.177849671934</v>
          </cell>
          <cell r="F306">
            <v>56359.15587703354</v>
          </cell>
          <cell r="G306">
            <v>22169.021972638395</v>
          </cell>
          <cell r="H306">
            <v>4610803.3646784127</v>
          </cell>
        </row>
        <row r="307">
          <cell r="B307">
            <v>292</v>
          </cell>
          <cell r="C307">
            <v>48245</v>
          </cell>
          <cell r="D307">
            <v>4610803.3646784127</v>
          </cell>
          <cell r="E307">
            <v>78528.177849671934</v>
          </cell>
          <cell r="F307">
            <v>56626.861867449479</v>
          </cell>
          <cell r="G307">
            <v>21901.315982222459</v>
          </cell>
          <cell r="H307">
            <v>4554176.5028109625</v>
          </cell>
        </row>
        <row r="308">
          <cell r="B308">
            <v>293</v>
          </cell>
          <cell r="C308">
            <v>48274</v>
          </cell>
          <cell r="D308">
            <v>4554176.5028109625</v>
          </cell>
          <cell r="E308">
            <v>78528.177849671934</v>
          </cell>
          <cell r="F308">
            <v>56895.839461319862</v>
          </cell>
          <cell r="G308">
            <v>21632.338388352073</v>
          </cell>
          <cell r="H308">
            <v>4497280.6633496433</v>
          </cell>
        </row>
        <row r="309">
          <cell r="B309">
            <v>294</v>
          </cell>
          <cell r="C309">
            <v>48305</v>
          </cell>
          <cell r="D309">
            <v>4497280.6633496433</v>
          </cell>
          <cell r="E309">
            <v>78528.177849671934</v>
          </cell>
          <cell r="F309">
            <v>57166.094698761124</v>
          </cell>
          <cell r="G309">
            <v>21362.083150910807</v>
          </cell>
          <cell r="H309">
            <v>4440114.568650879</v>
          </cell>
        </row>
        <row r="310">
          <cell r="B310">
            <v>295</v>
          </cell>
          <cell r="C310">
            <v>48335</v>
          </cell>
          <cell r="D310">
            <v>4440114.568650879</v>
          </cell>
          <cell r="E310">
            <v>78528.177849671934</v>
          </cell>
          <cell r="F310">
            <v>57437.63364858026</v>
          </cell>
          <cell r="G310">
            <v>21090.544201091674</v>
          </cell>
          <cell r="H310">
            <v>4382676.9350022972</v>
          </cell>
        </row>
        <row r="311">
          <cell r="B311">
            <v>296</v>
          </cell>
          <cell r="C311">
            <v>48366</v>
          </cell>
          <cell r="D311">
            <v>4382676.9350022972</v>
          </cell>
          <cell r="E311">
            <v>78528.177849671934</v>
          </cell>
          <cell r="F311">
            <v>57710.462408411026</v>
          </cell>
          <cell r="G311">
            <v>20817.715441260912</v>
          </cell>
          <cell r="H311">
            <v>4324966.4725938886</v>
          </cell>
        </row>
        <row r="312">
          <cell r="B312">
            <v>297</v>
          </cell>
          <cell r="C312">
            <v>48396</v>
          </cell>
          <cell r="D312">
            <v>4324966.4725938886</v>
          </cell>
          <cell r="E312">
            <v>78528.177849671934</v>
          </cell>
          <cell r="F312">
            <v>57984.587104850965</v>
          </cell>
          <cell r="G312">
            <v>20543.590744820969</v>
          </cell>
          <cell r="H312">
            <v>4266981.8854890317</v>
          </cell>
        </row>
        <row r="313">
          <cell r="B313">
            <v>298</v>
          </cell>
          <cell r="C313">
            <v>48427</v>
          </cell>
          <cell r="D313">
            <v>4266981.8854890317</v>
          </cell>
          <cell r="E313">
            <v>78528.177849671934</v>
          </cell>
          <cell r="F313">
            <v>58260.01389359904</v>
          </cell>
          <cell r="G313">
            <v>20268.163956072898</v>
          </cell>
          <cell r="H313">
            <v>4208721.8715954348</v>
          </cell>
        </row>
        <row r="314">
          <cell r="B314">
            <v>299</v>
          </cell>
          <cell r="C314">
            <v>48458</v>
          </cell>
          <cell r="D314">
            <v>4208721.8715954348</v>
          </cell>
          <cell r="E314">
            <v>78528.177849671934</v>
          </cell>
          <cell r="F314">
            <v>58536.74895959362</v>
          </cell>
          <cell r="G314">
            <v>19991.428890078314</v>
          </cell>
          <cell r="H314">
            <v>4150185.1226358488</v>
          </cell>
        </row>
        <row r="315">
          <cell r="B315">
            <v>300</v>
          </cell>
          <cell r="C315">
            <v>48488</v>
          </cell>
          <cell r="D315">
            <v>4150185.1226358488</v>
          </cell>
          <cell r="E315">
            <v>78528.177849671934</v>
          </cell>
          <cell r="F315">
            <v>58814.798517151648</v>
          </cell>
          <cell r="G315">
            <v>19713.379332520282</v>
          </cell>
          <cell r="H315">
            <v>4091370.3241186887</v>
          </cell>
        </row>
        <row r="316">
          <cell r="B316">
            <v>301</v>
          </cell>
          <cell r="C316">
            <v>48519</v>
          </cell>
          <cell r="D316">
            <v>4091370.3241186887</v>
          </cell>
          <cell r="E316">
            <v>78528.177849671934</v>
          </cell>
          <cell r="F316">
            <v>59094.168810108167</v>
          </cell>
          <cell r="G316">
            <v>19434.009039563771</v>
          </cell>
          <cell r="H316">
            <v>4032276.1553085819</v>
          </cell>
        </row>
        <row r="317">
          <cell r="B317">
            <v>302</v>
          </cell>
          <cell r="C317">
            <v>48549</v>
          </cell>
          <cell r="D317">
            <v>4032276.1553085819</v>
          </cell>
          <cell r="E317">
            <v>78528.177849671934</v>
          </cell>
          <cell r="F317">
            <v>59374.866111956173</v>
          </cell>
          <cell r="G317">
            <v>19153.311737715765</v>
          </cell>
          <cell r="H317">
            <v>3972901.2891966254</v>
          </cell>
        </row>
        <row r="318">
          <cell r="B318">
            <v>303</v>
          </cell>
          <cell r="C318">
            <v>48580</v>
          </cell>
          <cell r="D318">
            <v>3972901.2891966254</v>
          </cell>
          <cell r="E318">
            <v>78528.177849671934</v>
          </cell>
          <cell r="F318">
            <v>59656.896725987965</v>
          </cell>
          <cell r="G318">
            <v>18871.28112368397</v>
          </cell>
          <cell r="H318">
            <v>3913244.3924706355</v>
          </cell>
        </row>
        <row r="319">
          <cell r="B319">
            <v>304</v>
          </cell>
          <cell r="C319">
            <v>48611</v>
          </cell>
          <cell r="D319">
            <v>3913244.3924706355</v>
          </cell>
          <cell r="E319">
            <v>78528.177849671934</v>
          </cell>
          <cell r="F319">
            <v>59940.266985436421</v>
          </cell>
          <cell r="G319">
            <v>18587.910864235517</v>
          </cell>
          <cell r="H319">
            <v>3853304.1254851967</v>
          </cell>
        </row>
        <row r="320">
          <cell r="B320">
            <v>305</v>
          </cell>
          <cell r="C320">
            <v>48639</v>
          </cell>
          <cell r="D320">
            <v>3853304.1254851967</v>
          </cell>
          <cell r="E320">
            <v>78528.177849671934</v>
          </cell>
          <cell r="F320">
            <v>60224.983253617247</v>
          </cell>
          <cell r="G320">
            <v>18303.194596054684</v>
          </cell>
          <cell r="H320">
            <v>3793079.1422315687</v>
          </cell>
        </row>
        <row r="321">
          <cell r="B321">
            <v>306</v>
          </cell>
          <cell r="C321">
            <v>48670</v>
          </cell>
          <cell r="D321">
            <v>3793079.1422315687</v>
          </cell>
          <cell r="E321">
            <v>78528.177849671934</v>
          </cell>
          <cell r="F321">
            <v>60511.051924071988</v>
          </cell>
          <cell r="G321">
            <v>18017.12592559995</v>
          </cell>
          <cell r="H321">
            <v>3732568.0903075114</v>
          </cell>
        </row>
        <row r="322">
          <cell r="B322">
            <v>307</v>
          </cell>
          <cell r="C322">
            <v>48700</v>
          </cell>
          <cell r="D322">
            <v>3732568.0903075114</v>
          </cell>
          <cell r="E322">
            <v>78528.177849671934</v>
          </cell>
          <cell r="F322">
            <v>60798.479420711257</v>
          </cell>
          <cell r="G322">
            <v>17729.698428960677</v>
          </cell>
          <cell r="H322">
            <v>3671769.6108867899</v>
          </cell>
        </row>
        <row r="323">
          <cell r="B323">
            <v>308</v>
          </cell>
          <cell r="C323">
            <v>48731</v>
          </cell>
          <cell r="D323">
            <v>3671769.6108867899</v>
          </cell>
          <cell r="E323">
            <v>78528.177849671934</v>
          </cell>
          <cell r="F323">
            <v>61087.272197959683</v>
          </cell>
          <cell r="G323">
            <v>17440.905651712252</v>
          </cell>
          <cell r="H323">
            <v>3610682.3386888206</v>
          </cell>
        </row>
        <row r="324">
          <cell r="B324">
            <v>309</v>
          </cell>
          <cell r="C324">
            <v>48761</v>
          </cell>
          <cell r="D324">
            <v>3610682.3386888206</v>
          </cell>
          <cell r="E324">
            <v>78528.177849671934</v>
          </cell>
          <cell r="F324">
            <v>61377.436740900041</v>
          </cell>
          <cell r="G324">
            <v>17150.741108771897</v>
          </cell>
          <cell r="H324">
            <v>3549304.9019479305</v>
          </cell>
        </row>
        <row r="325">
          <cell r="B325">
            <v>310</v>
          </cell>
          <cell r="C325">
            <v>48792</v>
          </cell>
          <cell r="D325">
            <v>3549304.9019479305</v>
          </cell>
          <cell r="E325">
            <v>78528.177849671934</v>
          </cell>
          <cell r="F325">
            <v>61668.979565419264</v>
          </cell>
          <cell r="G325">
            <v>16859.19828425267</v>
          </cell>
          <cell r="H325">
            <v>3487635.9223825112</v>
          </cell>
        </row>
        <row r="326">
          <cell r="B326">
            <v>311</v>
          </cell>
          <cell r="C326">
            <v>48823</v>
          </cell>
          <cell r="D326">
            <v>3487635.9223825112</v>
          </cell>
          <cell r="E326">
            <v>78528.177849671934</v>
          </cell>
          <cell r="F326">
            <v>61961.907218355002</v>
          </cell>
          <cell r="G326">
            <v>16566.270631316929</v>
          </cell>
          <cell r="H326">
            <v>3425674.0151641592</v>
          </cell>
        </row>
        <row r="327">
          <cell r="B327">
            <v>312</v>
          </cell>
          <cell r="C327">
            <v>48853</v>
          </cell>
          <cell r="D327">
            <v>3425674.0151641592</v>
          </cell>
          <cell r="E327">
            <v>78528.177849671934</v>
          </cell>
          <cell r="F327">
            <v>62256.226277642178</v>
          </cell>
          <cell r="G327">
            <v>16271.951572029757</v>
          </cell>
          <cell r="H327">
            <v>3363417.7888865098</v>
          </cell>
        </row>
        <row r="328">
          <cell r="B328">
            <v>313</v>
          </cell>
          <cell r="C328">
            <v>48884</v>
          </cell>
          <cell r="D328">
            <v>3363417.7888865098</v>
          </cell>
          <cell r="E328">
            <v>78528.177849671934</v>
          </cell>
          <cell r="F328">
            <v>62551.943352461014</v>
          </cell>
          <cell r="G328">
            <v>15976.234497210922</v>
          </cell>
          <cell r="H328">
            <v>3300865.845534049</v>
          </cell>
        </row>
        <row r="329">
          <cell r="B329">
            <v>314</v>
          </cell>
          <cell r="C329">
            <v>48914</v>
          </cell>
          <cell r="D329">
            <v>3300865.845534049</v>
          </cell>
          <cell r="E329">
            <v>78528.177849671934</v>
          </cell>
          <cell r="F329">
            <v>62849.065083385198</v>
          </cell>
          <cell r="G329">
            <v>15679.112766286733</v>
          </cell>
          <cell r="H329">
            <v>3238016.780450657</v>
          </cell>
        </row>
        <row r="330">
          <cell r="B330">
            <v>315</v>
          </cell>
          <cell r="C330">
            <v>48945</v>
          </cell>
          <cell r="D330">
            <v>3238016.780450657</v>
          </cell>
          <cell r="E330">
            <v>78528.177849671934</v>
          </cell>
          <cell r="F330">
            <v>63147.598142531315</v>
          </cell>
          <cell r="G330">
            <v>15380.57970714062</v>
          </cell>
          <cell r="H330">
            <v>3174869.18230813</v>
          </cell>
        </row>
        <row r="331">
          <cell r="B331">
            <v>316</v>
          </cell>
          <cell r="C331">
            <v>48976</v>
          </cell>
          <cell r="D331">
            <v>3174869.18230813</v>
          </cell>
          <cell r="E331">
            <v>78528.177849671934</v>
          </cell>
          <cell r="F331">
            <v>63447.54923370832</v>
          </cell>
          <cell r="G331">
            <v>15080.628615963617</v>
          </cell>
          <cell r="H331">
            <v>3111421.6330744103</v>
          </cell>
        </row>
        <row r="332">
          <cell r="B332">
            <v>317</v>
          </cell>
          <cell r="C332">
            <v>49004</v>
          </cell>
          <cell r="D332">
            <v>3111421.6330744103</v>
          </cell>
          <cell r="E332">
            <v>78528.177849671934</v>
          </cell>
          <cell r="F332">
            <v>63748.92509256849</v>
          </cell>
          <cell r="G332">
            <v>14779.252757103448</v>
          </cell>
          <cell r="H332">
            <v>3047672.7079818472</v>
          </cell>
        </row>
        <row r="333">
          <cell r="B333">
            <v>318</v>
          </cell>
          <cell r="C333">
            <v>49035</v>
          </cell>
          <cell r="D333">
            <v>3047672.7079818472</v>
          </cell>
          <cell r="E333">
            <v>78528.177849671934</v>
          </cell>
          <cell r="F333">
            <v>64051.732486758163</v>
          </cell>
          <cell r="G333">
            <v>14476.445362913773</v>
          </cell>
          <cell r="H333">
            <v>2983620.9754950851</v>
          </cell>
        </row>
        <row r="334">
          <cell r="B334">
            <v>319</v>
          </cell>
          <cell r="C334">
            <v>49065</v>
          </cell>
          <cell r="D334">
            <v>2983620.9754950851</v>
          </cell>
          <cell r="E334">
            <v>78528.177849671934</v>
          </cell>
          <cell r="F334">
            <v>64355.978216070282</v>
          </cell>
          <cell r="G334">
            <v>14172.199633601655</v>
          </cell>
          <cell r="H334">
            <v>2919264.9972790182</v>
          </cell>
        </row>
        <row r="335">
          <cell r="B335">
            <v>320</v>
          </cell>
          <cell r="C335">
            <v>49096</v>
          </cell>
          <cell r="D335">
            <v>2919264.9972790182</v>
          </cell>
          <cell r="E335">
            <v>78528.177849671934</v>
          </cell>
          <cell r="F335">
            <v>64661.669112596603</v>
          </cell>
          <cell r="G335">
            <v>13866.508737075335</v>
          </cell>
          <cell r="H335">
            <v>2854603.3281664178</v>
          </cell>
        </row>
        <row r="336">
          <cell r="B336">
            <v>321</v>
          </cell>
          <cell r="C336">
            <v>49126</v>
          </cell>
          <cell r="D336">
            <v>2854603.3281664178</v>
          </cell>
          <cell r="E336">
            <v>78528.177849671934</v>
          </cell>
          <cell r="F336">
            <v>64968.81204088145</v>
          </cell>
          <cell r="G336">
            <v>13559.365808790484</v>
          </cell>
          <cell r="H336">
            <v>2789634.5161255375</v>
          </cell>
        </row>
        <row r="337">
          <cell r="B337">
            <v>322</v>
          </cell>
          <cell r="C337">
            <v>49157</v>
          </cell>
          <cell r="D337">
            <v>2789634.5161255375</v>
          </cell>
          <cell r="E337">
            <v>78528.177849671934</v>
          </cell>
          <cell r="F337">
            <v>65277.413898075632</v>
          </cell>
          <cell r="G337">
            <v>13250.763951596302</v>
          </cell>
          <cell r="H337">
            <v>2724357.1022274569</v>
          </cell>
        </row>
        <row r="338">
          <cell r="B338">
            <v>323</v>
          </cell>
          <cell r="C338">
            <v>49188</v>
          </cell>
          <cell r="D338">
            <v>2724357.1022274569</v>
          </cell>
          <cell r="E338">
            <v>78528.177849671934</v>
          </cell>
          <cell r="F338">
            <v>65587.481614091521</v>
          </cell>
          <cell r="G338">
            <v>12940.696235580419</v>
          </cell>
          <cell r="H338">
            <v>2658769.6206133589</v>
          </cell>
        </row>
        <row r="339">
          <cell r="B339">
            <v>324</v>
          </cell>
          <cell r="C339">
            <v>49218</v>
          </cell>
          <cell r="D339">
            <v>2658769.6206133589</v>
          </cell>
          <cell r="E339">
            <v>78528.177849671934</v>
          </cell>
          <cell r="F339">
            <v>65899.022151758487</v>
          </cell>
          <cell r="G339">
            <v>12629.155697913455</v>
          </cell>
          <cell r="H339">
            <v>2592870.5984616131</v>
          </cell>
        </row>
        <row r="340">
          <cell r="B340">
            <v>325</v>
          </cell>
          <cell r="C340">
            <v>49249</v>
          </cell>
          <cell r="D340">
            <v>2592870.5984616131</v>
          </cell>
          <cell r="E340">
            <v>78528.177849671934</v>
          </cell>
          <cell r="F340">
            <v>66212.042506979269</v>
          </cell>
          <cell r="G340">
            <v>12316.135342692662</v>
          </cell>
          <cell r="H340">
            <v>2526658.5559546277</v>
          </cell>
        </row>
        <row r="341">
          <cell r="B341">
            <v>326</v>
          </cell>
          <cell r="C341">
            <v>49279</v>
          </cell>
          <cell r="D341">
            <v>2526658.5559546277</v>
          </cell>
          <cell r="E341">
            <v>78528.177849671934</v>
          </cell>
          <cell r="F341">
            <v>66526.549708887454</v>
          </cell>
          <cell r="G341">
            <v>12001.628140784482</v>
          </cell>
          <cell r="H341">
            <v>2460132.0062457323</v>
          </cell>
        </row>
        <row r="342">
          <cell r="B342">
            <v>327</v>
          </cell>
          <cell r="C342">
            <v>49310</v>
          </cell>
          <cell r="D342">
            <v>2460132.0062457323</v>
          </cell>
          <cell r="E342">
            <v>78528.177849671934</v>
          </cell>
          <cell r="F342">
            <v>66842.550820004704</v>
          </cell>
          <cell r="G342">
            <v>11685.627029667228</v>
          </cell>
          <cell r="H342">
            <v>2393289.4554257318</v>
          </cell>
        </row>
        <row r="343">
          <cell r="B343">
            <v>328</v>
          </cell>
          <cell r="C343">
            <v>49341</v>
          </cell>
          <cell r="D343">
            <v>2393289.4554257318</v>
          </cell>
          <cell r="E343">
            <v>78528.177849671934</v>
          </cell>
          <cell r="F343">
            <v>67160.052936399705</v>
          </cell>
          <cell r="G343">
            <v>11368.124913272226</v>
          </cell>
          <cell r="H343">
            <v>2326129.4024893269</v>
          </cell>
        </row>
        <row r="344">
          <cell r="B344">
            <v>329</v>
          </cell>
          <cell r="C344">
            <v>49369</v>
          </cell>
          <cell r="D344">
            <v>2326129.4024893269</v>
          </cell>
          <cell r="E344">
            <v>78528.177849671934</v>
          </cell>
          <cell r="F344">
            <v>67479.063187847627</v>
          </cell>
          <cell r="G344">
            <v>11049.114661824302</v>
          </cell>
          <cell r="H344">
            <v>2258650.3393014818</v>
          </cell>
        </row>
        <row r="345">
          <cell r="B345">
            <v>330</v>
          </cell>
          <cell r="C345">
            <v>49400</v>
          </cell>
          <cell r="D345">
            <v>2258650.3393014818</v>
          </cell>
          <cell r="E345">
            <v>78528.177849671934</v>
          </cell>
          <cell r="F345">
            <v>67799.588737989892</v>
          </cell>
          <cell r="G345">
            <v>10728.589111682038</v>
          </cell>
          <cell r="H345">
            <v>2190850.7505634949</v>
          </cell>
        </row>
        <row r="346">
          <cell r="B346">
            <v>331</v>
          </cell>
          <cell r="C346">
            <v>49430</v>
          </cell>
          <cell r="D346">
            <v>2190850.7505634949</v>
          </cell>
          <cell r="E346">
            <v>78528.177849671934</v>
          </cell>
          <cell r="F346">
            <v>68121.636784495335</v>
          </cell>
          <cell r="G346">
            <v>10406.5410651766</v>
          </cell>
          <cell r="H346">
            <v>2122729.1137789935</v>
          </cell>
        </row>
        <row r="347">
          <cell r="B347">
            <v>332</v>
          </cell>
          <cell r="C347">
            <v>49461</v>
          </cell>
          <cell r="D347">
            <v>2122729.1137789935</v>
          </cell>
          <cell r="E347">
            <v>78528.177849671934</v>
          </cell>
          <cell r="F347">
            <v>68445.214559221713</v>
          </cell>
          <cell r="G347">
            <v>10082.96329045022</v>
          </cell>
          <cell r="H347">
            <v>2054283.8992197737</v>
          </cell>
        </row>
        <row r="348">
          <cell r="B348">
            <v>333</v>
          </cell>
          <cell r="C348">
            <v>49491</v>
          </cell>
          <cell r="D348">
            <v>2054283.8992197737</v>
          </cell>
          <cell r="E348">
            <v>78528.177849671934</v>
          </cell>
          <cell r="F348">
            <v>68770.329328378008</v>
          </cell>
          <cell r="G348">
            <v>9757.8485212939249</v>
          </cell>
          <cell r="H348">
            <v>1985513.5698913857</v>
          </cell>
        </row>
        <row r="349">
          <cell r="B349">
            <v>334</v>
          </cell>
          <cell r="C349">
            <v>49522</v>
          </cell>
          <cell r="D349">
            <v>1985513.5698913857</v>
          </cell>
          <cell r="E349">
            <v>78528.177849671934</v>
          </cell>
          <cell r="F349">
            <v>69096.988392687854</v>
          </cell>
          <cell r="G349">
            <v>9431.1894569840824</v>
          </cell>
          <cell r="H349">
            <v>1916416.5814986974</v>
          </cell>
        </row>
        <row r="350">
          <cell r="B350">
            <v>335</v>
          </cell>
          <cell r="C350">
            <v>49553</v>
          </cell>
          <cell r="D350">
            <v>1916416.5814986974</v>
          </cell>
          <cell r="E350">
            <v>78528.177849671934</v>
          </cell>
          <cell r="F350">
            <v>69425.199087553119</v>
          </cell>
          <cell r="G350">
            <v>9102.9787621188116</v>
          </cell>
          <cell r="H350">
            <v>1846991.3824111447</v>
          </cell>
        </row>
        <row r="351">
          <cell r="B351">
            <v>336</v>
          </cell>
          <cell r="C351">
            <v>49583</v>
          </cell>
          <cell r="D351">
            <v>1846991.3824111447</v>
          </cell>
          <cell r="E351">
            <v>78528.177849671934</v>
          </cell>
          <cell r="F351">
            <v>69754.968783218996</v>
          </cell>
          <cell r="G351">
            <v>8773.2090664529369</v>
          </cell>
          <cell r="H351">
            <v>1777236.41362793</v>
          </cell>
        </row>
        <row r="352">
          <cell r="B352">
            <v>337</v>
          </cell>
          <cell r="C352">
            <v>49614</v>
          </cell>
          <cell r="D352">
            <v>1777236.41362793</v>
          </cell>
          <cell r="E352">
            <v>78528.177849671934</v>
          </cell>
          <cell r="F352">
            <v>70086.304884939265</v>
          </cell>
          <cell r="G352">
            <v>8441.8729647326672</v>
          </cell>
          <cell r="H352">
            <v>1707150.1087429896</v>
          </cell>
        </row>
        <row r="353">
          <cell r="B353">
            <v>338</v>
          </cell>
          <cell r="C353">
            <v>49644</v>
          </cell>
          <cell r="D353">
            <v>1707150.1087429896</v>
          </cell>
          <cell r="E353">
            <v>78528.177849671934</v>
          </cell>
          <cell r="F353">
            <v>70419.214833142731</v>
          </cell>
          <cell r="G353">
            <v>8108.9630165292001</v>
          </cell>
          <cell r="H353">
            <v>1636730.8939098418</v>
          </cell>
        </row>
        <row r="354">
          <cell r="B354">
            <v>339</v>
          </cell>
          <cell r="C354">
            <v>49675</v>
          </cell>
          <cell r="D354">
            <v>1636730.8939098418</v>
          </cell>
          <cell r="E354">
            <v>78528.177849671934</v>
          </cell>
          <cell r="F354">
            <v>70753.706103600183</v>
          </cell>
          <cell r="G354">
            <v>7774.4717460717484</v>
          </cell>
          <cell r="H354">
            <v>1565977.1878062338</v>
          </cell>
        </row>
        <row r="355">
          <cell r="B355">
            <v>340</v>
          </cell>
          <cell r="C355">
            <v>49706</v>
          </cell>
          <cell r="D355">
            <v>1565977.1878062338</v>
          </cell>
          <cell r="E355">
            <v>78528.177849671934</v>
          </cell>
          <cell r="F355">
            <v>71089.786207592319</v>
          </cell>
          <cell r="G355">
            <v>7438.3916420796104</v>
          </cell>
          <cell r="H355">
            <v>1494887.4015986472</v>
          </cell>
        </row>
        <row r="356">
          <cell r="B356">
            <v>341</v>
          </cell>
          <cell r="C356">
            <v>49735</v>
          </cell>
          <cell r="D356">
            <v>1494887.4015986472</v>
          </cell>
          <cell r="E356">
            <v>78528.177849671934</v>
          </cell>
          <cell r="F356">
            <v>71427.462692078363</v>
          </cell>
          <cell r="G356">
            <v>7100.7151575935741</v>
          </cell>
          <cell r="H356">
            <v>1423459.9389065653</v>
          </cell>
        </row>
        <row r="357">
          <cell r="B357">
            <v>342</v>
          </cell>
          <cell r="C357">
            <v>49766</v>
          </cell>
          <cell r="D357">
            <v>1423459.9389065653</v>
          </cell>
          <cell r="E357">
            <v>78528.177849671934</v>
          </cell>
          <cell r="F357">
            <v>71766.74313986575</v>
          </cell>
          <cell r="G357">
            <v>6761.4347098061853</v>
          </cell>
          <cell r="H357">
            <v>1351693.1957667023</v>
          </cell>
        </row>
        <row r="358">
          <cell r="B358">
            <v>343</v>
          </cell>
          <cell r="C358">
            <v>49796</v>
          </cell>
          <cell r="D358">
            <v>1351693.1957667023</v>
          </cell>
          <cell r="E358">
            <v>78528.177849671934</v>
          </cell>
          <cell r="F358">
            <v>72107.6351697801</v>
          </cell>
          <cell r="G358">
            <v>6420.5426798918361</v>
          </cell>
          <cell r="H358">
            <v>1279585.5605969131</v>
          </cell>
        </row>
        <row r="359">
          <cell r="B359">
            <v>344</v>
          </cell>
          <cell r="C359">
            <v>49827</v>
          </cell>
          <cell r="D359">
            <v>1279585.5605969131</v>
          </cell>
          <cell r="E359">
            <v>78528.177849671934</v>
          </cell>
          <cell r="F359">
            <v>72450.1464368366</v>
          </cell>
          <cell r="G359">
            <v>6078.0314128353375</v>
          </cell>
          <cell r="H359">
            <v>1207135.4141600877</v>
          </cell>
        </row>
        <row r="360">
          <cell r="B360">
            <v>345</v>
          </cell>
          <cell r="C360">
            <v>49857</v>
          </cell>
          <cell r="D360">
            <v>1207135.4141600877</v>
          </cell>
          <cell r="E360">
            <v>78528.177849671934</v>
          </cell>
          <cell r="F360">
            <v>72794.284632411523</v>
          </cell>
          <cell r="G360">
            <v>5733.8932172604163</v>
          </cell>
          <cell r="H360">
            <v>1134341.1295276582</v>
          </cell>
        </row>
        <row r="361">
          <cell r="B361">
            <v>346</v>
          </cell>
          <cell r="C361">
            <v>49888</v>
          </cell>
          <cell r="D361">
            <v>1134341.1295276582</v>
          </cell>
          <cell r="E361">
            <v>78528.177849671934</v>
          </cell>
          <cell r="F361">
            <v>73140.057484415564</v>
          </cell>
          <cell r="G361">
            <v>5388.1203652563763</v>
          </cell>
          <cell r="H361">
            <v>1061201.072043255</v>
          </cell>
        </row>
        <row r="362">
          <cell r="B362">
            <v>347</v>
          </cell>
          <cell r="C362">
            <v>49919</v>
          </cell>
          <cell r="D362">
            <v>1061201.072043255</v>
          </cell>
          <cell r="E362">
            <v>78528.177849671934</v>
          </cell>
          <cell r="F362">
            <v>73487.472757466472</v>
          </cell>
          <cell r="G362">
            <v>5040.7050922054614</v>
          </cell>
          <cell r="H362">
            <v>987713.59928578138</v>
          </cell>
        </row>
        <row r="363">
          <cell r="B363">
            <v>348</v>
          </cell>
          <cell r="C363">
            <v>49949</v>
          </cell>
          <cell r="D363">
            <v>987713.59928578138</v>
          </cell>
          <cell r="E363">
            <v>78528.177849671934</v>
          </cell>
          <cell r="F363">
            <v>73836.538253064471</v>
          </cell>
          <cell r="G363">
            <v>4691.6395966074615</v>
          </cell>
          <cell r="H363">
            <v>913877.06103271246</v>
          </cell>
        </row>
        <row r="364">
          <cell r="B364">
            <v>349</v>
          </cell>
          <cell r="C364">
            <v>49980</v>
          </cell>
          <cell r="D364">
            <v>913877.06103271246</v>
          </cell>
          <cell r="E364">
            <v>78528.177849671934</v>
          </cell>
          <cell r="F364">
            <v>74187.261809766555</v>
          </cell>
          <cell r="G364">
            <v>4340.9160399053844</v>
          </cell>
          <cell r="H364">
            <v>839689.79922294617</v>
          </cell>
        </row>
        <row r="365">
          <cell r="B365">
            <v>350</v>
          </cell>
          <cell r="C365">
            <v>50010</v>
          </cell>
          <cell r="D365">
            <v>839689.79922294617</v>
          </cell>
          <cell r="E365">
            <v>78528.177849671934</v>
          </cell>
          <cell r="F365">
            <v>74539.651303362945</v>
          </cell>
          <cell r="G365">
            <v>3988.5265463089941</v>
          </cell>
          <cell r="H365">
            <v>765150.14791959524</v>
          </cell>
        </row>
        <row r="366">
          <cell r="B366">
            <v>351</v>
          </cell>
          <cell r="C366">
            <v>50041</v>
          </cell>
          <cell r="D366">
            <v>765150.14791959524</v>
          </cell>
          <cell r="E366">
            <v>78528.177849671934</v>
          </cell>
          <cell r="F366">
            <v>74893.714647053857</v>
          </cell>
          <cell r="G366">
            <v>3634.4632026180775</v>
          </cell>
          <cell r="H366">
            <v>690256.43327252567</v>
          </cell>
        </row>
        <row r="367">
          <cell r="B367">
            <v>352</v>
          </cell>
          <cell r="C367">
            <v>50072</v>
          </cell>
          <cell r="D367">
            <v>690256.43327252567</v>
          </cell>
          <cell r="E367">
            <v>78528.177849671934</v>
          </cell>
          <cell r="F367">
            <v>75249.459791627436</v>
          </cell>
          <cell r="G367">
            <v>3278.718058044497</v>
          </cell>
          <cell r="H367">
            <v>615006.97348089516</v>
          </cell>
        </row>
        <row r="368">
          <cell r="B368">
            <v>353</v>
          </cell>
          <cell r="C368">
            <v>50100</v>
          </cell>
          <cell r="D368">
            <v>615006.97348089516</v>
          </cell>
          <cell r="E368">
            <v>78528.177849671934</v>
          </cell>
          <cell r="F368">
            <v>75606.894725637685</v>
          </cell>
          <cell r="G368">
            <v>2921.2831240342521</v>
          </cell>
          <cell r="H368">
            <v>539400.07875525951</v>
          </cell>
        </row>
        <row r="369">
          <cell r="B369">
            <v>354</v>
          </cell>
          <cell r="C369">
            <v>50131</v>
          </cell>
          <cell r="D369">
            <v>539400.07875525951</v>
          </cell>
          <cell r="E369">
            <v>78528.177849671934</v>
          </cell>
          <cell r="F369">
            <v>75966.027475584458</v>
          </cell>
          <cell r="G369">
            <v>2562.1503740874828</v>
          </cell>
          <cell r="H369">
            <v>463434.05127966404</v>
          </cell>
        </row>
        <row r="370">
          <cell r="B370">
            <v>355</v>
          </cell>
          <cell r="C370">
            <v>50161</v>
          </cell>
          <cell r="D370">
            <v>463434.05127966404</v>
          </cell>
          <cell r="E370">
            <v>78528.177849671934</v>
          </cell>
          <cell r="F370">
            <v>76326.866106093526</v>
          </cell>
          <cell r="G370">
            <v>2201.3117435784043</v>
          </cell>
          <cell r="H370">
            <v>387107.18517358601</v>
          </cell>
        </row>
        <row r="371">
          <cell r="B371">
            <v>356</v>
          </cell>
          <cell r="C371">
            <v>50192</v>
          </cell>
          <cell r="D371">
            <v>387107.18517358601</v>
          </cell>
          <cell r="E371">
            <v>78528.177849671934</v>
          </cell>
          <cell r="F371">
            <v>76689.418720097397</v>
          </cell>
          <cell r="G371">
            <v>1838.7591295745335</v>
          </cell>
          <cell r="H371">
            <v>310417.76645347476</v>
          </cell>
        </row>
        <row r="372">
          <cell r="B372">
            <v>357</v>
          </cell>
          <cell r="C372">
            <v>50222</v>
          </cell>
          <cell r="D372">
            <v>310417.76645347476</v>
          </cell>
          <cell r="E372">
            <v>78528.177849671934</v>
          </cell>
          <cell r="F372">
            <v>77053.69345901793</v>
          </cell>
          <cell r="G372">
            <v>1474.484390654005</v>
          </cell>
          <cell r="H372">
            <v>233364.0729944557</v>
          </cell>
        </row>
        <row r="373">
          <cell r="B373">
            <v>358</v>
          </cell>
          <cell r="C373">
            <v>50253</v>
          </cell>
          <cell r="D373">
            <v>233364.0729944557</v>
          </cell>
          <cell r="E373">
            <v>78528.177849671934</v>
          </cell>
          <cell r="F373">
            <v>77419.698502948275</v>
          </cell>
          <cell r="G373">
            <v>1108.4793467236645</v>
          </cell>
          <cell r="H373">
            <v>155944.37449149787</v>
          </cell>
        </row>
        <row r="374">
          <cell r="B374">
            <v>359</v>
          </cell>
          <cell r="C374">
            <v>50284</v>
          </cell>
          <cell r="D374">
            <v>155944.37449149787</v>
          </cell>
          <cell r="E374">
            <v>78528.177849671934</v>
          </cell>
          <cell r="F374">
            <v>77787.442070837322</v>
          </cell>
          <cell r="G374">
            <v>740.73577883461485</v>
          </cell>
          <cell r="H374">
            <v>78156.932420670986</v>
          </cell>
        </row>
        <row r="375">
          <cell r="B375">
            <v>360</v>
          </cell>
          <cell r="C375">
            <v>50314</v>
          </cell>
          <cell r="D375">
            <v>78156.932420670986</v>
          </cell>
          <cell r="E375">
            <v>78528.177849671934</v>
          </cell>
          <cell r="F375">
            <v>78156.932420673751</v>
          </cell>
          <cell r="G375">
            <v>371.24542899818715</v>
          </cell>
          <cell r="H375">
            <v>0</v>
          </cell>
        </row>
      </sheetData>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sheet"/>
      <sheetName val="Pre App List"/>
      <sheetName val="Firm App List"/>
      <sheetName val="NC Checklist"/>
      <sheetName val="Pre-App List"/>
      <sheetName val="Firm-App List"/>
      <sheetName val="Org Chart"/>
      <sheetName val="Credit Matrix "/>
      <sheetName val="ProForma"/>
      <sheetName val="92013 Pg 1"/>
      <sheetName val="92013 Pg 2"/>
      <sheetName val="92013 Pg 3"/>
      <sheetName val="Fee Breakdown"/>
      <sheetName val="92013 Pg 4"/>
      <sheetName val="92013 Pg 5"/>
      <sheetName val="2264-A"/>
      <sheetName val="Sched I"/>
      <sheetName val="Sched II"/>
      <sheetName val="92448"/>
      <sheetName val="New 92451 "/>
      <sheetName val="92403"/>
      <sheetName val="92403 Detail"/>
      <sheetName val="Flow of Funds"/>
      <sheetName val="2283"/>
      <sheetName val="92264 PG 1"/>
      <sheetName val="92264 PG 2"/>
      <sheetName val="92264 PG 3"/>
      <sheetName val="92264 PG 4"/>
      <sheetName val="92264 PG 5"/>
      <sheetName val="92264 PG 6"/>
      <sheetName val="92264 PG 7"/>
      <sheetName val="92264 PG 8"/>
      <sheetName val="92438"/>
      <sheetName val="IOD"/>
      <sheetName val="GC WC-2017"/>
      <sheetName val="Gates Butz WC-2018"/>
      <sheetName val="Gates Group WC-2018"/>
      <sheetName val="Stress Test"/>
      <sheetName val="Page 1"/>
      <sheetName val="Page 2"/>
      <sheetName val="Page 3"/>
      <sheetName val="Page 4"/>
      <sheetName val="Page 5"/>
      <sheetName val="Page 6"/>
      <sheetName val="Page 7"/>
      <sheetName val="Page 8"/>
      <sheetName val="Page 9"/>
      <sheetName val="Page 10"/>
      <sheetName val="Narr Financials"/>
      <sheetName val="GC Financials"/>
      <sheetName val="Rental Anlysis"/>
      <sheetName val="Appraisal Compare"/>
      <sheetName val="Arch Fees"/>
      <sheetName val="Utility Fees"/>
      <sheetName val="Market"/>
      <sheetName val="Invite-Firm Compare "/>
      <sheetName val="Construction Costs"/>
      <sheetName val="Instructions"/>
      <sheetName val="Lender Data Input-Summary"/>
      <sheetName val="Lender Data Input- Lender Docs"/>
      <sheetName val="Instructions (2)"/>
      <sheetName val="Input Sheet"/>
      <sheetName val="Projections and Results"/>
      <sheetName val="Graphed Results"/>
      <sheetName val="RfR commitmnt ltr attchmnt"/>
      <sheetName val="Engine"/>
      <sheetName val="Client Worksheet"/>
      <sheetName val="Repl Res"/>
      <sheetName val="Repl Res Clubhouse"/>
      <sheetName val="ProForma Ph1"/>
      <sheetName val="ProForma Ph2"/>
    </sheetNames>
    <sheetDataSet>
      <sheetData sheetId="0"/>
      <sheetData sheetId="1"/>
      <sheetData sheetId="2"/>
      <sheetData sheetId="3"/>
      <sheetData sheetId="4"/>
      <sheetData sheetId="5"/>
      <sheetData sheetId="6"/>
      <sheetData sheetId="7"/>
      <sheetData sheetId="8"/>
      <sheetData sheetId="9">
        <row r="31">
          <cell r="R31">
            <v>4.4499999999999998E-2</v>
          </cell>
        </row>
      </sheetData>
      <sheetData sheetId="10">
        <row r="21">
          <cell r="E21">
            <v>27</v>
          </cell>
        </row>
      </sheetData>
      <sheetData sheetId="11">
        <row r="11">
          <cell r="AA11">
            <v>794289.17999999993</v>
          </cell>
        </row>
        <row r="63">
          <cell r="F63">
            <v>5.0000000000000001E-3</v>
          </cell>
        </row>
      </sheetData>
      <sheetData sheetId="12">
        <row r="13">
          <cell r="G13">
            <v>1265000</v>
          </cell>
        </row>
      </sheetData>
      <sheetData sheetId="13">
        <row r="3">
          <cell r="L3">
            <v>21164439</v>
          </cell>
        </row>
      </sheetData>
      <sheetData sheetId="14"/>
      <sheetData sheetId="15">
        <row r="79">
          <cell r="G79">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4">
          <cell r="K4">
            <v>20573400</v>
          </cell>
        </row>
      </sheetData>
      <sheetData sheetId="70">
        <row r="4">
          <cell r="K4">
            <v>17249000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fidentiality"/>
      <sheetName val="Sponsor Info"/>
      <sheetName val="Site Info"/>
      <sheetName val="Market Info"/>
      <sheetName val="Site Zoom Out"/>
      <sheetName val="Site Zoom In"/>
      <sheetName val="Site Plan"/>
      <sheetName val="Rendering"/>
      <sheetName val="Rent Comps"/>
      <sheetName val="Sale Comps"/>
      <sheetName val="Pipeline"/>
      <sheetName val="Dashboard"/>
      <sheetName val="Operations"/>
      <sheetName val="S&amp;U"/>
      <sheetName val="S&amp;U Notes"/>
      <sheetName val="Property Taxes"/>
      <sheetName val="Tax Abatement"/>
      <sheetName val="Sales Tax Exemption"/>
      <sheetName val="Occupancy"/>
      <sheetName val="15yr CF"/>
      <sheetName val="Draw Schedule"/>
      <sheetName val="Valuation"/>
      <sheetName val="Proceeds"/>
      <sheetName val="LP Waterfall"/>
      <sheetName val="GP Waterfall"/>
      <sheetName val="Final Distributions"/>
      <sheetName val="221(d)4"/>
      <sheetName val="OZ Waterfall"/>
      <sheetName val="10-Year Valuation"/>
      <sheetName val="Single Site TIF"/>
      <sheetName val="Amortization"/>
      <sheetName val="PSA Timing"/>
      <sheetName val="Debt &amp; Equity Terms"/>
      <sheetName val="Environmental"/>
      <sheetName val="Check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1">
          <cell r="I11">
            <v>44985</v>
          </cell>
        </row>
        <row r="12">
          <cell r="I12">
            <v>45596</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to Close"/>
      <sheetName val="Cover"/>
      <sheetName val="Snapshot"/>
      <sheetName val="CashFlow"/>
      <sheetName val="CashFlow (old)"/>
      <sheetName val="AmSch"/>
      <sheetName val="Sales Comps"/>
      <sheetName val="Rent Comps"/>
      <sheetName val="Dev Budget"/>
      <sheetName val="Taxes"/>
      <sheetName val="Waterfall"/>
    </sheetNames>
    <sheetDataSet>
      <sheetData sheetId="0"/>
      <sheetData sheetId="1"/>
      <sheetData sheetId="2">
        <row r="30">
          <cell r="M30">
            <v>0.75</v>
          </cell>
        </row>
        <row r="31">
          <cell r="M31">
            <v>0.25</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robert@wbpropertygroup.com%20|%20%20917-670-8267" TargetMode="External"/><Relationship Id="rId1" Type="http://schemas.openxmlformats.org/officeDocument/2006/relationships/hyperlink" Target="mailto:david@wbpropertygroup.com%20|%20%20917-696-665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3" Type="http://schemas.openxmlformats.org/officeDocument/2006/relationships/hyperlink" Target="https://mailbutler.link/p/5ffda11e-d161-4501-ad2a-d38e8a8846fb/ebc72b5e-912e-46a7-8994-811dfe0939e1?url=https://www.leetc.com/ncp/show_page.asp?proc%3DTaxAuth%26TaxRoll%3DN%26years%3D2020" TargetMode="External"/><Relationship Id="rId18" Type="http://schemas.openxmlformats.org/officeDocument/2006/relationships/hyperlink" Target="https://mailbutler.link/p/5ffda11e-d161-4501-ad2a-d38e8a8846fb/ebc72b5e-912e-46a7-8994-811dfe0939e1?url=https://www.leetc.com/ncp/show_page.asp?proc%3DTaxAuth%26TaxRoll%3DA%26years%3D2020" TargetMode="External"/><Relationship Id="rId26" Type="http://schemas.openxmlformats.org/officeDocument/2006/relationships/hyperlink" Target="https://mailbutler.link/p/5ffda11e-d161-4501-ad2a-d38e8a8846fb/ebc72b5e-912e-46a7-8994-811dfe0939e1?url=https://www.leetc.com/ncp/show_page.asp?proc%3DTaxAuth%26TaxRoll%3DA%26years%3D2020" TargetMode="External"/><Relationship Id="rId3" Type="http://schemas.openxmlformats.org/officeDocument/2006/relationships/hyperlink" Target="mailto:oliavarb@paslc.org" TargetMode="External"/><Relationship Id="rId21" Type="http://schemas.openxmlformats.org/officeDocument/2006/relationships/hyperlink" Target="https://mailbutler.link/p/5ffda11e-d161-4501-ad2a-d38e8a8846fb/ebc72b5e-912e-46a7-8994-811dfe0939e1?url=https://www.leetc.com/ncp/show_page.asp?proc%3DTaxAuth%26TaxRoll%3DA%26years%3D2020" TargetMode="External"/><Relationship Id="rId34" Type="http://schemas.openxmlformats.org/officeDocument/2006/relationships/hyperlink" Target="https://mailbutler.link/p/5ffda11e-d161-4501-ad2a-d38e8a8846fb/ebc72b5e-912e-46a7-8994-811dfe0939e1?url=https://www.leetc.com/ncp/show_page.asp?proc%3DTaxAuth%26TaxRoll%3DN%26years%3D2020" TargetMode="External"/><Relationship Id="rId7" Type="http://schemas.openxmlformats.org/officeDocument/2006/relationships/hyperlink" Target="https://mailbutler.link/p/5ffda11e-d161-4501-ad2a-d38e8a8846fb/ebc72b5e-912e-46a7-8994-811dfe0939e1?url=https://www.leetc.com/ncp/show_page.asp?proc%3DTaxAuth%26TaxRoll%3DN%26years%3D2020" TargetMode="External"/><Relationship Id="rId12" Type="http://schemas.openxmlformats.org/officeDocument/2006/relationships/hyperlink" Target="https://mailbutler.link/p/5ffda11e-d161-4501-ad2a-d38e8a8846fb/ebc72b5e-912e-46a7-8994-811dfe0939e1?url=https://www.leetc.com/ncp/show_page.asp?proc%3DTaxAuth%26TaxRoll%3DN%26years%3D2020" TargetMode="External"/><Relationship Id="rId17" Type="http://schemas.openxmlformats.org/officeDocument/2006/relationships/hyperlink" Target="https://mailbutler.link/p/5ffda11e-d161-4501-ad2a-d38e8a8846fb/ebc72b5e-912e-46a7-8994-811dfe0939e1?url=https://www.leetc.com/ncp/show_page.asp?proc%3DTaxAuth%26TaxRoll%3DA%26years%3D2020" TargetMode="External"/><Relationship Id="rId25" Type="http://schemas.openxmlformats.org/officeDocument/2006/relationships/hyperlink" Target="https://mailbutler.link/p/5ffda11e-d161-4501-ad2a-d38e8a8846fb/ebc72b5e-912e-46a7-8994-811dfe0939e1?url=https://www.leetc.com/ncp/show_page.asp?proc%3DTaxAuth%26TaxRoll%3DA%26years%3D2020" TargetMode="External"/><Relationship Id="rId33" Type="http://schemas.openxmlformats.org/officeDocument/2006/relationships/hyperlink" Target="https://mailbutler.link/p/5ffda11e-d161-4501-ad2a-d38e8a8846fb/ebc72b5e-912e-46a7-8994-811dfe0939e1?url=https://www.leetc.com/ncp/show_page.asp?proc%3DTaxAuth%26TaxRoll%3DN%26years%3D2020" TargetMode="External"/><Relationship Id="rId2" Type="http://schemas.openxmlformats.org/officeDocument/2006/relationships/hyperlink" Target="mailto:Dustin.vernor@dentoncad.com" TargetMode="External"/><Relationship Id="rId16" Type="http://schemas.openxmlformats.org/officeDocument/2006/relationships/hyperlink" Target="https://mailbutler.link/p/5ffda11e-d161-4501-ad2a-d38e8a8846fb/ebc72b5e-912e-46a7-8994-811dfe0939e1?url=https://www.leetc.com/ncp/show_page.asp?proc%3DTaxAuth%26TaxRoll%3DA%26years%3D2020" TargetMode="External"/><Relationship Id="rId20" Type="http://schemas.openxmlformats.org/officeDocument/2006/relationships/hyperlink" Target="https://mailbutler.link/p/5ffda11e-d161-4501-ad2a-d38e8a8846fb/ebc72b5e-912e-46a7-8994-811dfe0939e1?url=https://www.leetc.com/ncp/show_page.asp?proc%3DTaxAuth%26TaxRoll%3DA%26years%3D2020" TargetMode="External"/><Relationship Id="rId29" Type="http://schemas.openxmlformats.org/officeDocument/2006/relationships/hyperlink" Target="https://mailbutler.link/p/5ffda11e-d161-4501-ad2a-d38e8a8846fb/ebc72b5e-912e-46a7-8994-811dfe0939e1?url=https://www.leetc.com/ncp/show_page.asp?proc%3DTaxAuth%26TaxRoll%3DN%26years%3D2020" TargetMode="External"/><Relationship Id="rId1" Type="http://schemas.openxmlformats.org/officeDocument/2006/relationships/hyperlink" Target="mailto:Chuck.saling@dentoncad.com" TargetMode="External"/><Relationship Id="rId6" Type="http://schemas.openxmlformats.org/officeDocument/2006/relationships/hyperlink" Target="https://mailbutler.link/p/5ffda11e-d161-4501-ad2a-d38e8a8846fb/ebc72b5e-912e-46a7-8994-811dfe0939e1?url=https://www.leetc.com/ncp/show_page.asp?proc%3DTaxAuth%26TaxRoll%3DN%26years%3D2020" TargetMode="External"/><Relationship Id="rId11" Type="http://schemas.openxmlformats.org/officeDocument/2006/relationships/hyperlink" Target="https://mailbutler.link/p/5ffda11e-d161-4501-ad2a-d38e8a8846fb/ebc72b5e-912e-46a7-8994-811dfe0939e1?url=https://www.leetc.com/ncp/show_page.asp?proc%3DTaxAuth%26TaxRoll%3DN%26years%3D2020" TargetMode="External"/><Relationship Id="rId24" Type="http://schemas.openxmlformats.org/officeDocument/2006/relationships/hyperlink" Target="https://mailbutler.link/p/5ffda11e-d161-4501-ad2a-d38e8a8846fb/ebc72b5e-912e-46a7-8994-811dfe0939e1?url=https://www.leetc.com/ncp/show_page.asp?proc%3DTaxAuth%26TaxRoll%3DA%26years%3D2020" TargetMode="External"/><Relationship Id="rId32" Type="http://schemas.openxmlformats.org/officeDocument/2006/relationships/hyperlink" Target="https://mailbutler.link/p/5ffda11e-d161-4501-ad2a-d38e8a8846fb/ebc72b5e-912e-46a7-8994-811dfe0939e1?url=https://www.leetc.com/ncp/show_page.asp?proc%3DTaxAuth%26TaxRoll%3DN%26years%3D2020" TargetMode="External"/><Relationship Id="rId5" Type="http://schemas.openxmlformats.org/officeDocument/2006/relationships/hyperlink" Target="https://www.leepa.org/search/propertysearch.aspx" TargetMode="External"/><Relationship Id="rId15" Type="http://schemas.openxmlformats.org/officeDocument/2006/relationships/hyperlink" Target="https://mailbutler.link/p/5ffda11e-d161-4501-ad2a-d38e8a8846fb/ebc72b5e-912e-46a7-8994-811dfe0939e1?url=https://www.leetc.com/ncp/show_page.asp?proc%3DTaxAuth%26TaxRoll%3DA%26years%3D2020" TargetMode="External"/><Relationship Id="rId23" Type="http://schemas.openxmlformats.org/officeDocument/2006/relationships/hyperlink" Target="https://mailbutler.link/p/5ffda11e-d161-4501-ad2a-d38e8a8846fb/ebc72b5e-912e-46a7-8994-811dfe0939e1?url=https://www.leetc.com/ncp/show_page.asp?proc%3DTaxAuth%26TaxRoll%3DA%26years%3D2020" TargetMode="External"/><Relationship Id="rId28" Type="http://schemas.openxmlformats.org/officeDocument/2006/relationships/hyperlink" Target="https://mailbutler.link/p/5ffda11e-d161-4501-ad2a-d38e8a8846fb/ebc72b5e-912e-46a7-8994-811dfe0939e1?url=https://www.leetc.com/ncp/show_page.asp?proc%3DTaxAuth%26TaxRoll%3DN%26years%3D2020" TargetMode="External"/><Relationship Id="rId36" Type="http://schemas.openxmlformats.org/officeDocument/2006/relationships/drawing" Target="../drawings/drawing3.xml"/><Relationship Id="rId10" Type="http://schemas.openxmlformats.org/officeDocument/2006/relationships/hyperlink" Target="https://mailbutler.link/p/5ffda11e-d161-4501-ad2a-d38e8a8846fb/ebc72b5e-912e-46a7-8994-811dfe0939e1?url=https://www.leetc.com/ncp/show_page.asp?proc%3DTaxAuth%26TaxRoll%3DN%26years%3D2020" TargetMode="External"/><Relationship Id="rId19" Type="http://schemas.openxmlformats.org/officeDocument/2006/relationships/hyperlink" Target="https://mailbutler.link/p/5ffda11e-d161-4501-ad2a-d38e8a8846fb/ebc72b5e-912e-46a7-8994-811dfe0939e1?url=https://www.leetc.com/ncp/show_page.asp?proc%3DTaxAuth%26TaxRoll%3DA%26years%3D2020" TargetMode="External"/><Relationship Id="rId31" Type="http://schemas.openxmlformats.org/officeDocument/2006/relationships/hyperlink" Target="https://mailbutler.link/p/5ffda11e-d161-4501-ad2a-d38e8a8846fb/ebc72b5e-912e-46a7-8994-811dfe0939e1?url=https://www.leetc.com/ncp/show_page.asp?proc%3DTaxAuth%26TaxRoll%3DN%26years%3D2020" TargetMode="External"/><Relationship Id="rId4" Type="http://schemas.openxmlformats.org/officeDocument/2006/relationships/hyperlink" Target="https://capegis.maps.arcgis.com/apps/webappviewer/index.html?id=bbce9a471a534e7482d35716c4cb6f36" TargetMode="External"/><Relationship Id="rId9" Type="http://schemas.openxmlformats.org/officeDocument/2006/relationships/hyperlink" Target="https://mailbutler.link/p/5ffda11e-d161-4501-ad2a-d38e8a8846fb/ebc72b5e-912e-46a7-8994-811dfe0939e1?url=https://www.leetc.com/ncp/show_page.asp?proc%3DTaxAuth%26TaxRoll%3DN%26years%3D2020" TargetMode="External"/><Relationship Id="rId14" Type="http://schemas.openxmlformats.org/officeDocument/2006/relationships/hyperlink" Target="https://mailbutler.link/p/5ffda11e-d161-4501-ad2a-d38e8a8846fb/ebc72b5e-912e-46a7-8994-811dfe0939e1?url=https://www.leetc.com/ncp/show_page.asp?proc%3DTaxAuth%26TaxRoll%3DA%26years%3D2020" TargetMode="External"/><Relationship Id="rId22" Type="http://schemas.openxmlformats.org/officeDocument/2006/relationships/hyperlink" Target="https://mailbutler.link/p/5ffda11e-d161-4501-ad2a-d38e8a8846fb/ebc72b5e-912e-46a7-8994-811dfe0939e1?url=https://www.leetc.com/ncp/show_page.asp?proc%3DTaxAuth%26TaxRoll%3DA%26years%3D2020" TargetMode="External"/><Relationship Id="rId27" Type="http://schemas.openxmlformats.org/officeDocument/2006/relationships/hyperlink" Target="https://mailbutler.link/p/5ffda11e-d161-4501-ad2a-d38e8a8846fb/ebc72b5e-912e-46a7-8994-811dfe0939e1?url=https://www.leetc.com/ncp/show_page.asp?proc%3DTaxAuth%26TaxRoll%3DN%26years%3D2020" TargetMode="External"/><Relationship Id="rId30" Type="http://schemas.openxmlformats.org/officeDocument/2006/relationships/hyperlink" Target="https://mailbutler.link/p/5ffda11e-d161-4501-ad2a-d38e8a8846fb/ebc72b5e-912e-46a7-8994-811dfe0939e1?url=https://www.leetc.com/ncp/show_page.asp?proc%3DTaxAuth%26TaxRoll%3DN%26years%3D2020" TargetMode="External"/><Relationship Id="rId35" Type="http://schemas.openxmlformats.org/officeDocument/2006/relationships/hyperlink" Target="https://mailbutler.link/p/5ffda11e-d161-4501-ad2a-d38e8a8846fb/ebc72b5e-912e-46a7-8994-811dfe0939e1?url=https://www.leetc.com/ncp/show_page.asp?proc%3DTaxAuth%26TaxRoll%3DA%26years%3D2020" TargetMode="External"/><Relationship Id="rId8" Type="http://schemas.openxmlformats.org/officeDocument/2006/relationships/hyperlink" Target="https://mailbutler.link/p/5ffda11e-d161-4501-ad2a-d38e8a8846fb/ebc72b5e-912e-46a7-8994-811dfe0939e1?url=https://www.leetc.com/ncp/show_page.asp?proc%3DTaxAuth%26TaxRoll%3DN%26years%3D2020"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EB44F-A664-7740-B001-248083E4662E}">
  <dimension ref="B2:E11"/>
  <sheetViews>
    <sheetView zoomScale="137" workbookViewId="0">
      <selection activeCell="D3" sqref="D3"/>
    </sheetView>
  </sheetViews>
  <sheetFormatPr baseColWidth="10" defaultRowHeight="15"/>
  <cols>
    <col min="2" max="2" width="29.6640625" bestFit="1" customWidth="1"/>
  </cols>
  <sheetData>
    <row r="2" spans="2:5">
      <c r="B2" s="306" t="s">
        <v>758</v>
      </c>
      <c r="C2" s="295"/>
      <c r="D2" s="295"/>
      <c r="E2" s="307"/>
    </row>
    <row r="3" spans="2:5">
      <c r="B3" s="823" t="s">
        <v>748</v>
      </c>
      <c r="C3" s="769"/>
      <c r="D3" s="288">
        <f>'HUD - Snapshot'!G45</f>
        <v>6400000</v>
      </c>
      <c r="E3" s="854">
        <f>D3/'New Snapshot'!C12</f>
        <v>20000</v>
      </c>
    </row>
    <row r="4" spans="2:5">
      <c r="B4" s="823" t="s">
        <v>46</v>
      </c>
      <c r="C4" s="769"/>
      <c r="D4" s="288">
        <v>1800000</v>
      </c>
      <c r="E4" s="854">
        <f>D4/'New Snapshot'!C12</f>
        <v>5625</v>
      </c>
    </row>
    <row r="5" spans="2:5">
      <c r="B5" s="823" t="s">
        <v>762</v>
      </c>
      <c r="C5" s="769"/>
      <c r="D5" s="288">
        <f>D3-D4</f>
        <v>4600000</v>
      </c>
      <c r="E5" s="217"/>
    </row>
    <row r="6" spans="2:5">
      <c r="B6" s="823"/>
      <c r="C6" s="769"/>
      <c r="D6" s="288"/>
      <c r="E6" s="217"/>
    </row>
    <row r="7" spans="2:5">
      <c r="B7" s="823" t="s">
        <v>750</v>
      </c>
      <c r="C7" s="769"/>
      <c r="D7" s="288">
        <f ca="1">'New Snapshot'!G35</f>
        <v>21189862.403589629</v>
      </c>
      <c r="E7" s="217"/>
    </row>
    <row r="8" spans="2:5">
      <c r="B8" s="823" t="s">
        <v>759</v>
      </c>
      <c r="C8" s="769"/>
      <c r="D8" s="288">
        <f ca="1">'New Snapshot'!G34</f>
        <v>5297465.6008974072</v>
      </c>
      <c r="E8" s="851">
        <f>'New Snapshot'!F34</f>
        <v>0.25</v>
      </c>
    </row>
    <row r="9" spans="2:5">
      <c r="B9" s="823" t="s">
        <v>761</v>
      </c>
      <c r="C9" s="769"/>
      <c r="D9" s="288">
        <f>D5</f>
        <v>4600000</v>
      </c>
      <c r="E9" s="217"/>
    </row>
    <row r="10" spans="2:5">
      <c r="B10" s="823" t="s">
        <v>749</v>
      </c>
      <c r="C10" s="769"/>
      <c r="D10" s="288">
        <f ca="1">D8-D9</f>
        <v>697465.60089740716</v>
      </c>
      <c r="E10" s="217"/>
    </row>
    <row r="11" spans="2:5">
      <c r="B11" s="858"/>
      <c r="C11" s="657"/>
      <c r="D11" s="859"/>
      <c r="E11" s="86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472CB-1F83-7845-A1C3-BA80854761A2}">
  <sheetPr>
    <pageSetUpPr fitToPage="1"/>
  </sheetPr>
  <dimension ref="B1:K51"/>
  <sheetViews>
    <sheetView showGridLines="0" workbookViewId="0">
      <selection activeCell="B23" sqref="B23:F23"/>
    </sheetView>
  </sheetViews>
  <sheetFormatPr baseColWidth="10" defaultRowHeight="15"/>
  <cols>
    <col min="1" max="1" width="4.1640625" customWidth="1"/>
    <col min="2" max="2" width="47.33203125" customWidth="1"/>
    <col min="6" max="6" width="30.1640625" customWidth="1"/>
  </cols>
  <sheetData>
    <row r="1" spans="2:11">
      <c r="B1" s="512"/>
      <c r="C1" s="512"/>
      <c r="D1" s="512"/>
      <c r="E1" s="512"/>
      <c r="F1" s="512"/>
    </row>
    <row r="2" spans="2:11" ht="18">
      <c r="B2" s="512"/>
      <c r="C2" s="512"/>
      <c r="D2" s="512"/>
      <c r="E2" s="513"/>
      <c r="F2" s="513"/>
    </row>
    <row r="3" spans="2:11" ht="18">
      <c r="B3" s="512"/>
      <c r="C3" s="512"/>
      <c r="D3" s="512"/>
      <c r="E3" s="513"/>
      <c r="F3" s="513"/>
      <c r="I3" s="499"/>
    </row>
    <row r="4" spans="2:11">
      <c r="B4" s="512"/>
      <c r="C4" s="512"/>
      <c r="D4" s="512"/>
      <c r="E4" s="512"/>
      <c r="F4" s="512"/>
      <c r="I4" s="132"/>
    </row>
    <row r="5" spans="2:11">
      <c r="B5" s="512"/>
      <c r="C5" s="512"/>
      <c r="D5" s="512"/>
      <c r="E5" s="512"/>
      <c r="F5" s="512"/>
      <c r="I5" s="132"/>
    </row>
    <row r="6" spans="2:11">
      <c r="B6" s="512"/>
      <c r="C6" s="512"/>
      <c r="D6" s="512"/>
      <c r="E6" s="512"/>
      <c r="F6" s="512"/>
      <c r="I6" s="132"/>
    </row>
    <row r="7" spans="2:11">
      <c r="B7" s="512"/>
      <c r="C7" s="512"/>
      <c r="D7" s="512"/>
      <c r="E7" s="512"/>
      <c r="F7" s="512"/>
      <c r="I7" s="132"/>
      <c r="J7" s="132"/>
      <c r="K7" s="132"/>
    </row>
    <row r="8" spans="2:11">
      <c r="B8" s="512"/>
      <c r="C8" s="512"/>
      <c r="D8" s="512"/>
      <c r="E8" s="512"/>
      <c r="F8" s="512"/>
      <c r="I8" s="132"/>
      <c r="J8" s="132"/>
      <c r="K8" s="132"/>
    </row>
    <row r="9" spans="2:11">
      <c r="B9" s="512"/>
      <c r="C9" s="512"/>
      <c r="D9" s="512"/>
      <c r="E9" s="512"/>
      <c r="F9" s="512"/>
      <c r="I9" s="132"/>
      <c r="J9" s="132"/>
      <c r="K9" s="132"/>
    </row>
    <row r="10" spans="2:11">
      <c r="B10" s="512"/>
      <c r="C10" s="512"/>
      <c r="D10" s="512"/>
      <c r="E10" s="512"/>
      <c r="F10" s="512"/>
      <c r="J10" s="132"/>
      <c r="K10" s="132"/>
    </row>
    <row r="11" spans="2:11">
      <c r="B11" s="512"/>
      <c r="C11" s="512"/>
      <c r="D11" s="512"/>
      <c r="E11" s="512"/>
      <c r="F11" s="512"/>
      <c r="J11" s="132"/>
      <c r="K11" s="132"/>
    </row>
    <row r="12" spans="2:11">
      <c r="B12" s="512"/>
      <c r="C12" s="512"/>
      <c r="D12" s="512"/>
      <c r="E12" s="512"/>
      <c r="F12" s="512"/>
      <c r="J12" s="132"/>
      <c r="K12" s="132"/>
    </row>
    <row r="13" spans="2:11">
      <c r="B13" s="512"/>
      <c r="C13" s="512"/>
      <c r="D13" s="512"/>
      <c r="E13" s="512"/>
      <c r="F13" s="512"/>
      <c r="J13" s="132"/>
      <c r="K13" s="132"/>
    </row>
    <row r="14" spans="2:11">
      <c r="B14" s="512"/>
      <c r="C14" s="512"/>
      <c r="D14" s="512"/>
      <c r="E14" s="512"/>
      <c r="F14" s="512"/>
      <c r="J14" s="132"/>
      <c r="K14" s="132"/>
    </row>
    <row r="15" spans="2:11">
      <c r="B15" s="512"/>
      <c r="C15" s="512"/>
      <c r="D15" s="512"/>
      <c r="E15" s="512"/>
      <c r="F15" s="512"/>
      <c r="J15" s="132"/>
      <c r="K15" s="132"/>
    </row>
    <row r="16" spans="2:11">
      <c r="B16" s="512"/>
      <c r="C16" s="512"/>
      <c r="D16" s="512"/>
      <c r="E16" s="512"/>
      <c r="F16" s="512"/>
      <c r="J16" s="132"/>
      <c r="K16" s="132"/>
    </row>
    <row r="17" spans="2:11">
      <c r="B17" s="512"/>
      <c r="C17" s="512"/>
      <c r="D17" s="512"/>
      <c r="E17" s="512"/>
      <c r="F17" s="512"/>
      <c r="J17" s="132"/>
      <c r="K17" s="132"/>
    </row>
    <row r="18" spans="2:11">
      <c r="B18" s="512"/>
      <c r="C18" s="512"/>
      <c r="D18" s="512"/>
      <c r="E18" s="512"/>
      <c r="F18" s="512"/>
      <c r="J18" s="132"/>
      <c r="K18" s="132"/>
    </row>
    <row r="19" spans="2:11">
      <c r="J19" s="132"/>
      <c r="K19" s="132"/>
    </row>
    <row r="21" spans="2:11" ht="20">
      <c r="B21" s="889" t="str">
        <f>'HUD - CashFlow'!R5</f>
        <v>8011 KREFELD DR</v>
      </c>
      <c r="C21" s="889"/>
      <c r="D21" s="889"/>
      <c r="E21" s="889"/>
      <c r="F21" s="889"/>
    </row>
    <row r="22" spans="2:11" ht="20">
      <c r="B22" s="889" t="str">
        <f>'HUD - CashFlow'!R6</f>
        <v>CHARLOTTE NC</v>
      </c>
      <c r="C22" s="889"/>
      <c r="D22" s="889"/>
      <c r="E22" s="889"/>
      <c r="F22" s="889"/>
    </row>
    <row r="23" spans="2:11" ht="20">
      <c r="B23" s="889" t="str">
        <f>'HUD - CashFlow'!R7</f>
        <v>320-UNIT MARKET RATE 221(d)4</v>
      </c>
      <c r="C23" s="889"/>
      <c r="D23" s="889"/>
      <c r="E23" s="889"/>
      <c r="F23" s="889"/>
    </row>
    <row r="24" spans="2:11">
      <c r="B24" s="512"/>
      <c r="C24" s="512"/>
      <c r="D24" s="512"/>
      <c r="F24" s="514"/>
    </row>
    <row r="25" spans="2:11">
      <c r="B25" s="512"/>
      <c r="C25" s="512"/>
      <c r="D25" s="512"/>
      <c r="F25" s="515"/>
    </row>
    <row r="26" spans="2:11" ht="18">
      <c r="B26" s="512"/>
      <c r="C26" s="516"/>
      <c r="D26" s="512"/>
      <c r="E26" s="517"/>
      <c r="F26" s="515"/>
    </row>
    <row r="27" spans="2:11" ht="18">
      <c r="B27" s="512"/>
      <c r="C27" s="516"/>
      <c r="D27" s="512"/>
      <c r="E27" s="517"/>
      <c r="F27" s="515"/>
    </row>
    <row r="28" spans="2:11" ht="18">
      <c r="B28" s="512"/>
      <c r="C28" s="516"/>
      <c r="D28" s="512"/>
      <c r="E28" s="517"/>
      <c r="F28" s="515"/>
    </row>
    <row r="29" spans="2:11" ht="18">
      <c r="B29" s="512"/>
      <c r="C29" s="516"/>
      <c r="D29" s="512"/>
      <c r="E29" s="517"/>
      <c r="F29" s="515"/>
    </row>
    <row r="30" spans="2:11" ht="18">
      <c r="B30" s="512"/>
      <c r="C30" s="516"/>
      <c r="D30" s="512"/>
      <c r="E30" s="517"/>
      <c r="F30" s="515"/>
    </row>
    <row r="31" spans="2:11" ht="18">
      <c r="B31" s="512"/>
      <c r="C31" s="516"/>
      <c r="D31" s="512"/>
      <c r="E31" s="517"/>
      <c r="F31" s="515"/>
    </row>
    <row r="32" spans="2:11" ht="18">
      <c r="B32" s="512"/>
      <c r="C32" s="516"/>
      <c r="D32" s="512"/>
      <c r="E32" s="517"/>
      <c r="F32" s="515"/>
    </row>
    <row r="33" spans="2:6" ht="18">
      <c r="B33" s="512"/>
      <c r="C33" s="516"/>
      <c r="D33" s="512"/>
      <c r="E33" s="517"/>
      <c r="F33" s="515"/>
    </row>
    <row r="34" spans="2:6">
      <c r="B34" s="512"/>
      <c r="C34" s="512"/>
      <c r="D34" s="512"/>
      <c r="E34" s="512"/>
      <c r="F34" s="512"/>
    </row>
    <row r="35" spans="2:6" ht="16">
      <c r="B35" s="518"/>
      <c r="C35" s="512"/>
      <c r="D35" s="512"/>
      <c r="E35" s="512"/>
      <c r="F35" s="512"/>
    </row>
    <row r="36" spans="2:6" ht="23">
      <c r="B36" s="519"/>
      <c r="C36" s="519"/>
      <c r="D36" s="519"/>
      <c r="E36" s="519"/>
      <c r="F36" s="519"/>
    </row>
    <row r="37" spans="2:6">
      <c r="B37" s="512"/>
      <c r="C37" s="512"/>
      <c r="D37" s="512"/>
      <c r="E37" s="512"/>
      <c r="F37" s="512"/>
    </row>
    <row r="38" spans="2:6">
      <c r="B38" s="512"/>
      <c r="C38" s="512"/>
      <c r="D38" s="512"/>
      <c r="E38" s="512"/>
      <c r="F38" s="512"/>
    </row>
    <row r="39" spans="2:6">
      <c r="B39" s="512"/>
      <c r="C39" s="512"/>
      <c r="D39" s="512"/>
      <c r="E39" s="512"/>
      <c r="F39" s="512"/>
    </row>
    <row r="40" spans="2:6" ht="23">
      <c r="B40" s="888" t="s">
        <v>548</v>
      </c>
      <c r="C40" s="888"/>
      <c r="D40" s="888"/>
      <c r="E40" s="888"/>
      <c r="F40" s="888"/>
    </row>
    <row r="41" spans="2:6" ht="18">
      <c r="B41" s="512"/>
      <c r="C41" s="525"/>
      <c r="D41" s="512"/>
      <c r="E41" s="512"/>
      <c r="F41" s="526">
        <f ca="1">TODAY()</f>
        <v>44838</v>
      </c>
    </row>
    <row r="42" spans="2:6" ht="16">
      <c r="B42" s="527"/>
      <c r="C42" s="512"/>
      <c r="D42" s="520"/>
      <c r="E42" s="521"/>
      <c r="F42" s="528"/>
    </row>
    <row r="43" spans="2:6" ht="18">
      <c r="B43" s="529"/>
      <c r="C43" s="530"/>
      <c r="D43" s="529"/>
      <c r="E43" s="512"/>
      <c r="F43" s="512"/>
    </row>
    <row r="44" spans="2:6" ht="17">
      <c r="B44" s="531" t="s">
        <v>549</v>
      </c>
      <c r="C44" s="512"/>
      <c r="D44" s="512"/>
      <c r="E44" s="512"/>
      <c r="F44" s="512"/>
    </row>
    <row r="45" spans="2:6" ht="17">
      <c r="B45" s="532" t="s">
        <v>551</v>
      </c>
      <c r="C45" s="512"/>
      <c r="D45" s="512"/>
      <c r="E45" s="533"/>
      <c r="F45" s="534"/>
    </row>
    <row r="46" spans="2:6" ht="18">
      <c r="B46" s="525"/>
      <c r="C46" s="512"/>
      <c r="D46" s="512"/>
      <c r="E46" s="533"/>
      <c r="F46" s="534"/>
    </row>
    <row r="47" spans="2:6" ht="17">
      <c r="B47" s="531" t="s">
        <v>550</v>
      </c>
      <c r="C47" s="512"/>
      <c r="D47" s="512"/>
      <c r="E47" s="533"/>
      <c r="F47" s="535" t="s">
        <v>199</v>
      </c>
    </row>
    <row r="48" spans="2:6">
      <c r="B48" s="532" t="s">
        <v>552</v>
      </c>
      <c r="C48" s="524"/>
      <c r="D48" s="512"/>
      <c r="E48" s="512"/>
      <c r="F48" s="535" t="s">
        <v>553</v>
      </c>
    </row>
    <row r="49" spans="2:6">
      <c r="B49" s="512"/>
      <c r="C49" s="512"/>
      <c r="D49" s="512"/>
      <c r="E49" s="512"/>
      <c r="F49" s="512"/>
    </row>
    <row r="50" spans="2:6" ht="19">
      <c r="B50" s="522"/>
      <c r="C50" s="512"/>
      <c r="D50" s="512"/>
      <c r="E50" s="512"/>
    </row>
    <row r="51" spans="2:6">
      <c r="B51" s="523"/>
      <c r="C51" s="512"/>
      <c r="D51" s="512"/>
      <c r="E51" s="512"/>
    </row>
  </sheetData>
  <mergeCells count="4">
    <mergeCell ref="B40:F40"/>
    <mergeCell ref="B21:F21"/>
    <mergeCell ref="B22:F22"/>
    <mergeCell ref="B23:F23"/>
  </mergeCells>
  <hyperlinks>
    <hyperlink ref="B45" r:id="rId1" xr:uid="{2564B0EA-2E56-FE4E-B26B-D8A771532BE3}"/>
    <hyperlink ref="B48" r:id="rId2" xr:uid="{B499EAB6-9930-A945-9F9A-E6A4C33BB08A}"/>
  </hyperlinks>
  <pageMargins left="0.7" right="0.7" top="0.75" bottom="0.75" header="0.3" footer="0.3"/>
  <pageSetup scale="77" orientation="portrait" horizontalDpi="0" verticalDpi="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8CB4E-A283-5049-9380-A5619B8760C5}">
  <sheetPr>
    <pageSetUpPr fitToPage="1"/>
  </sheetPr>
  <dimension ref="B2:AG76"/>
  <sheetViews>
    <sheetView showGridLines="0" zoomScale="110" zoomScaleNormal="120" workbookViewId="0">
      <selection activeCell="J31" sqref="J31"/>
    </sheetView>
  </sheetViews>
  <sheetFormatPr baseColWidth="10" defaultColWidth="9.1640625" defaultRowHeight="14"/>
  <cols>
    <col min="1" max="1" width="4.1640625" style="1" customWidth="1"/>
    <col min="2" max="2" width="11.6640625" style="1" customWidth="1"/>
    <col min="3" max="4" width="7.6640625" style="1" customWidth="1"/>
    <col min="5" max="5" width="8.83203125" style="1" customWidth="1"/>
    <col min="6" max="6" width="9.83203125" style="1" customWidth="1"/>
    <col min="7" max="7" width="12.33203125" style="1" customWidth="1"/>
    <col min="8" max="8" width="12.6640625" style="1" customWidth="1"/>
    <col min="9" max="9" width="1.6640625" style="1" customWidth="1"/>
    <col min="10" max="10" width="33.1640625" style="1" customWidth="1"/>
    <col min="11" max="11" width="11.6640625" style="1" customWidth="1"/>
    <col min="12" max="12" width="12.83203125" style="1" customWidth="1"/>
    <col min="13" max="13" width="13.33203125" style="1" customWidth="1"/>
    <col min="14" max="14" width="20" style="1" bestFit="1" customWidth="1"/>
    <col min="15" max="15" width="24" style="1" customWidth="1"/>
    <col min="16" max="16" width="12.33203125" style="1" customWidth="1"/>
    <col min="17" max="18" width="12.83203125" style="1" customWidth="1"/>
    <col min="19" max="19" width="19.1640625" style="1" customWidth="1"/>
    <col min="20" max="22" width="9.1640625" style="1"/>
    <col min="23" max="23" width="10.6640625" style="1" customWidth="1"/>
    <col min="24" max="24" width="6.5" style="1" customWidth="1"/>
    <col min="25" max="25" width="10.5" style="1" customWidth="1"/>
    <col min="26" max="26" width="9.33203125" style="1" customWidth="1"/>
    <col min="27" max="27" width="14" style="1" customWidth="1"/>
    <col min="28" max="28" width="14.5" style="1" customWidth="1"/>
    <col min="29" max="16384" width="9.1640625" style="1"/>
  </cols>
  <sheetData>
    <row r="2" spans="2:33" ht="15">
      <c r="C2"/>
      <c r="M2" s="20" t="s">
        <v>176</v>
      </c>
    </row>
    <row r="3" spans="2:33" ht="18">
      <c r="B3" s="168" t="str">
        <f>'HUD - CashFlow'!R5</f>
        <v>8011 KREFELD DR</v>
      </c>
      <c r="C3" s="169"/>
      <c r="D3" s="167"/>
      <c r="E3" s="167"/>
      <c r="F3" s="167"/>
      <c r="G3" s="26"/>
      <c r="H3" s="26"/>
      <c r="I3" s="26"/>
      <c r="J3" s="26"/>
      <c r="K3" s="26"/>
      <c r="L3" s="26"/>
      <c r="M3" s="24">
        <f ca="1">TODAY()</f>
        <v>44838</v>
      </c>
    </row>
    <row r="4" spans="2:33" ht="16" customHeight="1">
      <c r="B4" s="50" t="str">
        <f ca="1">DOLLAR(L7,0)&amp;", "&amp;ROUND(L9*100,2)&amp;"% Base Rate. 221(d)4 Snapshot"</f>
        <v>$63,463,600, 5% Base Rate. 221(d)4 Snapshot</v>
      </c>
      <c r="C4" s="51"/>
      <c r="D4" s="51"/>
      <c r="E4" s="51"/>
      <c r="F4" s="51"/>
      <c r="G4" s="51"/>
      <c r="H4" s="51"/>
      <c r="I4" s="51"/>
      <c r="J4" s="51"/>
      <c r="K4" s="51"/>
      <c r="L4" s="51"/>
      <c r="M4" s="51"/>
    </row>
    <row r="5" spans="2:33">
      <c r="B5" s="2"/>
      <c r="C5" s="2"/>
      <c r="D5" s="2"/>
      <c r="E5" s="2"/>
      <c r="F5" s="2"/>
      <c r="G5" s="2"/>
      <c r="H5" s="2"/>
      <c r="I5" s="2"/>
      <c r="J5" s="2"/>
      <c r="K5" s="2"/>
      <c r="L5" s="2"/>
      <c r="M5" s="2"/>
    </row>
    <row r="6" spans="2:33" ht="19" thickBot="1">
      <c r="B6" s="56" t="s">
        <v>515</v>
      </c>
      <c r="C6" s="49"/>
      <c r="D6" s="49"/>
      <c r="E6" s="49"/>
      <c r="F6" s="49"/>
      <c r="G6" s="49"/>
      <c r="H6" s="57"/>
      <c r="I6" s="2"/>
      <c r="J6" s="56" t="s">
        <v>1</v>
      </c>
      <c r="K6" s="31"/>
      <c r="L6" s="31"/>
      <c r="M6" s="785"/>
      <c r="O6" s="705" t="s">
        <v>718</v>
      </c>
      <c r="P6" s="709"/>
      <c r="Q6" s="709"/>
      <c r="R6" s="709"/>
      <c r="S6" s="709"/>
      <c r="W6" s="749" t="s">
        <v>725</v>
      </c>
      <c r="X6" s="731"/>
      <c r="Y6" s="731"/>
      <c r="Z6" s="731"/>
      <c r="AA6" s="731"/>
      <c r="AB6" s="731"/>
    </row>
    <row r="7" spans="2:33" ht="15">
      <c r="B7" s="88" t="s">
        <v>12</v>
      </c>
      <c r="C7" s="754" t="s">
        <v>13</v>
      </c>
      <c r="D7" s="754" t="s">
        <v>130</v>
      </c>
      <c r="E7" s="755" t="s">
        <v>14</v>
      </c>
      <c r="F7" s="755" t="s">
        <v>15</v>
      </c>
      <c r="G7" s="755" t="s">
        <v>16</v>
      </c>
      <c r="H7" s="91" t="s">
        <v>17</v>
      </c>
      <c r="I7" s="2"/>
      <c r="J7" s="110" t="s">
        <v>3</v>
      </c>
      <c r="L7" s="788">
        <f ca="1">'HUD - Snapshot'!F12</f>
        <v>63463600</v>
      </c>
      <c r="M7" s="62"/>
      <c r="O7" s="657" t="s">
        <v>72</v>
      </c>
      <c r="P7" s="706" t="s">
        <v>130</v>
      </c>
      <c r="Q7" s="706" t="s">
        <v>121</v>
      </c>
      <c r="R7" s="706" t="s">
        <v>707</v>
      </c>
      <c r="S7" s="706" t="s">
        <v>708</v>
      </c>
      <c r="W7" s="750" t="s">
        <v>720</v>
      </c>
      <c r="X7" s="751" t="s">
        <v>13</v>
      </c>
      <c r="Y7" s="751" t="s">
        <v>130</v>
      </c>
      <c r="Z7" s="751" t="s">
        <v>721</v>
      </c>
      <c r="AA7" s="751" t="s">
        <v>722</v>
      </c>
      <c r="AB7" s="751" t="s">
        <v>723</v>
      </c>
    </row>
    <row r="8" spans="2:33" ht="15">
      <c r="B8" s="92" t="s">
        <v>116</v>
      </c>
      <c r="C8" s="805">
        <f>SUM('New CashFlow'!R47:R49)</f>
        <v>204</v>
      </c>
      <c r="D8" s="756">
        <f>C8/$C$12</f>
        <v>0.63749999999999996</v>
      </c>
      <c r="E8" s="805">
        <f>SUMPRODUCT('New CashFlow'!S47:S49,'New CashFlow'!$R$47:$R$49)/$C$8</f>
        <v>766.12745098039215</v>
      </c>
      <c r="F8" s="805">
        <f>SUMPRODUCT('New CashFlow'!T47:T49,'New CashFlow'!$R$47:$R$49)/$C$8</f>
        <v>1721.5686274509803</v>
      </c>
      <c r="G8" s="757">
        <f>IFERROR(F8/E8,0)</f>
        <v>2.2471047411862561</v>
      </c>
      <c r="H8" s="752">
        <f t="shared" ref="H8:H10" si="0">C8*F8</f>
        <v>351200</v>
      </c>
      <c r="I8" s="2"/>
      <c r="J8" s="110" t="s">
        <v>5</v>
      </c>
      <c r="L8" s="807">
        <f>'HUD - Snapshot'!K8</f>
        <v>480</v>
      </c>
      <c r="M8" s="62"/>
      <c r="N8" s="552"/>
      <c r="O8" t="s">
        <v>709</v>
      </c>
      <c r="P8" s="716">
        <f>Q8/$Q$11</f>
        <v>0.56097560975609762</v>
      </c>
      <c r="Q8" s="710">
        <v>230</v>
      </c>
      <c r="R8" s="1">
        <v>1</v>
      </c>
      <c r="S8" s="1">
        <f>Q8*R8</f>
        <v>230</v>
      </c>
      <c r="W8" s="733">
        <v>1</v>
      </c>
      <c r="X8" s="732">
        <v>225</v>
      </c>
      <c r="Y8" s="734">
        <f>X8/$X$11</f>
        <v>0.54878048780487809</v>
      </c>
      <c r="Z8" s="735">
        <v>786</v>
      </c>
      <c r="AA8" s="736">
        <v>1915</v>
      </c>
      <c r="AB8" s="737">
        <f>AA8/Z8</f>
        <v>2.4363867684478371</v>
      </c>
    </row>
    <row r="9" spans="2:33" ht="15">
      <c r="B9" s="92" t="s">
        <v>117</v>
      </c>
      <c r="C9" s="805">
        <f>SUM('New CashFlow'!R50:R51)</f>
        <v>75</v>
      </c>
      <c r="D9" s="758">
        <f>C9/$C$12</f>
        <v>0.234375</v>
      </c>
      <c r="E9" s="805">
        <f>SUMPRODUCT('New CashFlow'!S50:S51,'New CashFlow'!$R$50:$R$51)/$C$9</f>
        <v>970</v>
      </c>
      <c r="F9" s="805">
        <f>SUMPRODUCT('New CashFlow'!T50:T51,'New CashFlow'!$R$50:$R$51)/$C$9</f>
        <v>1740</v>
      </c>
      <c r="G9" s="757">
        <f t="shared" ref="G9:G10" si="1">IFERROR(F9/E9,0)</f>
        <v>1.7938144329896908</v>
      </c>
      <c r="H9" s="752">
        <f t="shared" si="0"/>
        <v>130500</v>
      </c>
      <c r="I9" s="2"/>
      <c r="J9" s="110" t="s">
        <v>301</v>
      </c>
      <c r="L9" s="808">
        <f>'HUD - Snapshot'!K9</f>
        <v>0.05</v>
      </c>
      <c r="M9" s="62"/>
      <c r="N9" s="552"/>
      <c r="O9" t="s">
        <v>710</v>
      </c>
      <c r="P9" s="716">
        <f>Q9/$Q$11</f>
        <v>0.40243902439024393</v>
      </c>
      <c r="Q9" s="710">
        <v>165</v>
      </c>
      <c r="R9" s="1">
        <v>1.8</v>
      </c>
      <c r="S9" s="1">
        <f>Q9*R9</f>
        <v>297</v>
      </c>
      <c r="W9" s="733">
        <v>2</v>
      </c>
      <c r="X9" s="732">
        <v>170</v>
      </c>
      <c r="Y9" s="734">
        <f>X9/$X$11</f>
        <v>0.41463414634146339</v>
      </c>
      <c r="Z9" s="735">
        <v>1050</v>
      </c>
      <c r="AA9" s="736">
        <v>2415</v>
      </c>
      <c r="AB9" s="737">
        <f t="shared" ref="AB9:AB10" si="2">AA9/Z9</f>
        <v>2.2999999999999998</v>
      </c>
    </row>
    <row r="10" spans="2:33" ht="15">
      <c r="B10" s="92" t="s">
        <v>118</v>
      </c>
      <c r="C10" s="805">
        <f>SUM('New CashFlow'!R52:R53)</f>
        <v>41</v>
      </c>
      <c r="D10" s="758">
        <f>C10/$C$12</f>
        <v>0.12812499999999999</v>
      </c>
      <c r="E10" s="805">
        <f>SUMPRODUCT('New CashFlow'!S52:S53,'New CashFlow'!$R$52:$R$53)/$C$10</f>
        <v>1186.5853658536585</v>
      </c>
      <c r="F10" s="805">
        <f>SUMPRODUCT('New CashFlow'!T52:T53,'New CashFlow'!$R$52:$R$53)/$C$10</f>
        <v>1926.8292682926829</v>
      </c>
      <c r="G10" s="757">
        <f t="shared" si="1"/>
        <v>1.6238437821171634</v>
      </c>
      <c r="H10" s="752">
        <f t="shared" si="0"/>
        <v>79000</v>
      </c>
      <c r="I10" s="2"/>
      <c r="J10" s="110" t="s">
        <v>7</v>
      </c>
      <c r="L10" s="808">
        <f>'HUD - Snapshot'!K10</f>
        <v>2.5000000000000001E-3</v>
      </c>
      <c r="M10" s="62"/>
      <c r="O10" s="657" t="s">
        <v>711</v>
      </c>
      <c r="P10" s="717">
        <f>Q10/$Q$11</f>
        <v>3.6585365853658534E-2</v>
      </c>
      <c r="Q10" s="711">
        <v>15</v>
      </c>
      <c r="R10" s="709">
        <v>2</v>
      </c>
      <c r="S10" s="709">
        <f>Q10*R10</f>
        <v>30</v>
      </c>
      <c r="W10" s="738">
        <v>3</v>
      </c>
      <c r="X10" s="739">
        <v>15</v>
      </c>
      <c r="Y10" s="740">
        <f>X10/$X$11</f>
        <v>3.6585365853658534E-2</v>
      </c>
      <c r="Z10" s="741">
        <v>1200</v>
      </c>
      <c r="AA10" s="742">
        <v>2880</v>
      </c>
      <c r="AB10" s="743">
        <f t="shared" si="2"/>
        <v>2.4</v>
      </c>
    </row>
    <row r="11" spans="2:33">
      <c r="B11" s="95"/>
      <c r="C11" s="806"/>
      <c r="D11" s="229"/>
      <c r="E11" s="806"/>
      <c r="F11" s="806"/>
      <c r="G11" s="97"/>
      <c r="H11" s="98"/>
      <c r="I11" s="2"/>
      <c r="J11" s="110" t="s">
        <v>8</v>
      </c>
      <c r="K11" s="709"/>
      <c r="L11" s="786">
        <f>-PMT(L9/12,L8,1)*12+L10</f>
        <v>6.0363592069547521E-2</v>
      </c>
      <c r="M11" s="62"/>
      <c r="P11" s="715">
        <f>Q11/$Q$11</f>
        <v>1</v>
      </c>
      <c r="Q11" s="710">
        <f>SUM(Q8:Q10)</f>
        <v>410</v>
      </c>
      <c r="S11" s="1">
        <f>SUM(S8:S10)</f>
        <v>557</v>
      </c>
      <c r="W11" s="744" t="s">
        <v>724</v>
      </c>
      <c r="X11" s="744">
        <f>SUM(X8:X10)</f>
        <v>410</v>
      </c>
      <c r="Y11" s="734">
        <f>X11/$X$11</f>
        <v>1</v>
      </c>
      <c r="Z11" s="745">
        <f>SUMPRODUCT(Z8:Z10,Y8:Y10)</f>
        <v>910.60975609756099</v>
      </c>
      <c r="AA11" s="736">
        <f>SUMPRODUCT(AA8:AA10,Y8:Y10)</f>
        <v>2157.6219512195125</v>
      </c>
      <c r="AB11" s="737">
        <f>SUMPRODUCT(AB8:AB10,Y8:Y10)</f>
        <v>2.378504933904301</v>
      </c>
    </row>
    <row r="12" spans="2:33" ht="18">
      <c r="B12" s="99" t="s">
        <v>22</v>
      </c>
      <c r="C12" s="759">
        <f>SUM(C8:C11)</f>
        <v>320</v>
      </c>
      <c r="D12" s="760">
        <f>C12/$C$12</f>
        <v>1</v>
      </c>
      <c r="E12" s="761">
        <f>SUMPRODUCT($C$8:$C$11,E8:E11)</f>
        <v>277690</v>
      </c>
      <c r="F12" s="761">
        <f>SUMPRODUCT($C$8:$C$11,F8:F11)/$C$12</f>
        <v>1752.1875</v>
      </c>
      <c r="G12" s="762">
        <f>SUMPRODUCT($C$8:$C$11,G8:G11)/$C$12</f>
        <v>2.0610095148219587</v>
      </c>
      <c r="H12" s="103">
        <f>SUM(H8:H11)</f>
        <v>560700</v>
      </c>
      <c r="I12" s="2"/>
      <c r="J12" s="775" t="s">
        <v>10</v>
      </c>
      <c r="L12" s="787">
        <f ca="1">-PMT(L9/12,L8,L7,0)*12+AmSch!N24</f>
        <v>3830311.0143639925</v>
      </c>
      <c r="M12" s="776"/>
      <c r="N12" s="3"/>
      <c r="O12" s="709" t="s">
        <v>717</v>
      </c>
      <c r="P12" s="712"/>
      <c r="Q12" s="713">
        <v>19</v>
      </c>
      <c r="R12" s="709">
        <v>2</v>
      </c>
      <c r="S12" s="714">
        <f>Q12*R12</f>
        <v>38</v>
      </c>
      <c r="W12" s="744"/>
      <c r="X12" s="744"/>
      <c r="Y12" s="744"/>
      <c r="Z12" s="744"/>
      <c r="AA12" s="744"/>
      <c r="AB12" s="744"/>
      <c r="AE12" s="21" t="s">
        <v>177</v>
      </c>
      <c r="AF12" s="22"/>
      <c r="AG12" s="23"/>
    </row>
    <row r="13" spans="2:33">
      <c r="B13" s="763" t="s">
        <v>368</v>
      </c>
      <c r="C13" s="764">
        <f>SUMPRODUCT(D8:D11,E8:E11)</f>
        <v>867.78125</v>
      </c>
      <c r="D13" s="765"/>
      <c r="E13" s="709"/>
      <c r="F13" s="766"/>
      <c r="G13" s="767"/>
      <c r="H13" s="768"/>
      <c r="I13" s="2"/>
      <c r="J13" s="789"/>
      <c r="K13" s="790"/>
      <c r="L13" s="709"/>
      <c r="M13" s="774"/>
      <c r="N13" s="3"/>
      <c r="O13" s="718" t="s">
        <v>132</v>
      </c>
      <c r="P13" s="718"/>
      <c r="Q13" s="719">
        <f>SUM(Q11:Q12)</f>
        <v>429</v>
      </c>
      <c r="R13" s="718"/>
      <c r="S13" s="718">
        <f>SUM(S11:S12)</f>
        <v>595</v>
      </c>
      <c r="W13" s="732" t="s">
        <v>717</v>
      </c>
      <c r="X13" s="746">
        <v>19</v>
      </c>
      <c r="Y13" s="732" t="s">
        <v>502</v>
      </c>
      <c r="Z13" s="747">
        <v>2300</v>
      </c>
      <c r="AA13" s="748">
        <v>5200</v>
      </c>
      <c r="AB13" s="737">
        <f>AA13/Z13</f>
        <v>2.2608695652173911</v>
      </c>
      <c r="AE13" s="25" t="s">
        <v>178</v>
      </c>
      <c r="AF13" s="25" t="s">
        <v>179</v>
      </c>
      <c r="AG13" s="25" t="s">
        <v>180</v>
      </c>
    </row>
    <row r="14" spans="2:33" ht="18">
      <c r="G14" s="8"/>
      <c r="H14" s="8"/>
      <c r="I14" s="828"/>
      <c r="N14" s="6"/>
      <c r="R14" s="1" t="s">
        <v>719</v>
      </c>
      <c r="S14" s="720">
        <f>0.05*S13</f>
        <v>29.75</v>
      </c>
      <c r="AE14" s="27" t="s">
        <v>182</v>
      </c>
      <c r="AF14" s="27" t="s">
        <v>183</v>
      </c>
      <c r="AG14" s="28" t="s">
        <v>181</v>
      </c>
    </row>
    <row r="15" spans="2:33" ht="18">
      <c r="B15" s="56" t="s">
        <v>743</v>
      </c>
      <c r="C15" s="49"/>
      <c r="D15" s="293"/>
      <c r="E15" s="49"/>
      <c r="F15" s="49"/>
      <c r="G15" s="829"/>
      <c r="H15" s="830"/>
      <c r="I15" s="828"/>
      <c r="J15" s="56" t="s">
        <v>11</v>
      </c>
      <c r="K15" s="49"/>
      <c r="L15" s="49"/>
      <c r="M15" s="49"/>
      <c r="N15" s="6"/>
      <c r="R15" s="1" t="s">
        <v>716</v>
      </c>
      <c r="S15" s="710">
        <f>SUM(S13:S14)</f>
        <v>624.75</v>
      </c>
      <c r="X15" s="1">
        <f>SUM(X8:X10)</f>
        <v>410</v>
      </c>
      <c r="AE15" s="27" t="s">
        <v>184</v>
      </c>
      <c r="AF15" s="27" t="s">
        <v>185</v>
      </c>
      <c r="AG15" s="30" t="s">
        <v>181</v>
      </c>
    </row>
    <row r="16" spans="2:33" ht="15">
      <c r="B16" s="852" t="str">
        <f>"This is based on a" &amp; " " &amp;'New CashFlow'!C83&amp;" Year Hold, though the intent is to hold long term"</f>
        <v>This is based on a  Year Hold, though the intent is to hold long term</v>
      </c>
      <c r="C16" s="19"/>
      <c r="D16" s="19"/>
      <c r="E16" s="19"/>
      <c r="F16" s="19"/>
      <c r="G16" s="826"/>
      <c r="H16" s="831"/>
      <c r="I16" s="828"/>
      <c r="J16" s="78"/>
      <c r="K16" s="113"/>
      <c r="L16" s="146"/>
      <c r="M16" s="114"/>
      <c r="N16" s="6"/>
      <c r="AE16" s="27" t="s">
        <v>187</v>
      </c>
      <c r="AF16" s="27" t="s">
        <v>188</v>
      </c>
      <c r="AG16" s="32" t="s">
        <v>189</v>
      </c>
    </row>
    <row r="17" spans="2:33" ht="15">
      <c r="B17" s="12"/>
      <c r="H17" s="771"/>
      <c r="I17" s="828"/>
      <c r="J17" s="58" t="s">
        <v>18</v>
      </c>
      <c r="K17" s="59"/>
      <c r="L17" s="60"/>
      <c r="M17" s="61">
        <f ca="1">SUM(L18,L20:L24)</f>
        <v>88101208.107205287</v>
      </c>
      <c r="O17"/>
      <c r="P17"/>
      <c r="Q17"/>
      <c r="R17"/>
      <c r="S17"/>
      <c r="T17"/>
      <c r="X17" s="1">
        <f>X8/X15</f>
        <v>0.54878048780487809</v>
      </c>
      <c r="AE17" s="27" t="s">
        <v>191</v>
      </c>
      <c r="AF17" s="27" t="s">
        <v>192</v>
      </c>
      <c r="AG17" s="35" t="s">
        <v>189</v>
      </c>
    </row>
    <row r="18" spans="2:33" ht="15" customHeight="1">
      <c r="B18" s="832" t="str">
        <f>"Total Pref Earned Over " &amp;'New CashFlow'!C83&amp; " Year Hold"</f>
        <v>Total Pref Earned Over  Year Hold</v>
      </c>
      <c r="C18" s="19"/>
      <c r="D18" s="19"/>
      <c r="E18" s="19"/>
      <c r="F18" s="19"/>
      <c r="G18" s="827">
        <f>+SUMIFS('New CashFlow'!C93:N93,'New CashFlow'!$C$64:$N$64,"&gt;=0",'New CashFlow'!$C$64:$N$64,"&lt;="&amp;'New CashFlow'!C83)</f>
        <v>0</v>
      </c>
      <c r="H18" s="831"/>
      <c r="I18" s="2"/>
      <c r="J18" s="75" t="s">
        <v>251</v>
      </c>
      <c r="K18" s="59"/>
      <c r="L18" s="60">
        <f ca="1">L7</f>
        <v>63463600</v>
      </c>
      <c r="M18" s="112">
        <f ca="1">L18/$M$17</f>
        <v>0.72034880523743561</v>
      </c>
      <c r="N18" s="6"/>
      <c r="O18"/>
      <c r="P18"/>
      <c r="Q18"/>
      <c r="R18"/>
      <c r="S18"/>
      <c r="T18"/>
      <c r="AE18" s="27" t="s">
        <v>194</v>
      </c>
      <c r="AF18" s="27" t="s">
        <v>195</v>
      </c>
      <c r="AG18" s="36" t="s">
        <v>194</v>
      </c>
    </row>
    <row r="19" spans="2:33" ht="15">
      <c r="B19" s="847" t="s">
        <v>734</v>
      </c>
      <c r="C19" s="19"/>
      <c r="D19" s="19"/>
      <c r="E19" s="19"/>
      <c r="F19" s="19"/>
      <c r="G19" s="850">
        <f>+SUMIFS('New CashFlow'!C93:N93,'New CashFlow'!$C$64:$N$64,"&gt;=0",'New CashFlow'!$C$64:$N$64,"&lt;"&amp;'New CashFlow'!C83)</f>
        <v>0</v>
      </c>
      <c r="H19" s="772"/>
      <c r="I19" s="2"/>
      <c r="J19" s="82" t="s">
        <v>371</v>
      </c>
      <c r="K19" s="221"/>
      <c r="L19" s="84">
        <f ca="1">M26-L18</f>
        <v>24637608.107205302</v>
      </c>
      <c r="M19" s="222">
        <f ca="1">L19/M17</f>
        <v>0.27965119476256461</v>
      </c>
      <c r="N19" s="6"/>
      <c r="O19"/>
      <c r="P19"/>
      <c r="Q19"/>
      <c r="R19"/>
      <c r="S19"/>
      <c r="T19"/>
      <c r="AE19" s="27" t="s">
        <v>197</v>
      </c>
      <c r="AF19" s="27" t="s">
        <v>198</v>
      </c>
      <c r="AG19" s="37" t="s">
        <v>199</v>
      </c>
    </row>
    <row r="20" spans="2:33" ht="15" customHeight="1">
      <c r="B20" s="832" t="s">
        <v>735</v>
      </c>
      <c r="C20" s="19"/>
      <c r="D20" s="19"/>
      <c r="E20" s="19"/>
      <c r="F20" s="19"/>
      <c r="G20" s="826">
        <f>G18-G19</f>
        <v>0</v>
      </c>
      <c r="H20" s="772"/>
      <c r="I20" s="2"/>
      <c r="J20" s="78" t="s">
        <v>369</v>
      </c>
      <c r="L20" s="146">
        <f ca="1">L19-L21-L22-L23-L24</f>
        <v>12440258.359999985</v>
      </c>
      <c r="M20" s="114"/>
      <c r="N20" s="6"/>
      <c r="O20"/>
      <c r="P20"/>
      <c r="Q20"/>
      <c r="R20"/>
      <c r="S20"/>
      <c r="T20"/>
      <c r="AE20"/>
      <c r="AF20"/>
      <c r="AG20"/>
    </row>
    <row r="21" spans="2:33" ht="15">
      <c r="B21" s="832"/>
      <c r="C21" s="19"/>
      <c r="D21" s="19"/>
      <c r="E21" s="19"/>
      <c r="F21" s="19"/>
      <c r="G21" s="19"/>
      <c r="H21" s="772"/>
      <c r="I21" s="2"/>
      <c r="J21" s="78" t="s">
        <v>174</v>
      </c>
      <c r="K21" s="113"/>
      <c r="L21" s="146">
        <f>L29</f>
        <v>1500000</v>
      </c>
      <c r="M21" s="114"/>
      <c r="N21" s="7"/>
      <c r="O21"/>
      <c r="P21"/>
      <c r="Q21"/>
      <c r="R21"/>
      <c r="S21"/>
      <c r="T21"/>
      <c r="AE21"/>
      <c r="AF21"/>
      <c r="AG21" s="39"/>
    </row>
    <row r="22" spans="2:33" ht="15">
      <c r="B22" s="832" t="s">
        <v>736</v>
      </c>
      <c r="C22" s="19"/>
      <c r="D22" s="19"/>
      <c r="E22" s="19"/>
      <c r="F22" s="19"/>
      <c r="G22" s="826">
        <f ca="1">G33</f>
        <v>15892396.802692221</v>
      </c>
      <c r="H22" s="772"/>
      <c r="I22" s="2"/>
      <c r="J22" s="78" t="s">
        <v>253</v>
      </c>
      <c r="K22" s="113"/>
      <c r="L22" s="146">
        <f ca="1">SUM(L53:L54)</f>
        <v>5411277.2607729938</v>
      </c>
      <c r="M22" s="114"/>
      <c r="N22" s="7"/>
      <c r="O22"/>
      <c r="P22"/>
      <c r="Q22"/>
      <c r="R22"/>
      <c r="S22"/>
      <c r="T22"/>
      <c r="AE22"/>
      <c r="AF22"/>
      <c r="AG22" s="41"/>
    </row>
    <row r="23" spans="2:33" ht="15">
      <c r="B23" s="847" t="s">
        <v>737</v>
      </c>
      <c r="C23" s="19"/>
      <c r="D23" s="19"/>
      <c r="E23" s="19"/>
      <c r="F23" s="19"/>
      <c r="G23" s="850">
        <f>+SUMIFS('New CashFlow'!C92:N92,'New CashFlow'!$C$64:$N$64,"&gt;=0",'New CashFlow'!$C$64:$N$64,"&lt;"&amp;'New CashFlow'!C83)-G19</f>
        <v>0</v>
      </c>
      <c r="H23" s="772"/>
      <c r="I23" s="2"/>
      <c r="J23" s="78" t="s">
        <v>746</v>
      </c>
      <c r="K23" s="113"/>
      <c r="L23" s="146">
        <f ca="1">L38</f>
        <v>881012.08107205306</v>
      </c>
      <c r="M23" s="114"/>
      <c r="N23" s="699"/>
      <c r="AE23"/>
      <c r="AF23"/>
      <c r="AG23" s="42"/>
    </row>
    <row r="24" spans="2:33" ht="15">
      <c r="B24" s="832" t="s">
        <v>738</v>
      </c>
      <c r="C24" s="19"/>
      <c r="D24" s="19"/>
      <c r="E24" s="19"/>
      <c r="F24" s="19"/>
      <c r="G24" s="826">
        <f ca="1">G22-G23</f>
        <v>15892396.802692221</v>
      </c>
      <c r="H24" s="772"/>
      <c r="I24" s="2"/>
      <c r="J24" s="78" t="s">
        <v>747</v>
      </c>
      <c r="K24" s="113"/>
      <c r="L24" s="146">
        <f ca="1">L39</f>
        <v>4405060.4053602656</v>
      </c>
      <c r="M24" s="114"/>
      <c r="N24" s="505"/>
      <c r="AE24"/>
      <c r="AF24"/>
      <c r="AG24" s="43"/>
    </row>
    <row r="25" spans="2:33" ht="15" customHeight="1">
      <c r="B25" s="832"/>
      <c r="C25" s="19"/>
      <c r="D25" s="19"/>
      <c r="E25" s="19"/>
      <c r="F25" s="19"/>
      <c r="G25" s="19"/>
      <c r="H25" s="772"/>
      <c r="I25" s="2"/>
      <c r="J25" s="78"/>
      <c r="K25" s="113"/>
      <c r="L25" s="146"/>
      <c r="M25" s="114"/>
      <c r="N25" s="7"/>
      <c r="O25" s="707"/>
      <c r="AE25"/>
      <c r="AF25"/>
      <c r="AG25" s="44"/>
    </row>
    <row r="26" spans="2:33" ht="15">
      <c r="B26" s="832" t="s">
        <v>739</v>
      </c>
      <c r="C26" s="19"/>
      <c r="D26" s="19"/>
      <c r="E26" s="19"/>
      <c r="F26" s="19"/>
      <c r="G26" s="826" cm="1">
        <f t="array" aca="1" ref="G26" ca="1">INDEX('New CashFlow'!C100:N100,,'New CashFlow'!C83+1)+G27</f>
        <v>20948979.514300298</v>
      </c>
      <c r="H26" s="772"/>
      <c r="I26" s="2"/>
      <c r="J26" s="58" t="s">
        <v>19</v>
      </c>
      <c r="K26" s="60" t="s">
        <v>20</v>
      </c>
      <c r="L26" s="60" t="s">
        <v>20</v>
      </c>
      <c r="M26" s="61">
        <f ca="1">SUM(L27:L54)</f>
        <v>88101208.107205302</v>
      </c>
      <c r="O26" s="708"/>
    </row>
    <row r="27" spans="2:33" ht="15">
      <c r="B27" s="847" t="s">
        <v>740</v>
      </c>
      <c r="C27" s="848"/>
      <c r="D27" s="848"/>
      <c r="E27" s="19"/>
      <c r="F27" s="19"/>
      <c r="G27" s="849">
        <f ca="1">G24+G20</f>
        <v>15892396.802692221</v>
      </c>
      <c r="H27" s="772"/>
      <c r="I27" s="2"/>
      <c r="J27" s="75" t="s">
        <v>21</v>
      </c>
      <c r="K27" s="59"/>
      <c r="L27" s="809">
        <f>'HUD - Snapshot'!L22</f>
        <v>6400000</v>
      </c>
      <c r="M27" s="62"/>
      <c r="N27" s="9"/>
    </row>
    <row r="28" spans="2:33" ht="15">
      <c r="B28" s="832" t="s">
        <v>741</v>
      </c>
      <c r="C28" s="19"/>
      <c r="D28" s="19"/>
      <c r="E28" s="19"/>
      <c r="F28" s="19"/>
      <c r="G28" s="825">
        <f ca="1">G26-G27</f>
        <v>5056582.7116080765</v>
      </c>
      <c r="H28" s="772"/>
      <c r="I28" s="2"/>
      <c r="J28" s="75" t="s">
        <v>23</v>
      </c>
      <c r="K28" s="59"/>
      <c r="L28" s="809">
        <f>'HUD - Snapshot'!L23</f>
        <v>54500000</v>
      </c>
      <c r="M28" s="63" t="str">
        <f>DOLLAR(L28/$E$12,0)&amp;" psf"</f>
        <v>$196 psf</v>
      </c>
      <c r="N28" s="504"/>
    </row>
    <row r="29" spans="2:33" ht="15">
      <c r="B29" s="832"/>
      <c r="C29" s="19"/>
      <c r="D29" s="19"/>
      <c r="E29" s="19"/>
      <c r="F29" s="19"/>
      <c r="G29" s="19"/>
      <c r="H29" s="772"/>
      <c r="I29" s="2"/>
      <c r="J29" s="82" t="s">
        <v>174</v>
      </c>
      <c r="K29" s="221"/>
      <c r="L29" s="810">
        <f>'HUD - Snapshot'!L24</f>
        <v>1500000</v>
      </c>
      <c r="M29" s="223"/>
      <c r="N29" s="9"/>
    </row>
    <row r="30" spans="2:33" ht="15">
      <c r="B30" s="832" t="s">
        <v>742</v>
      </c>
      <c r="C30" s="19"/>
      <c r="D30" s="19"/>
      <c r="E30" s="19"/>
      <c r="F30" s="19"/>
      <c r="G30" s="833">
        <f ca="1">F38</f>
        <v>2.1187876096389417</v>
      </c>
      <c r="H30" s="772"/>
      <c r="I30" s="2"/>
      <c r="J30" s="75" t="s">
        <v>26</v>
      </c>
      <c r="K30" s="59"/>
      <c r="L30" s="809">
        <f>'HUD - Snapshot'!L25</f>
        <v>1981447.56</v>
      </c>
      <c r="M30" s="64">
        <f>L30/L28</f>
        <v>3.6356835963302754E-2</v>
      </c>
    </row>
    <row r="31" spans="2:33" ht="15">
      <c r="B31" s="832" t="s">
        <v>525</v>
      </c>
      <c r="C31" s="19"/>
      <c r="D31" s="19"/>
      <c r="E31" s="19"/>
      <c r="F31" s="19"/>
      <c r="G31" s="834">
        <f ca="1">G38</f>
        <v>0.17085710749902572</v>
      </c>
      <c r="H31" s="772"/>
      <c r="I31" s="2"/>
      <c r="J31" s="75" t="s">
        <v>28</v>
      </c>
      <c r="K31" s="59"/>
      <c r="L31" s="809">
        <f>'HUD - Snapshot'!L26</f>
        <v>1290000</v>
      </c>
      <c r="M31" s="64">
        <f>L31/L28</f>
        <v>2.3669724770642202E-2</v>
      </c>
    </row>
    <row r="32" spans="2:33" ht="15">
      <c r="B32" s="770"/>
      <c r="C32" s="19"/>
      <c r="D32" s="19"/>
      <c r="E32" s="19"/>
      <c r="F32" s="19"/>
      <c r="G32" s="19"/>
      <c r="H32" s="772"/>
      <c r="I32" s="2"/>
      <c r="J32" s="75" t="s">
        <v>30</v>
      </c>
      <c r="K32" s="59"/>
      <c r="L32" s="809">
        <f>'HUD - Snapshot'!L27</f>
        <v>354250.00000000006</v>
      </c>
      <c r="M32" s="64">
        <f>L32/L28</f>
        <v>6.5000000000000014E-3</v>
      </c>
    </row>
    <row r="33" spans="2:15">
      <c r="B33" s="782" t="s">
        <v>588</v>
      </c>
      <c r="C33" s="769"/>
      <c r="D33" s="769"/>
      <c r="E33" s="769"/>
      <c r="F33" s="835">
        <v>0.75</v>
      </c>
      <c r="G33" s="779">
        <f ca="1">G35*F33</f>
        <v>15892396.802692221</v>
      </c>
      <c r="H33" s="771"/>
      <c r="I33" s="2"/>
      <c r="J33" s="698" t="s">
        <v>706</v>
      </c>
      <c r="K33" s="84" t="s">
        <v>20</v>
      </c>
      <c r="L33" s="810">
        <f>'HUD - Snapshot'!L28</f>
        <v>0</v>
      </c>
      <c r="M33" s="223" t="s">
        <v>20</v>
      </c>
    </row>
    <row r="34" spans="2:15">
      <c r="B34" s="782" t="s">
        <v>587</v>
      </c>
      <c r="C34" s="769"/>
      <c r="D34" s="769"/>
      <c r="E34" s="769"/>
      <c r="F34" s="845">
        <f>1-F33</f>
        <v>0.25</v>
      </c>
      <c r="G34" s="779">
        <f ca="1">G35*F34</f>
        <v>5297465.6008974072</v>
      </c>
      <c r="H34" s="771"/>
      <c r="I34" s="2"/>
      <c r="J34" s="268" t="str">
        <f>'HUD - Snapshot'!J29</f>
        <v>Fill Import + Rock Trenching + Wetland Mit</v>
      </c>
      <c r="K34" s="59"/>
      <c r="L34" s="809">
        <f>'HUD - Snapshot'!L29</f>
        <v>4300000</v>
      </c>
      <c r="M34" s="62"/>
    </row>
    <row r="35" spans="2:15">
      <c r="B35" s="783" t="s">
        <v>559</v>
      </c>
      <c r="C35" s="780"/>
      <c r="D35" s="769"/>
      <c r="E35" s="769"/>
      <c r="F35" s="836">
        <f>SUM(F33:F34)</f>
        <v>1</v>
      </c>
      <c r="G35" s="781">
        <f ca="1">G46</f>
        <v>21189862.403589629</v>
      </c>
      <c r="H35" s="771"/>
      <c r="I35" s="2"/>
      <c r="J35" s="268" t="str">
        <f>'HUD - Snapshot'!J30</f>
        <v>Wetland Mitigation</v>
      </c>
      <c r="K35" s="59"/>
      <c r="L35" s="809">
        <f>'HUD - Snapshot'!L30</f>
        <v>700000</v>
      </c>
      <c r="M35" s="62"/>
    </row>
    <row r="36" spans="2:15">
      <c r="B36" s="783"/>
      <c r="C36" s="780"/>
      <c r="D36" s="769"/>
      <c r="E36" s="769"/>
      <c r="F36" s="769"/>
      <c r="G36" s="781"/>
      <c r="H36" s="784"/>
      <c r="I36" s="2"/>
      <c r="J36" s="268" t="s">
        <v>34</v>
      </c>
      <c r="K36" s="59"/>
      <c r="L36" s="809">
        <f>'HUD - Snapshot'!L31</f>
        <v>17500</v>
      </c>
      <c r="M36" s="62"/>
    </row>
    <row r="37" spans="2:15">
      <c r="B37" s="12"/>
      <c r="C37" s="769"/>
      <c r="D37" s="769"/>
      <c r="E37" s="769"/>
      <c r="F37" s="804" t="s">
        <v>733</v>
      </c>
      <c r="G37" s="804" t="s">
        <v>525</v>
      </c>
      <c r="H37" s="771"/>
      <c r="I37" s="2"/>
      <c r="J37" s="268" t="s">
        <v>610</v>
      </c>
      <c r="K37" s="59"/>
      <c r="L37" s="809">
        <f>'HUD - Snapshot'!L32</f>
        <v>50000</v>
      </c>
      <c r="M37" s="62"/>
    </row>
    <row r="38" spans="2:15">
      <c r="B38" s="782" t="s">
        <v>727</v>
      </c>
      <c r="C38" s="769"/>
      <c r="D38" s="769"/>
      <c r="E38" s="769"/>
      <c r="F38" s="837">
        <f ca="1">'New CashFlow'!C121</f>
        <v>2.1187876096389417</v>
      </c>
      <c r="G38" s="799">
        <f ca="1">'New CashFlow'!C120</f>
        <v>0.17085710749902572</v>
      </c>
      <c r="H38" s="771"/>
      <c r="I38" s="2"/>
      <c r="J38" s="268" t="s">
        <v>746</v>
      </c>
      <c r="K38" s="59"/>
      <c r="L38" s="809">
        <f ca="1">M38*M26</f>
        <v>881012.08107205306</v>
      </c>
      <c r="M38" s="843">
        <v>0.01</v>
      </c>
    </row>
    <row r="39" spans="2:15">
      <c r="B39" s="777"/>
      <c r="C39" s="709"/>
      <c r="D39" s="709"/>
      <c r="E39" s="709"/>
      <c r="F39" s="838"/>
      <c r="G39" s="800"/>
      <c r="H39" s="774"/>
      <c r="I39" s="2"/>
      <c r="J39" s="268" t="s">
        <v>747</v>
      </c>
      <c r="K39" s="59"/>
      <c r="L39" s="809">
        <f ca="1">M39*M26</f>
        <v>4405060.4053602656</v>
      </c>
      <c r="M39" s="843">
        <v>0.05</v>
      </c>
    </row>
    <row r="40" spans="2:15" ht="15">
      <c r="B40"/>
      <c r="C40"/>
      <c r="D40"/>
      <c r="E40"/>
      <c r="F40"/>
      <c r="G40"/>
      <c r="H40"/>
      <c r="I40" s="2"/>
      <c r="J40" s="268" t="s">
        <v>38</v>
      </c>
      <c r="K40" s="59"/>
      <c r="L40" s="809">
        <f>'HUD - Snapshot'!L33</f>
        <v>8000</v>
      </c>
      <c r="M40" s="62"/>
    </row>
    <row r="41" spans="2:15" ht="18">
      <c r="B41" s="56" t="s">
        <v>492</v>
      </c>
      <c r="C41" s="49"/>
      <c r="D41" s="49"/>
      <c r="E41" s="49"/>
      <c r="F41" s="49"/>
      <c r="G41" s="49"/>
      <c r="H41" s="57"/>
      <c r="I41" s="2"/>
      <c r="J41" s="75" t="s">
        <v>39</v>
      </c>
      <c r="K41" s="59"/>
      <c r="L41" s="809">
        <f ca="1">'HUD - Snapshot'!L34</f>
        <v>3173180</v>
      </c>
      <c r="M41" s="65" t="s">
        <v>120</v>
      </c>
      <c r="N41" s="8"/>
    </row>
    <row r="42" spans="2:15">
      <c r="B42" s="12"/>
      <c r="H42" s="219"/>
      <c r="I42" s="2"/>
      <c r="J42" s="75" t="s">
        <v>40</v>
      </c>
      <c r="K42" s="79">
        <f>'[3]92013 Pg 3'!F63</f>
        <v>5.0000000000000001E-3</v>
      </c>
      <c r="L42" s="809">
        <f ca="1">'HUD - Snapshot'!L35</f>
        <v>317318</v>
      </c>
      <c r="M42" s="62"/>
    </row>
    <row r="43" spans="2:15" ht="15">
      <c r="B43" s="823" t="s">
        <v>33</v>
      </c>
      <c r="C43" s="769"/>
      <c r="D43" s="769"/>
      <c r="E43" s="769"/>
      <c r="F43" s="19"/>
      <c r="G43" s="288">
        <f>'New CashFlow'!E31</f>
        <v>5049272.704016</v>
      </c>
      <c r="H43" s="217"/>
      <c r="I43" s="2"/>
      <c r="J43" s="75" t="s">
        <v>41</v>
      </c>
      <c r="K43" s="79">
        <v>3.0000000000000001E-3</v>
      </c>
      <c r="L43" s="809">
        <f ca="1">'HUD - Snapshot'!L36</f>
        <v>190390.80000000002</v>
      </c>
      <c r="M43" s="62"/>
      <c r="N43" s="6"/>
    </row>
    <row r="44" spans="2:15" ht="15">
      <c r="B44" s="823" t="s">
        <v>376</v>
      </c>
      <c r="C44" s="220"/>
      <c r="D44" s="769"/>
      <c r="E44" s="769"/>
      <c r="F44" s="19"/>
      <c r="G44" s="287">
        <f ca="1">L12</f>
        <v>3830311.0143639925</v>
      </c>
      <c r="H44" s="217"/>
      <c r="I44" s="2"/>
      <c r="J44" s="75" t="s">
        <v>43</v>
      </c>
      <c r="K44" s="79">
        <v>5.0000000000000001E-3</v>
      </c>
      <c r="L44" s="809">
        <f ca="1">'HUD - Snapshot'!L37</f>
        <v>317318</v>
      </c>
      <c r="M44" s="62"/>
    </row>
    <row r="45" spans="2:15" ht="15">
      <c r="B45" s="823" t="s">
        <v>374</v>
      </c>
      <c r="C45" s="220"/>
      <c r="D45" s="769"/>
      <c r="E45" s="769"/>
      <c r="F45" s="19"/>
      <c r="G45" s="288">
        <f ca="1">G43-G44</f>
        <v>1218961.6896520075</v>
      </c>
      <c r="H45" s="217"/>
      <c r="I45" s="2"/>
      <c r="J45" s="75" t="s">
        <v>45</v>
      </c>
      <c r="K45" s="80">
        <v>0.01</v>
      </c>
      <c r="L45" s="809">
        <f ca="1">'HUD - Snapshot'!L38</f>
        <v>634636</v>
      </c>
      <c r="M45" s="62"/>
    </row>
    <row r="46" spans="2:15" ht="15">
      <c r="B46" s="824" t="s">
        <v>751</v>
      </c>
      <c r="C46" s="509"/>
      <c r="D46" s="769"/>
      <c r="E46" s="769"/>
      <c r="F46" s="19"/>
      <c r="G46" s="510">
        <f ca="1">SUM(L20:L21)+1000000-IF('New CashFlow'!D41&lt;0,'New CashFlow'!D41,0)+SUM(L23:L24)</f>
        <v>21189862.403589629</v>
      </c>
      <c r="H46" s="217"/>
      <c r="I46" s="2"/>
      <c r="J46" s="75" t="s">
        <v>47</v>
      </c>
      <c r="K46" s="81">
        <f ca="1">L46/L18</f>
        <v>5.5149723621099344E-4</v>
      </c>
      <c r="L46" s="809">
        <f>'HUD - Snapshot'!L39</f>
        <v>35000</v>
      </c>
      <c r="M46" s="65"/>
      <c r="O46" s="7"/>
    </row>
    <row r="47" spans="2:15" ht="15">
      <c r="B47" s="823" t="s">
        <v>375</v>
      </c>
      <c r="C47" s="220"/>
      <c r="D47" s="769"/>
      <c r="E47" s="769"/>
      <c r="F47" s="19"/>
      <c r="G47" s="543">
        <f ca="1">G45/G46</f>
        <v>5.7525701037374914E-2</v>
      </c>
      <c r="H47" s="217"/>
      <c r="I47" s="2"/>
      <c r="J47" s="75" t="s">
        <v>49</v>
      </c>
      <c r="K47" s="81"/>
      <c r="L47" s="809">
        <f>'HUD - Snapshot'!L40</f>
        <v>0</v>
      </c>
      <c r="M47" s="66"/>
      <c r="N47" s="6"/>
      <c r="O47" s="505"/>
    </row>
    <row r="48" spans="2:15" ht="15" customHeight="1">
      <c r="B48" s="290"/>
      <c r="C48" s="220"/>
      <c r="D48" s="769"/>
      <c r="E48" s="769"/>
      <c r="F48" s="19"/>
      <c r="G48" s="543"/>
      <c r="H48" s="217"/>
      <c r="I48" s="2"/>
      <c r="J48" s="75" t="s">
        <v>50</v>
      </c>
      <c r="K48" s="79">
        <v>5.0000000000000001E-3</v>
      </c>
      <c r="L48" s="809">
        <f ca="1">'HUD - Snapshot'!L41</f>
        <v>317318</v>
      </c>
      <c r="M48" s="65" t="s">
        <v>48</v>
      </c>
    </row>
    <row r="49" spans="2:14" ht="15" customHeight="1">
      <c r="B49" s="846"/>
      <c r="C49" s="821"/>
      <c r="D49" s="709"/>
      <c r="E49" s="709"/>
      <c r="F49" s="657"/>
      <c r="G49" s="822"/>
      <c r="H49" s="778"/>
      <c r="I49" s="2"/>
      <c r="J49" s="75" t="s">
        <v>51</v>
      </c>
      <c r="K49" s="59"/>
      <c r="L49" s="809">
        <f>'HUD - Snapshot'!L42</f>
        <v>50000</v>
      </c>
      <c r="M49" s="62"/>
    </row>
    <row r="50" spans="2:14" ht="15" customHeight="1">
      <c r="B50" s="791" t="str">
        <f ca="1">CONCATENATE("- Equity In assumes using $1M contingency for construction + lease up deficit of " &amp; TEXT(ROUND(-'New CashFlow'!D41,-4),"$0.00,,")&amp; "M")</f>
        <v>- Equity In assumes using $1M contingency for construction + lease up deficit of $0.96M</v>
      </c>
      <c r="C50" s="819"/>
      <c r="D50" s="819"/>
      <c r="E50" s="820"/>
      <c r="F50" s="19"/>
      <c r="G50" s="19"/>
      <c r="H50" s="772"/>
      <c r="I50" s="2"/>
      <c r="J50" s="75" t="s">
        <v>53</v>
      </c>
      <c r="K50" s="80"/>
      <c r="L50" s="809">
        <f>'HUD - Snapshot'!L43</f>
        <v>17500</v>
      </c>
      <c r="M50" s="62"/>
    </row>
    <row r="51" spans="2:14" ht="16.5" customHeight="1">
      <c r="B51" s="890" t="s">
        <v>547</v>
      </c>
      <c r="C51" s="891"/>
      <c r="D51" s="891"/>
      <c r="E51" s="891"/>
      <c r="F51" s="891"/>
      <c r="G51" s="891"/>
      <c r="H51" s="892"/>
      <c r="I51" s="769"/>
      <c r="J51" s="75" t="s">
        <v>55</v>
      </c>
      <c r="K51" s="59"/>
      <c r="L51" s="809">
        <f>'HUD - Snapshot'!L44</f>
        <v>1100000</v>
      </c>
      <c r="M51" s="65"/>
    </row>
    <row r="52" spans="2:14" ht="15" customHeight="1">
      <c r="B52" s="890"/>
      <c r="C52" s="891"/>
      <c r="D52" s="891"/>
      <c r="E52" s="891"/>
      <c r="F52" s="891"/>
      <c r="G52" s="891"/>
      <c r="H52" s="892"/>
      <c r="J52" s="75" t="s">
        <v>56</v>
      </c>
      <c r="K52" s="59"/>
      <c r="L52" s="809">
        <f>'HUD - Snapshot'!L45</f>
        <v>150000</v>
      </c>
      <c r="M52" s="65"/>
    </row>
    <row r="53" spans="2:14" ht="14" customHeight="1">
      <c r="B53" s="890"/>
      <c r="C53" s="891"/>
      <c r="D53" s="891"/>
      <c r="E53" s="891"/>
      <c r="F53" s="891"/>
      <c r="G53" s="891"/>
      <c r="H53" s="892"/>
      <c r="I53" s="2"/>
      <c r="J53" s="82" t="s">
        <v>58</v>
      </c>
      <c r="K53" s="83">
        <v>0.04</v>
      </c>
      <c r="L53" s="84">
        <f ca="1">K53*L18</f>
        <v>2538544</v>
      </c>
      <c r="M53" s="67"/>
    </row>
    <row r="54" spans="2:14">
      <c r="B54" s="893"/>
      <c r="C54" s="894"/>
      <c r="D54" s="894"/>
      <c r="E54" s="894"/>
      <c r="F54" s="894"/>
      <c r="G54" s="894"/>
      <c r="H54" s="895"/>
      <c r="I54" s="2"/>
      <c r="J54" s="85" t="s">
        <v>60</v>
      </c>
      <c r="K54" s="86"/>
      <c r="L54" s="87">
        <f ca="1">L12/12*9</f>
        <v>2872733.2607729943</v>
      </c>
      <c r="M54" s="68" t="s">
        <v>119</v>
      </c>
    </row>
    <row r="55" spans="2:14" ht="15">
      <c r="B55"/>
      <c r="C55"/>
      <c r="D55"/>
      <c r="E55"/>
      <c r="F55"/>
      <c r="G55"/>
      <c r="H55"/>
      <c r="I55" s="2"/>
      <c r="J55" s="2"/>
      <c r="K55" s="2"/>
      <c r="L55" s="2"/>
      <c r="M55" s="2"/>
      <c r="N55"/>
    </row>
    <row r="56" spans="2:14" ht="15">
      <c r="B56"/>
      <c r="C56"/>
      <c r="D56"/>
      <c r="E56"/>
      <c r="F56"/>
      <c r="G56"/>
      <c r="H56"/>
      <c r="I56" s="2"/>
      <c r="N56"/>
    </row>
    <row r="57" spans="2:14" ht="14" customHeight="1">
      <c r="B57"/>
      <c r="C57"/>
      <c r="D57"/>
      <c r="E57"/>
      <c r="F57"/>
      <c r="G57"/>
      <c r="H57"/>
      <c r="N57"/>
    </row>
    <row r="58" spans="2:14" ht="15" customHeight="1">
      <c r="B58"/>
      <c r="C58"/>
      <c r="D58"/>
      <c r="E58"/>
      <c r="F58"/>
      <c r="G58"/>
      <c r="H58"/>
      <c r="I58" s="2"/>
      <c r="N58"/>
    </row>
    <row r="59" spans="2:14" ht="15" customHeight="1">
      <c r="B59"/>
      <c r="C59"/>
      <c r="D59"/>
      <c r="E59"/>
      <c r="F59"/>
      <c r="G59"/>
      <c r="H59"/>
      <c r="I59" s="2"/>
      <c r="N59"/>
    </row>
    <row r="60" spans="2:14" ht="15">
      <c r="B60"/>
      <c r="C60"/>
      <c r="D60"/>
      <c r="E60"/>
      <c r="F60"/>
      <c r="G60"/>
      <c r="H60"/>
      <c r="N60"/>
    </row>
    <row r="61" spans="2:14" ht="15">
      <c r="B61"/>
      <c r="C61"/>
      <c r="D61"/>
      <c r="E61"/>
      <c r="F61"/>
      <c r="G61"/>
      <c r="H61"/>
    </row>
    <row r="62" spans="2:14" ht="15">
      <c r="B62"/>
      <c r="C62"/>
      <c r="D62"/>
      <c r="E62"/>
      <c r="F62"/>
      <c r="G62"/>
      <c r="H62"/>
    </row>
    <row r="63" spans="2:14" ht="15">
      <c r="B63"/>
      <c r="C63"/>
      <c r="D63"/>
      <c r="E63"/>
      <c r="F63"/>
      <c r="G63"/>
      <c r="H63"/>
    </row>
    <row r="64" spans="2:14" ht="15">
      <c r="B64" s="16"/>
      <c r="C64" s="274"/>
      <c r="D64" s="151"/>
    </row>
    <row r="65" spans="2:13" ht="15">
      <c r="B65"/>
      <c r="C65"/>
      <c r="D65"/>
      <c r="E65"/>
      <c r="F65"/>
      <c r="G65"/>
      <c r="H65"/>
    </row>
    <row r="67" spans="2:13">
      <c r="J67" s="505"/>
    </row>
    <row r="68" spans="2:13" ht="15">
      <c r="J68"/>
      <c r="K68"/>
      <c r="L68"/>
      <c r="M68"/>
    </row>
    <row r="69" spans="2:13" ht="15">
      <c r="J69"/>
      <c r="K69"/>
      <c r="L69"/>
      <c r="M69"/>
    </row>
    <row r="70" spans="2:13" ht="15">
      <c r="J70"/>
      <c r="K70"/>
      <c r="L70"/>
      <c r="M70"/>
    </row>
    <row r="71" spans="2:13" ht="15">
      <c r="J71"/>
      <c r="K71"/>
      <c r="L71"/>
      <c r="M71"/>
    </row>
    <row r="72" spans="2:13" ht="15">
      <c r="J72"/>
      <c r="K72"/>
      <c r="L72"/>
      <c r="M72"/>
    </row>
    <row r="73" spans="2:13" ht="15">
      <c r="J73"/>
      <c r="K73"/>
      <c r="L73"/>
      <c r="M73"/>
    </row>
    <row r="74" spans="2:13" ht="15">
      <c r="J74"/>
      <c r="K74"/>
      <c r="L74"/>
      <c r="M74"/>
    </row>
    <row r="75" spans="2:13" ht="15">
      <c r="J75"/>
      <c r="K75"/>
      <c r="L75"/>
      <c r="M75"/>
    </row>
    <row r="76" spans="2:13" ht="15">
      <c r="J76"/>
      <c r="K76"/>
      <c r="L76"/>
      <c r="M76"/>
    </row>
  </sheetData>
  <mergeCells count="1">
    <mergeCell ref="B51:H54"/>
  </mergeCells>
  <printOptions horizontalCentered="1"/>
  <pageMargins left="0.2" right="0.2" top="0.25" bottom="0.25" header="0.05" footer="0.05"/>
  <pageSetup paperSize="5" scale="83" orientation="portrait" horizontalDpi="1200" verticalDpi="1200" r:id="rId1"/>
  <ignoredErrors>
    <ignoredError sqref="C8:C10 E8:F10"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00905-E2E8-0F4A-B4E4-AA16C108DC3B}">
  <sheetPr>
    <pageSetUpPr fitToPage="1"/>
  </sheetPr>
  <dimension ref="A2:XFD130"/>
  <sheetViews>
    <sheetView showGridLines="0" tabSelected="1" topLeftCell="A76" zoomScaleNormal="100" workbookViewId="0">
      <selection activeCell="H111" sqref="H111"/>
    </sheetView>
  </sheetViews>
  <sheetFormatPr baseColWidth="10" defaultColWidth="9.1640625" defaultRowHeight="13" outlineLevelRow="2"/>
  <cols>
    <col min="1" max="1" width="5.83203125" style="150" customWidth="1"/>
    <col min="2" max="2" width="36.1640625" style="150" customWidth="1"/>
    <col min="3" max="3" width="12.5" style="150" customWidth="1"/>
    <col min="4" max="4" width="14.33203125" style="151" customWidth="1"/>
    <col min="5" max="5" width="15.6640625" style="151" customWidth="1"/>
    <col min="6" max="6" width="12.5" style="151" customWidth="1"/>
    <col min="7" max="7" width="12.33203125" style="151" customWidth="1"/>
    <col min="8" max="8" width="12.5" style="151" customWidth="1"/>
    <col min="9" max="9" width="12.6640625" style="151" customWidth="1"/>
    <col min="10" max="10" width="12.33203125" style="151" customWidth="1"/>
    <col min="11" max="11" width="12.5" style="151" customWidth="1"/>
    <col min="12" max="12" width="13.5" style="151" customWidth="1"/>
    <col min="13" max="14" width="12.6640625" style="151" customWidth="1"/>
    <col min="15" max="15" width="11.6640625" style="151" customWidth="1"/>
    <col min="16" max="16" width="12.1640625" style="150" customWidth="1"/>
    <col min="17" max="17" width="26" style="150" customWidth="1"/>
    <col min="18" max="18" width="14" style="150" customWidth="1"/>
    <col min="19" max="19" width="12.6640625" style="150" customWidth="1"/>
    <col min="20" max="20" width="13.1640625" style="150" customWidth="1"/>
    <col min="21" max="21" width="9.33203125" style="150" bestFit="1" customWidth="1"/>
    <col min="22" max="22" width="11.1640625" style="150" customWidth="1"/>
    <col min="23" max="23" width="10.1640625" style="150" bestFit="1" customWidth="1"/>
    <col min="24" max="24" width="9.1640625" style="150"/>
    <col min="25" max="25" width="11.1640625" style="150" customWidth="1"/>
    <col min="26" max="26" width="17.1640625" style="150" customWidth="1"/>
    <col min="27" max="27" width="18.6640625" style="150" customWidth="1"/>
    <col min="28" max="16384" width="9.1640625" style="150"/>
  </cols>
  <sheetData>
    <row r="2" spans="1:35" ht="14" thickBot="1">
      <c r="B2" s="235" t="str">
        <f>R5</f>
        <v>8011 KREFELD DR</v>
      </c>
      <c r="C2" s="235"/>
      <c r="D2" s="150"/>
      <c r="E2" s="59"/>
      <c r="F2" s="59"/>
      <c r="G2" s="59"/>
      <c r="H2" s="59"/>
      <c r="I2" s="59"/>
      <c r="J2" s="59"/>
      <c r="K2" s="59"/>
      <c r="L2" s="59"/>
      <c r="M2" s="59"/>
      <c r="N2" s="20" t="s">
        <v>176</v>
      </c>
    </row>
    <row r="3" spans="1:35" ht="17" customHeight="1" thickBot="1">
      <c r="B3" s="170"/>
      <c r="C3" s="170"/>
      <c r="D3" s="171"/>
      <c r="E3" s="172"/>
      <c r="F3" s="172"/>
      <c r="G3" s="172"/>
      <c r="H3" s="173"/>
      <c r="I3" s="173"/>
      <c r="J3" s="173"/>
      <c r="K3" s="173"/>
      <c r="L3" s="173"/>
      <c r="M3" s="173"/>
      <c r="N3" s="24">
        <f ca="1">TODAY()</f>
        <v>44838</v>
      </c>
      <c r="Q3" s="433" t="s">
        <v>173</v>
      </c>
      <c r="R3" s="434"/>
      <c r="S3" s="434"/>
      <c r="T3" s="434"/>
      <c r="U3" s="435"/>
      <c r="Y3" s="410" t="s">
        <v>479</v>
      </c>
      <c r="Z3" s="409"/>
      <c r="AA3" s="409"/>
      <c r="AB3" s="409"/>
      <c r="AC3" s="409"/>
      <c r="AD3" s="409"/>
      <c r="AE3" s="409"/>
      <c r="AF3" s="409"/>
      <c r="AG3" s="409"/>
      <c r="AH3" s="409"/>
      <c r="AI3" s="409"/>
    </row>
    <row r="4" spans="1:35" ht="18">
      <c r="B4" s="26" t="s">
        <v>382</v>
      </c>
      <c r="C4" s="26"/>
      <c r="D4" s="174"/>
      <c r="E4" s="175"/>
      <c r="Y4" s="409"/>
      <c r="Z4" s="409"/>
      <c r="AA4" s="409"/>
      <c r="AB4" s="409"/>
      <c r="AC4" s="409"/>
      <c r="AD4" s="409"/>
      <c r="AE4" s="409"/>
      <c r="AF4" s="409"/>
      <c r="AG4" s="409"/>
      <c r="AH4" s="409"/>
      <c r="AI4" s="409"/>
    </row>
    <row r="5" spans="1:35" ht="14">
      <c r="B5" s="174"/>
      <c r="C5" s="174"/>
      <c r="D5" s="174"/>
      <c r="E5" s="175"/>
      <c r="Q5" s="173" t="s">
        <v>372</v>
      </c>
      <c r="R5" s="424" t="str">
        <f>'HUD - CashFlow'!R5</f>
        <v>8011 KREFELD DR</v>
      </c>
      <c r="S5" s="424"/>
      <c r="Y5" s="440" t="s">
        <v>480</v>
      </c>
      <c r="Z5" s="440"/>
      <c r="AA5" s="440"/>
      <c r="AB5" s="411"/>
      <c r="AC5" s="412" t="s">
        <v>481</v>
      </c>
      <c r="AD5" s="412"/>
      <c r="AE5" s="412"/>
      <c r="AF5" s="412"/>
      <c r="AG5" s="412"/>
      <c r="AH5" s="412"/>
      <c r="AI5" s="412"/>
    </row>
    <row r="6" spans="1:35" ht="14">
      <c r="B6" s="176"/>
      <c r="C6" s="176"/>
      <c r="O6" s="150"/>
      <c r="Q6" s="173" t="s">
        <v>114</v>
      </c>
      <c r="R6" s="855" t="str">
        <f>'HUD - CashFlow'!R6</f>
        <v>CHARLOTTE NC</v>
      </c>
      <c r="S6" s="426"/>
      <c r="T6" s="177"/>
      <c r="Y6" s="150" t="s">
        <v>482</v>
      </c>
      <c r="AA6" s="441">
        <f>R9</f>
        <v>44682</v>
      </c>
      <c r="AB6" s="409"/>
      <c r="AC6" s="413" t="s">
        <v>483</v>
      </c>
      <c r="AD6" s="413"/>
      <c r="AE6" s="413"/>
      <c r="AF6" s="413"/>
      <c r="AG6" s="413"/>
      <c r="AH6" s="413"/>
      <c r="AI6" s="413"/>
    </row>
    <row r="7" spans="1:35" ht="14">
      <c r="B7" s="178" t="s">
        <v>99</v>
      </c>
      <c r="C7" s="179">
        <v>0</v>
      </c>
      <c r="D7" s="179">
        <v>1</v>
      </c>
      <c r="E7" s="179">
        <f>D7+1</f>
        <v>2</v>
      </c>
      <c r="F7" s="179">
        <f t="shared" ref="F7:N7" si="0">E7+1</f>
        <v>3</v>
      </c>
      <c r="G7" s="179">
        <f t="shared" si="0"/>
        <v>4</v>
      </c>
      <c r="H7" s="179">
        <f t="shared" si="0"/>
        <v>5</v>
      </c>
      <c r="I7" s="179">
        <f t="shared" si="0"/>
        <v>6</v>
      </c>
      <c r="J7" s="179">
        <f t="shared" si="0"/>
        <v>7</v>
      </c>
      <c r="K7" s="179">
        <f t="shared" si="0"/>
        <v>8</v>
      </c>
      <c r="L7" s="179">
        <f t="shared" si="0"/>
        <v>9</v>
      </c>
      <c r="M7" s="179">
        <f t="shared" si="0"/>
        <v>10</v>
      </c>
      <c r="N7" s="179">
        <f t="shared" si="0"/>
        <v>11</v>
      </c>
      <c r="O7" s="150"/>
      <c r="Q7" s="173" t="s">
        <v>115</v>
      </c>
      <c r="R7" s="855" t="str">
        <f>'HUD - CashFlow'!R7</f>
        <v>320-UNIT MARKET RATE 221(d)4</v>
      </c>
      <c r="S7" s="426"/>
      <c r="T7" s="177"/>
      <c r="Y7" s="150" t="s">
        <v>484</v>
      </c>
      <c r="AA7" s="441">
        <f>R10</f>
        <v>45413</v>
      </c>
      <c r="AB7" s="409"/>
      <c r="AC7" s="413" t="s">
        <v>485</v>
      </c>
      <c r="AD7" s="413"/>
      <c r="AE7" s="413"/>
      <c r="AF7" s="413"/>
      <c r="AG7" s="413"/>
      <c r="AH7" s="413"/>
      <c r="AI7" s="413"/>
    </row>
    <row r="8" spans="1:35" ht="14">
      <c r="A8" s="177"/>
      <c r="B8" s="178" t="s">
        <v>100</v>
      </c>
      <c r="C8" s="497">
        <f>D8-365</f>
        <v>45048</v>
      </c>
      <c r="D8" s="497">
        <f>R10</f>
        <v>45413</v>
      </c>
      <c r="E8" s="497">
        <f>D8+365</f>
        <v>45778</v>
      </c>
      <c r="F8" s="497">
        <f t="shared" ref="F8:N8" si="1">E8+365</f>
        <v>46143</v>
      </c>
      <c r="G8" s="497">
        <f t="shared" si="1"/>
        <v>46508</v>
      </c>
      <c r="H8" s="497">
        <f t="shared" si="1"/>
        <v>46873</v>
      </c>
      <c r="I8" s="497">
        <f t="shared" si="1"/>
        <v>47238</v>
      </c>
      <c r="J8" s="497">
        <f t="shared" si="1"/>
        <v>47603</v>
      </c>
      <c r="K8" s="497">
        <f t="shared" si="1"/>
        <v>47968</v>
      </c>
      <c r="L8" s="497">
        <f t="shared" si="1"/>
        <v>48333</v>
      </c>
      <c r="M8" s="497">
        <f t="shared" si="1"/>
        <v>48698</v>
      </c>
      <c r="N8" s="497">
        <f t="shared" si="1"/>
        <v>49063</v>
      </c>
      <c r="O8" s="150"/>
      <c r="AA8" s="441"/>
      <c r="AB8" s="409"/>
      <c r="AC8" s="413" t="s">
        <v>486</v>
      </c>
      <c r="AD8" s="413"/>
      <c r="AE8" s="413"/>
      <c r="AF8" s="413"/>
      <c r="AG8" s="413"/>
      <c r="AH8" s="413"/>
      <c r="AI8" s="413"/>
    </row>
    <row r="9" spans="1:35" ht="14">
      <c r="A9" s="177"/>
      <c r="B9" s="174"/>
      <c r="C9" s="174"/>
      <c r="D9" s="551" t="s">
        <v>477</v>
      </c>
      <c r="E9" s="551" t="s">
        <v>476</v>
      </c>
      <c r="F9" s="224"/>
      <c r="G9" s="224"/>
      <c r="H9" s="224"/>
      <c r="I9" s="224"/>
      <c r="J9" s="224"/>
      <c r="K9" s="224"/>
      <c r="L9" s="224"/>
      <c r="M9" s="224"/>
      <c r="N9" s="224"/>
      <c r="O9" s="150"/>
      <c r="Q9" s="173" t="s">
        <v>491</v>
      </c>
      <c r="R9" s="422">
        <v>44682</v>
      </c>
      <c r="Y9" s="150" t="s">
        <v>487</v>
      </c>
      <c r="AA9" s="441">
        <f>[4]Dashboard!$I$11</f>
        <v>44985</v>
      </c>
      <c r="AB9" s="409"/>
      <c r="AC9" s="409"/>
      <c r="AD9" s="409"/>
      <c r="AE9" s="409"/>
      <c r="AF9" s="409"/>
      <c r="AG9" s="409"/>
      <c r="AH9" s="409"/>
      <c r="AI9" s="409"/>
    </row>
    <row r="10" spans="1:35" ht="14">
      <c r="A10" s="177"/>
      <c r="B10" s="176" t="s">
        <v>78</v>
      </c>
      <c r="C10" s="176"/>
      <c r="D10" s="540"/>
      <c r="E10" s="175"/>
      <c r="F10" s="175"/>
      <c r="G10" s="175"/>
      <c r="H10" s="175"/>
      <c r="I10" s="175"/>
      <c r="J10" s="175"/>
      <c r="K10" s="175"/>
      <c r="L10" s="175"/>
      <c r="M10" s="175"/>
      <c r="N10" s="175"/>
      <c r="O10" s="150"/>
      <c r="Q10" s="173" t="s">
        <v>490</v>
      </c>
      <c r="R10" s="422">
        <v>45413</v>
      </c>
      <c r="Y10" s="150" t="s">
        <v>488</v>
      </c>
      <c r="AA10" s="441">
        <f>[4]Dashboard!$I$12</f>
        <v>45596</v>
      </c>
      <c r="AB10" s="409"/>
      <c r="AC10" s="409"/>
      <c r="AD10" s="409"/>
      <c r="AE10" s="409"/>
      <c r="AF10" s="409"/>
      <c r="AG10" s="409"/>
      <c r="AH10" s="409"/>
      <c r="AI10" s="409"/>
    </row>
    <row r="11" spans="1:35" ht="14">
      <c r="A11" s="177"/>
      <c r="B11" s="177" t="s">
        <v>25</v>
      </c>
      <c r="C11" s="177"/>
      <c r="D11" s="175">
        <f>E11*$AB$33</f>
        <v>4099102.4812500007</v>
      </c>
      <c r="E11" s="175">
        <f>'New CashFlow'!S19</f>
        <v>7132104</v>
      </c>
      <c r="F11" s="175">
        <f>E11*(1+$R$12)</f>
        <v>7346067.1200000001</v>
      </c>
      <c r="G11" s="175">
        <f t="shared" ref="G11:N11" si="2">F11*(1+$R$12)</f>
        <v>7566449.1336000003</v>
      </c>
      <c r="H11" s="175">
        <f t="shared" si="2"/>
        <v>7793442.6076080007</v>
      </c>
      <c r="I11" s="175">
        <f t="shared" si="2"/>
        <v>8027245.8858362408</v>
      </c>
      <c r="J11" s="175">
        <f t="shared" si="2"/>
        <v>8268063.262411328</v>
      </c>
      <c r="K11" s="175">
        <f t="shared" si="2"/>
        <v>8516105.160283668</v>
      </c>
      <c r="L11" s="175">
        <f t="shared" si="2"/>
        <v>8771588.3150921781</v>
      </c>
      <c r="M11" s="175">
        <f t="shared" si="2"/>
        <v>9034735.9645449445</v>
      </c>
      <c r="N11" s="175">
        <f t="shared" si="2"/>
        <v>9305778.0434812922</v>
      </c>
      <c r="O11" s="150"/>
      <c r="R11" s="420"/>
      <c r="AB11" s="409"/>
      <c r="AC11" s="409"/>
      <c r="AD11" s="409"/>
      <c r="AE11" s="409"/>
      <c r="AF11" s="409"/>
      <c r="AG11" s="409"/>
      <c r="AH11" s="409"/>
      <c r="AI11" s="409"/>
    </row>
    <row r="12" spans="1:35" ht="14">
      <c r="A12" s="177"/>
      <c r="B12" s="177" t="s">
        <v>27</v>
      </c>
      <c r="C12" s="177"/>
      <c r="D12" s="175">
        <f>E12*$AB$33</f>
        <v>331050.00000000006</v>
      </c>
      <c r="E12" s="175">
        <f>'New CashFlow'!S20</f>
        <v>576000</v>
      </c>
      <c r="F12" s="175">
        <f t="shared" ref="F12:N13" si="3">E12*(1+$R$12)</f>
        <v>593280</v>
      </c>
      <c r="G12" s="175">
        <f t="shared" si="3"/>
        <v>611078.40000000002</v>
      </c>
      <c r="H12" s="175">
        <f t="shared" si="3"/>
        <v>629410.75200000009</v>
      </c>
      <c r="I12" s="175">
        <f t="shared" si="3"/>
        <v>648293.0745600001</v>
      </c>
      <c r="J12" s="175">
        <f t="shared" si="3"/>
        <v>667741.86679680017</v>
      </c>
      <c r="K12" s="175">
        <f t="shared" si="3"/>
        <v>687774.12280070421</v>
      </c>
      <c r="L12" s="175">
        <f t="shared" si="3"/>
        <v>708407.34648472536</v>
      </c>
      <c r="M12" s="175">
        <f t="shared" si="3"/>
        <v>729659.56687926711</v>
      </c>
      <c r="N12" s="175">
        <f t="shared" si="3"/>
        <v>751549.35388564516</v>
      </c>
      <c r="O12" s="150"/>
      <c r="Q12" s="419" t="s">
        <v>97</v>
      </c>
      <c r="R12" s="421">
        <v>0.03</v>
      </c>
      <c r="Y12" s="150" t="s">
        <v>489</v>
      </c>
      <c r="AA12" s="442">
        <f>'HUD - Snapshot'!C23</f>
        <v>320</v>
      </c>
      <c r="AB12" s="409"/>
      <c r="AC12" s="409"/>
      <c r="AD12" s="409"/>
      <c r="AE12" s="409"/>
      <c r="AF12" s="409"/>
      <c r="AG12" s="409"/>
      <c r="AH12" s="409"/>
      <c r="AI12" s="409"/>
    </row>
    <row r="13" spans="1:35" ht="14">
      <c r="A13" s="177"/>
      <c r="B13" s="404" t="str">
        <f>"Vacancy ("&amp;'New CashFlow'!R21*100&amp;"%)"</f>
        <v>Vacancy (3%)</v>
      </c>
      <c r="C13" s="404"/>
      <c r="D13" s="405">
        <f>-R21*(SUM(D11:D12))</f>
        <v>-132904.57443750004</v>
      </c>
      <c r="E13" s="405">
        <f>'New CashFlow'!S21</f>
        <v>-231243.12</v>
      </c>
      <c r="F13" s="405">
        <f t="shared" si="3"/>
        <v>-238180.4136</v>
      </c>
      <c r="G13" s="405">
        <f t="shared" si="3"/>
        <v>-245325.826008</v>
      </c>
      <c r="H13" s="405">
        <f t="shared" si="3"/>
        <v>-252685.60078824</v>
      </c>
      <c r="I13" s="405">
        <f t="shared" si="3"/>
        <v>-260266.16881188721</v>
      </c>
      <c r="J13" s="405">
        <f t="shared" si="3"/>
        <v>-268074.15387624386</v>
      </c>
      <c r="K13" s="405">
        <f t="shared" si="3"/>
        <v>-276116.37849253119</v>
      </c>
      <c r="L13" s="405">
        <f t="shared" si="3"/>
        <v>-284399.86984730716</v>
      </c>
      <c r="M13" s="405">
        <f t="shared" si="3"/>
        <v>-292931.86594272638</v>
      </c>
      <c r="N13" s="405">
        <f t="shared" si="3"/>
        <v>-301719.82192100817</v>
      </c>
      <c r="O13" s="150"/>
      <c r="Q13" s="419" t="s">
        <v>98</v>
      </c>
      <c r="R13" s="421">
        <v>0.03</v>
      </c>
      <c r="AA13" s="539"/>
      <c r="AB13" s="409"/>
      <c r="AC13" s="409"/>
      <c r="AD13" s="409"/>
      <c r="AE13" s="409"/>
      <c r="AF13" s="409"/>
      <c r="AG13" s="409"/>
      <c r="AH13" s="409"/>
      <c r="AI13" s="409"/>
    </row>
    <row r="14" spans="1:35" s="173" customFormat="1" ht="15">
      <c r="A14" s="174"/>
      <c r="B14" s="174" t="s">
        <v>31</v>
      </c>
      <c r="C14" s="174"/>
      <c r="D14" s="225">
        <f>SUM(D11:D13)</f>
        <v>4297247.9068125011</v>
      </c>
      <c r="E14" s="225">
        <f>SUM(E11:E13)</f>
        <v>7476860.8799999999</v>
      </c>
      <c r="F14" s="225">
        <f t="shared" ref="F14:N14" si="4">SUM(F11:F13)</f>
        <v>7701166.7064000005</v>
      </c>
      <c r="G14" s="225">
        <f t="shared" si="4"/>
        <v>7932201.7075920003</v>
      </c>
      <c r="H14" s="225">
        <f t="shared" si="4"/>
        <v>8170167.7588197598</v>
      </c>
      <c r="I14" s="225">
        <f t="shared" si="4"/>
        <v>8415272.7915843539</v>
      </c>
      <c r="J14" s="225">
        <f t="shared" si="4"/>
        <v>8667730.9753318857</v>
      </c>
      <c r="K14" s="225">
        <f t="shared" si="4"/>
        <v>8927762.9045918416</v>
      </c>
      <c r="L14" s="225">
        <f t="shared" si="4"/>
        <v>9195595.7917295974</v>
      </c>
      <c r="M14" s="225">
        <f t="shared" si="4"/>
        <v>9471463.6654814854</v>
      </c>
      <c r="N14" s="225">
        <f t="shared" si="4"/>
        <v>9755607.5754459295</v>
      </c>
      <c r="O14" s="150"/>
      <c r="Q14"/>
      <c r="R14"/>
      <c r="Y14" s="150"/>
      <c r="Z14" s="150"/>
      <c r="AA14" s="150"/>
      <c r="AB14" s="409"/>
      <c r="AC14" s="409"/>
      <c r="AD14" s="409"/>
      <c r="AE14" s="409"/>
      <c r="AF14" s="409"/>
      <c r="AG14" s="409"/>
      <c r="AH14" s="409"/>
      <c r="AI14" s="409"/>
    </row>
    <row r="15" spans="1:35" ht="14">
      <c r="A15" s="177"/>
      <c r="B15" s="177"/>
      <c r="C15" s="177"/>
      <c r="D15" s="175"/>
      <c r="E15" s="175"/>
      <c r="F15" s="175"/>
      <c r="G15" s="175"/>
      <c r="H15" s="175"/>
      <c r="I15" s="175"/>
      <c r="J15" s="175"/>
      <c r="K15" s="175"/>
      <c r="L15" s="175"/>
      <c r="M15" s="175"/>
      <c r="N15" s="175"/>
      <c r="O15" s="150"/>
      <c r="R15" s="177"/>
      <c r="AA15" s="443"/>
      <c r="AB15" s="409"/>
      <c r="AC15" s="409"/>
      <c r="AD15" s="409"/>
      <c r="AE15" s="409"/>
      <c r="AF15" s="409"/>
      <c r="AG15" s="409"/>
      <c r="AH15" s="409"/>
      <c r="AI15" s="409"/>
    </row>
    <row r="16" spans="1:35" ht="15" thickBot="1">
      <c r="A16" s="177"/>
      <c r="B16" s="176" t="s">
        <v>83</v>
      </c>
      <c r="C16" s="176"/>
      <c r="D16" s="175"/>
      <c r="E16" s="175"/>
      <c r="F16" s="175"/>
      <c r="G16" s="175"/>
      <c r="H16" s="175"/>
      <c r="I16" s="175"/>
      <c r="J16" s="175"/>
      <c r="K16" s="175"/>
      <c r="L16" s="175"/>
      <c r="M16" s="175"/>
      <c r="N16" s="175"/>
      <c r="O16" s="150"/>
      <c r="AB16" s="409"/>
      <c r="AC16" s="409"/>
      <c r="AD16" s="409"/>
      <c r="AE16" s="409"/>
      <c r="AF16" s="409"/>
      <c r="AG16" s="409"/>
      <c r="AH16" s="409"/>
      <c r="AI16" s="409"/>
    </row>
    <row r="17" spans="1:43" ht="16" thickBot="1">
      <c r="A17" s="177"/>
      <c r="B17" s="177" t="s">
        <v>85</v>
      </c>
      <c r="C17" s="177"/>
      <c r="D17" s="175">
        <f>V25*$D$14</f>
        <v>58485.500000000015</v>
      </c>
      <c r="E17" s="175">
        <f>'New CashFlow'!S25</f>
        <v>101760</v>
      </c>
      <c r="F17" s="175">
        <f t="shared" ref="F17:N26" si="5">E17*(1+$R$13)</f>
        <v>104812.8</v>
      </c>
      <c r="G17" s="175">
        <f t="shared" si="5"/>
        <v>107957.18400000001</v>
      </c>
      <c r="H17" s="175">
        <f t="shared" si="5"/>
        <v>111195.89952000001</v>
      </c>
      <c r="I17" s="175">
        <f t="shared" si="5"/>
        <v>114531.77650560001</v>
      </c>
      <c r="J17" s="175">
        <f t="shared" si="5"/>
        <v>117967.72980076801</v>
      </c>
      <c r="K17" s="175">
        <f t="shared" si="5"/>
        <v>121506.76169479106</v>
      </c>
      <c r="L17" s="175">
        <f t="shared" si="5"/>
        <v>125151.96454563479</v>
      </c>
      <c r="M17" s="175">
        <f t="shared" si="5"/>
        <v>128906.52348200385</v>
      </c>
      <c r="N17" s="175">
        <f t="shared" si="5"/>
        <v>132773.71918646398</v>
      </c>
      <c r="O17" s="150"/>
      <c r="Q17" s="430" t="str">
        <f>"Lender Income and Expense Proforma - Stabilized Year 2"</f>
        <v>Lender Income and Expense Proforma - Stabilized Year 2</v>
      </c>
      <c r="R17" s="431"/>
      <c r="S17" s="431"/>
      <c r="T17" s="431"/>
      <c r="U17" s="431"/>
      <c r="V17" s="432"/>
      <c r="AC17" s="409"/>
      <c r="AD17" s="409"/>
      <c r="AE17" s="409"/>
      <c r="AF17" s="409"/>
      <c r="AG17" s="409"/>
      <c r="AH17" s="409"/>
      <c r="AI17" s="409"/>
      <c r="AJ17"/>
      <c r="AK17"/>
      <c r="AL17"/>
      <c r="AM17"/>
      <c r="AN17"/>
      <c r="AO17"/>
      <c r="AP17"/>
      <c r="AQ17"/>
    </row>
    <row r="18" spans="1:43" ht="15">
      <c r="A18" s="177"/>
      <c r="B18" s="177" t="s">
        <v>86</v>
      </c>
      <c r="C18" s="177"/>
      <c r="D18" s="175">
        <f>V26*$D$14</f>
        <v>128917.43720437503</v>
      </c>
      <c r="E18" s="175">
        <f>'New CashFlow'!S26</f>
        <v>237764.175984</v>
      </c>
      <c r="F18" s="175">
        <f t="shared" si="5"/>
        <v>244897.10126352002</v>
      </c>
      <c r="G18" s="175">
        <f t="shared" si="5"/>
        <v>252244.01430142563</v>
      </c>
      <c r="H18" s="175">
        <f t="shared" si="5"/>
        <v>259811.3347304684</v>
      </c>
      <c r="I18" s="175">
        <f t="shared" si="5"/>
        <v>267605.67477238248</v>
      </c>
      <c r="J18" s="175">
        <f t="shared" si="5"/>
        <v>275633.84501555399</v>
      </c>
      <c r="K18" s="175">
        <f t="shared" si="5"/>
        <v>283902.86036602064</v>
      </c>
      <c r="L18" s="175">
        <f t="shared" si="5"/>
        <v>292419.94617700129</v>
      </c>
      <c r="M18" s="175">
        <f t="shared" si="5"/>
        <v>301192.54456231132</v>
      </c>
      <c r="N18" s="175">
        <f t="shared" si="5"/>
        <v>310228.32089918066</v>
      </c>
      <c r="O18" s="150"/>
      <c r="Q18" s="181" t="s">
        <v>78</v>
      </c>
      <c r="R18" s="182"/>
      <c r="S18" s="183" t="s">
        <v>79</v>
      </c>
      <c r="T18" s="184" t="s">
        <v>80</v>
      </c>
      <c r="U18" s="184"/>
      <c r="V18" s="185" t="s">
        <v>81</v>
      </c>
      <c r="X18" s="173"/>
      <c r="Z18" s="896">
        <f>YEAR(AA9)</f>
        <v>2023</v>
      </c>
      <c r="AA18" s="896"/>
      <c r="AB18" s="896"/>
      <c r="AC18" s="411"/>
      <c r="AJ18"/>
      <c r="AK18"/>
      <c r="AL18"/>
      <c r="AM18"/>
      <c r="AN18"/>
      <c r="AO18"/>
      <c r="AP18"/>
      <c r="AQ18"/>
    </row>
    <row r="19" spans="1:43" ht="15">
      <c r="A19" s="177"/>
      <c r="B19" s="177" t="s">
        <v>87</v>
      </c>
      <c r="C19" s="177"/>
      <c r="D19" s="175">
        <f t="shared" ref="D19:D22" si="6">V28*$D$14</f>
        <v>72132.116666666683</v>
      </c>
      <c r="E19" s="175">
        <f>'New CashFlow'!S28</f>
        <v>125504</v>
      </c>
      <c r="F19" s="175">
        <f t="shared" si="5"/>
        <v>129269.12000000001</v>
      </c>
      <c r="G19" s="175">
        <f t="shared" si="5"/>
        <v>133147.19360000003</v>
      </c>
      <c r="H19" s="175">
        <f t="shared" si="5"/>
        <v>137141.60940800002</v>
      </c>
      <c r="I19" s="175">
        <f t="shared" si="5"/>
        <v>141255.85769024002</v>
      </c>
      <c r="J19" s="175">
        <f t="shared" si="5"/>
        <v>145493.53342094723</v>
      </c>
      <c r="K19" s="175">
        <f t="shared" si="5"/>
        <v>149858.33942357564</v>
      </c>
      <c r="L19" s="175">
        <f t="shared" si="5"/>
        <v>154354.08960628291</v>
      </c>
      <c r="M19" s="175">
        <f t="shared" si="5"/>
        <v>158984.71229447139</v>
      </c>
      <c r="N19" s="175">
        <f t="shared" si="5"/>
        <v>163754.25366330554</v>
      </c>
      <c r="O19" s="150"/>
      <c r="Q19" s="186" t="s">
        <v>25</v>
      </c>
      <c r="R19" s="182"/>
      <c r="S19" s="151">
        <f>V54*12*(1+$R$12*2)</f>
        <v>7132104</v>
      </c>
      <c r="T19" s="152">
        <f>S19/$R$54/12</f>
        <v>1857.3187500000001</v>
      </c>
      <c r="U19" s="152"/>
      <c r="V19" s="187">
        <f>S19/$S$22</f>
        <v>0.95389015717515935</v>
      </c>
      <c r="Z19" s="444" t="s">
        <v>109</v>
      </c>
      <c r="AA19" s="444" t="s">
        <v>584</v>
      </c>
      <c r="AB19" s="444" t="s">
        <v>478</v>
      </c>
      <c r="AC19" s="409"/>
      <c r="AJ19"/>
      <c r="AK19"/>
      <c r="AL19"/>
      <c r="AM19"/>
      <c r="AN19"/>
      <c r="AO19"/>
      <c r="AP19"/>
      <c r="AQ19"/>
    </row>
    <row r="20" spans="1:43" ht="15">
      <c r="A20" s="177"/>
      <c r="B20" s="177" t="s">
        <v>88</v>
      </c>
      <c r="C20" s="177"/>
      <c r="D20" s="175">
        <f t="shared" si="6"/>
        <v>0</v>
      </c>
      <c r="E20" s="175">
        <f>'New CashFlow'!S29</f>
        <v>0</v>
      </c>
      <c r="F20" s="175">
        <f t="shared" si="5"/>
        <v>0</v>
      </c>
      <c r="G20" s="175">
        <f t="shared" si="5"/>
        <v>0</v>
      </c>
      <c r="H20" s="175">
        <f t="shared" si="5"/>
        <v>0</v>
      </c>
      <c r="I20" s="175">
        <f t="shared" si="5"/>
        <v>0</v>
      </c>
      <c r="J20" s="175">
        <f t="shared" si="5"/>
        <v>0</v>
      </c>
      <c r="K20" s="175">
        <f t="shared" si="5"/>
        <v>0</v>
      </c>
      <c r="L20" s="175">
        <f t="shared" si="5"/>
        <v>0</v>
      </c>
      <c r="M20" s="175">
        <f t="shared" si="5"/>
        <v>0</v>
      </c>
      <c r="N20" s="175">
        <f t="shared" si="5"/>
        <v>0</v>
      </c>
      <c r="O20" s="150"/>
      <c r="Q20" s="186" t="s">
        <v>27</v>
      </c>
      <c r="R20" s="188">
        <f>S20/S22</f>
        <v>7.7037677876387073E-2</v>
      </c>
      <c r="S20" s="151">
        <f>'HUD - Snapshot'!F27</f>
        <v>576000</v>
      </c>
      <c r="T20" s="152">
        <f>S20/$R$54/12</f>
        <v>150</v>
      </c>
      <c r="U20" s="152"/>
      <c r="V20" s="187">
        <f>S20/$S$22</f>
        <v>7.7037677876387073E-2</v>
      </c>
      <c r="Z20" s="445">
        <f>EOMONTH(DATE(Z18,1,1),0)</f>
        <v>44957</v>
      </c>
      <c r="AA20" s="571">
        <v>27</v>
      </c>
      <c r="AB20" s="446">
        <f>AA20/AA12</f>
        <v>8.4375000000000006E-2</v>
      </c>
      <c r="AC20" s="409"/>
      <c r="AJ20"/>
      <c r="AK20"/>
      <c r="AL20"/>
      <c r="AM20"/>
      <c r="AN20"/>
      <c r="AO20"/>
      <c r="AP20"/>
      <c r="AQ20"/>
    </row>
    <row r="21" spans="1:43" ht="17">
      <c r="A21" s="177"/>
      <c r="B21" s="177" t="s">
        <v>89</v>
      </c>
      <c r="C21" s="177"/>
      <c r="D21" s="175">
        <f t="shared" si="6"/>
        <v>38990.33333333335</v>
      </c>
      <c r="E21" s="175">
        <f>'New CashFlow'!S30</f>
        <v>67840</v>
      </c>
      <c r="F21" s="175">
        <f t="shared" si="5"/>
        <v>69875.199999999997</v>
      </c>
      <c r="G21" s="175">
        <f t="shared" si="5"/>
        <v>71971.456000000006</v>
      </c>
      <c r="H21" s="175">
        <f t="shared" si="5"/>
        <v>74130.599680000014</v>
      </c>
      <c r="I21" s="175">
        <f t="shared" si="5"/>
        <v>76354.517670400019</v>
      </c>
      <c r="J21" s="175">
        <f t="shared" si="5"/>
        <v>78645.153200512024</v>
      </c>
      <c r="K21" s="175">
        <f t="shared" si="5"/>
        <v>81004.507796527381</v>
      </c>
      <c r="L21" s="175">
        <f t="shared" si="5"/>
        <v>83434.643030423205</v>
      </c>
      <c r="M21" s="175">
        <f t="shared" si="5"/>
        <v>85937.682321335902</v>
      </c>
      <c r="N21" s="175">
        <f t="shared" si="5"/>
        <v>88515.812790975979</v>
      </c>
      <c r="O21" s="150"/>
      <c r="Q21" s="186" t="s">
        <v>82</v>
      </c>
      <c r="R21" s="753">
        <v>0.03</v>
      </c>
      <c r="S21" s="189">
        <f>-SUM(S19:S20)*R21</f>
        <v>-231243.12</v>
      </c>
      <c r="T21" s="190">
        <f>S21/$R$54/12</f>
        <v>-60.219562499999995</v>
      </c>
      <c r="U21" s="190"/>
      <c r="V21" s="191">
        <f>S21/$S$22</f>
        <v>-3.0927835051546393E-2</v>
      </c>
      <c r="Z21" s="445">
        <f>EOMONTH(Z20,1)</f>
        <v>44985</v>
      </c>
      <c r="AA21" s="571">
        <v>25</v>
      </c>
      <c r="AB21" s="447">
        <f>SUM($AA$20:AA21)/$AA$12</f>
        <v>0.16250000000000001</v>
      </c>
      <c r="AC21" s="409"/>
      <c r="AJ21"/>
      <c r="AK21"/>
      <c r="AL21"/>
      <c r="AM21"/>
      <c r="AN21"/>
      <c r="AO21"/>
      <c r="AP21"/>
      <c r="AQ21"/>
    </row>
    <row r="22" spans="1:43" ht="15">
      <c r="A22" s="177"/>
      <c r="B22" s="177" t="s">
        <v>90</v>
      </c>
      <c r="C22" s="177"/>
      <c r="D22" s="175">
        <f t="shared" si="6"/>
        <v>48737.916666666679</v>
      </c>
      <c r="E22" s="175">
        <f>'New CashFlow'!S31</f>
        <v>84800</v>
      </c>
      <c r="F22" s="175">
        <f t="shared" si="5"/>
        <v>87344</v>
      </c>
      <c r="G22" s="175">
        <f t="shared" si="5"/>
        <v>89964.32</v>
      </c>
      <c r="H22" s="175">
        <f t="shared" si="5"/>
        <v>92663.24960000001</v>
      </c>
      <c r="I22" s="175">
        <f t="shared" si="5"/>
        <v>95443.147088000012</v>
      </c>
      <c r="J22" s="175">
        <f t="shared" si="5"/>
        <v>98306.441500640009</v>
      </c>
      <c r="K22" s="175">
        <f t="shared" si="5"/>
        <v>101255.6347456592</v>
      </c>
      <c r="L22" s="175">
        <f t="shared" si="5"/>
        <v>104293.30378802898</v>
      </c>
      <c r="M22" s="175">
        <f t="shared" si="5"/>
        <v>107422.10290166984</v>
      </c>
      <c r="N22" s="175">
        <f t="shared" si="5"/>
        <v>110644.76598871994</v>
      </c>
      <c r="O22" s="150"/>
      <c r="Q22" s="180" t="s">
        <v>31</v>
      </c>
      <c r="R22" s="193"/>
      <c r="S22" s="192">
        <f>SUM(S19:S21)</f>
        <v>7476860.8799999999</v>
      </c>
      <c r="T22" s="194">
        <f>S22/$R$54/12</f>
        <v>1947.0991875</v>
      </c>
      <c r="U22" s="194"/>
      <c r="V22" s="195">
        <f>S22/$S$22</f>
        <v>1</v>
      </c>
      <c r="W22" s="173"/>
      <c r="Z22" s="445">
        <f t="shared" ref="Z22:Z31" si="7">EOMONTH(Z21,1)</f>
        <v>45016</v>
      </c>
      <c r="AA22" s="571">
        <v>20</v>
      </c>
      <c r="AB22" s="447">
        <f>SUM($AA$20:AA22)/$AA$12</f>
        <v>0.22500000000000001</v>
      </c>
      <c r="AC22" s="409"/>
      <c r="AJ22"/>
      <c r="AK22"/>
      <c r="AL22"/>
      <c r="AM22"/>
      <c r="AN22"/>
      <c r="AO22"/>
      <c r="AP22"/>
      <c r="AQ22"/>
    </row>
    <row r="23" spans="1:43" ht="15">
      <c r="A23" s="177"/>
      <c r="B23" s="177" t="s">
        <v>91</v>
      </c>
      <c r="C23" s="177"/>
      <c r="D23" s="175">
        <f>V33*$D$14</f>
        <v>302175.08333333337</v>
      </c>
      <c r="E23" s="175">
        <f>'New CashFlow'!S33</f>
        <v>525760</v>
      </c>
      <c r="F23" s="175">
        <f t="shared" si="5"/>
        <v>541532.80000000005</v>
      </c>
      <c r="G23" s="175">
        <f t="shared" si="5"/>
        <v>557778.7840000001</v>
      </c>
      <c r="H23" s="175">
        <f t="shared" si="5"/>
        <v>574512.14752000012</v>
      </c>
      <c r="I23" s="175">
        <f t="shared" si="5"/>
        <v>591747.51194560016</v>
      </c>
      <c r="J23" s="175">
        <f t="shared" si="5"/>
        <v>609499.93730396812</v>
      </c>
      <c r="K23" s="175">
        <f t="shared" si="5"/>
        <v>627784.93542308721</v>
      </c>
      <c r="L23" s="175">
        <f t="shared" si="5"/>
        <v>646618.48348577984</v>
      </c>
      <c r="M23" s="175">
        <f t="shared" si="5"/>
        <v>666017.0379903533</v>
      </c>
      <c r="N23" s="175">
        <f t="shared" si="5"/>
        <v>685997.54913006397</v>
      </c>
      <c r="O23" s="150"/>
      <c r="Q23" s="186"/>
      <c r="R23" s="182"/>
      <c r="S23" s="192"/>
      <c r="T23" s="152"/>
      <c r="U23" s="152"/>
      <c r="V23" s="196"/>
      <c r="Z23" s="445">
        <f t="shared" si="7"/>
        <v>45046</v>
      </c>
      <c r="AA23" s="571">
        <v>28</v>
      </c>
      <c r="AB23" s="447">
        <f>SUM($AA$20:AA23)/$AA$12</f>
        <v>0.3125</v>
      </c>
      <c r="AC23" s="409"/>
      <c r="AJ23"/>
      <c r="AK23"/>
      <c r="AL23"/>
      <c r="AM23"/>
      <c r="AN23"/>
      <c r="AO23"/>
      <c r="AP23"/>
      <c r="AQ23"/>
    </row>
    <row r="24" spans="1:43" ht="15">
      <c r="A24" s="177"/>
      <c r="B24" s="177" t="s">
        <v>92</v>
      </c>
      <c r="C24" s="177"/>
      <c r="D24" s="175">
        <f>V34*$D$14</f>
        <v>97475.833333333358</v>
      </c>
      <c r="E24" s="175">
        <f>'New CashFlow'!S34</f>
        <v>169600</v>
      </c>
      <c r="F24" s="175">
        <f t="shared" si="5"/>
        <v>174688</v>
      </c>
      <c r="G24" s="175">
        <f t="shared" si="5"/>
        <v>179928.64</v>
      </c>
      <c r="H24" s="175">
        <f t="shared" si="5"/>
        <v>185326.49920000002</v>
      </c>
      <c r="I24" s="175">
        <f t="shared" si="5"/>
        <v>190886.29417600002</v>
      </c>
      <c r="J24" s="175">
        <f t="shared" si="5"/>
        <v>196612.88300128002</v>
      </c>
      <c r="K24" s="175">
        <f t="shared" si="5"/>
        <v>202511.26949131841</v>
      </c>
      <c r="L24" s="175">
        <f t="shared" si="5"/>
        <v>208586.60757605796</v>
      </c>
      <c r="M24" s="175">
        <f t="shared" si="5"/>
        <v>214844.20580333969</v>
      </c>
      <c r="N24" s="175">
        <f t="shared" si="5"/>
        <v>221289.53197743988</v>
      </c>
      <c r="O24" s="150"/>
      <c r="Q24" s="181" t="s">
        <v>83</v>
      </c>
      <c r="R24" s="793"/>
      <c r="S24" s="197" t="s">
        <v>79</v>
      </c>
      <c r="T24" s="197" t="s">
        <v>84</v>
      </c>
      <c r="U24" s="794"/>
      <c r="V24" s="198" t="s">
        <v>81</v>
      </c>
      <c r="Z24" s="445">
        <f t="shared" si="7"/>
        <v>45077</v>
      </c>
      <c r="AA24" s="571">
        <v>36</v>
      </c>
      <c r="AB24" s="447">
        <f>SUM($AA$20:AA24)/$AA$12</f>
        <v>0.42499999999999999</v>
      </c>
      <c r="AC24" s="409"/>
      <c r="AJ24"/>
      <c r="AK24"/>
      <c r="AL24"/>
      <c r="AM24"/>
      <c r="AN24"/>
      <c r="AO24"/>
      <c r="AP24"/>
      <c r="AQ24"/>
    </row>
    <row r="25" spans="1:43" ht="15">
      <c r="A25" s="177"/>
      <c r="B25" s="177" t="s">
        <v>94</v>
      </c>
      <c r="C25" s="177"/>
      <c r="D25" s="175">
        <f>V35*$D$14</f>
        <v>48737.916666666679</v>
      </c>
      <c r="E25" s="175">
        <f>'New CashFlow'!S35</f>
        <v>84800</v>
      </c>
      <c r="F25" s="175">
        <f t="shared" si="5"/>
        <v>87344</v>
      </c>
      <c r="G25" s="175">
        <f t="shared" si="5"/>
        <v>89964.32</v>
      </c>
      <c r="H25" s="175">
        <f t="shared" si="5"/>
        <v>92663.24960000001</v>
      </c>
      <c r="I25" s="175">
        <f t="shared" si="5"/>
        <v>95443.147088000012</v>
      </c>
      <c r="J25" s="175">
        <f t="shared" si="5"/>
        <v>98306.441500640009</v>
      </c>
      <c r="K25" s="175">
        <f t="shared" si="5"/>
        <v>101255.6347456592</v>
      </c>
      <c r="L25" s="175">
        <f t="shared" si="5"/>
        <v>104293.30378802898</v>
      </c>
      <c r="M25" s="175">
        <f t="shared" si="5"/>
        <v>107422.10290166984</v>
      </c>
      <c r="N25" s="175">
        <f t="shared" si="5"/>
        <v>110644.76598871994</v>
      </c>
      <c r="O25" s="150"/>
      <c r="Q25" s="186" t="s">
        <v>85</v>
      </c>
      <c r="R25" s="182"/>
      <c r="S25" s="151">
        <f>T25*'New Snapshot'!$C$12*(1+$R$13*2)</f>
        <v>101760</v>
      </c>
      <c r="T25" s="795">
        <v>300</v>
      </c>
      <c r="U25" s="152"/>
      <c r="V25" s="187">
        <f>S25/$S$22</f>
        <v>1.3609989758161717E-2</v>
      </c>
      <c r="Z25" s="445">
        <f t="shared" si="7"/>
        <v>45107</v>
      </c>
      <c r="AA25" s="571">
        <v>36</v>
      </c>
      <c r="AB25" s="447">
        <f>SUM($AA$20:AA25)/$AA$12</f>
        <v>0.53749999999999998</v>
      </c>
      <c r="AC25" s="409"/>
      <c r="AJ25"/>
      <c r="AK25"/>
      <c r="AL25"/>
      <c r="AM25"/>
      <c r="AN25"/>
      <c r="AO25"/>
      <c r="AP25"/>
      <c r="AQ25"/>
    </row>
    <row r="26" spans="1:43" ht="15">
      <c r="A26" s="177"/>
      <c r="B26" s="404" t="s">
        <v>95</v>
      </c>
      <c r="C26" s="404"/>
      <c r="D26" s="175">
        <f>V36*$D$14</f>
        <v>545864.66666666674</v>
      </c>
      <c r="E26" s="405">
        <f>'New CashFlow'!S36</f>
        <v>949760</v>
      </c>
      <c r="F26" s="405">
        <f t="shared" si="5"/>
        <v>978252.80000000005</v>
      </c>
      <c r="G26" s="405">
        <f t="shared" si="5"/>
        <v>1007600.3840000001</v>
      </c>
      <c r="H26" s="405">
        <f t="shared" si="5"/>
        <v>1037828.3955200001</v>
      </c>
      <c r="I26" s="405">
        <f t="shared" si="5"/>
        <v>1068963.2473856001</v>
      </c>
      <c r="J26" s="405">
        <f t="shared" si="5"/>
        <v>1101032.144807168</v>
      </c>
      <c r="K26" s="405">
        <f t="shared" si="5"/>
        <v>1134063.1091513832</v>
      </c>
      <c r="L26" s="405">
        <f t="shared" si="5"/>
        <v>1168085.0024259246</v>
      </c>
      <c r="M26" s="405">
        <f t="shared" si="5"/>
        <v>1203127.5524987024</v>
      </c>
      <c r="N26" s="405">
        <f t="shared" si="5"/>
        <v>1239221.3790736636</v>
      </c>
      <c r="O26" s="150"/>
      <c r="Q26" s="186" t="s">
        <v>86</v>
      </c>
      <c r="R26" s="182"/>
      <c r="S26" s="151">
        <f>V26*S22*(1+$R$13*2)</f>
        <v>237764.175984</v>
      </c>
      <c r="T26" s="152">
        <f>S26/'New Snapshot'!C12</f>
        <v>743.01304994999998</v>
      </c>
      <c r="U26" s="152"/>
      <c r="V26" s="792">
        <v>0.03</v>
      </c>
      <c r="Z26" s="445">
        <f t="shared" si="7"/>
        <v>45138</v>
      </c>
      <c r="AA26" s="571">
        <v>36</v>
      </c>
      <c r="AB26" s="447">
        <f>SUM($AA$20:AA26)/$AA$12</f>
        <v>0.65</v>
      </c>
      <c r="AC26" s="409"/>
      <c r="AJ26"/>
      <c r="AK26"/>
      <c r="AL26"/>
      <c r="AM26"/>
      <c r="AN26"/>
      <c r="AO26"/>
      <c r="AP26"/>
      <c r="AQ26"/>
    </row>
    <row r="27" spans="1:43" ht="15">
      <c r="A27" s="574">
        <f>E27/E14</f>
        <v>0.31398045431921956</v>
      </c>
      <c r="B27" s="226" t="s">
        <v>517</v>
      </c>
      <c r="C27" s="226"/>
      <c r="D27" s="541">
        <f t="shared" ref="D27:N27" si="8">SUM(D17:D26)</f>
        <v>1341516.8038710419</v>
      </c>
      <c r="E27" s="225">
        <f t="shared" si="8"/>
        <v>2347588.1759839999</v>
      </c>
      <c r="F27" s="225">
        <f t="shared" si="8"/>
        <v>2418015.82126352</v>
      </c>
      <c r="G27" s="225">
        <f t="shared" si="8"/>
        <v>2490556.2959014261</v>
      </c>
      <c r="H27" s="225">
        <f t="shared" si="8"/>
        <v>2565272.9847784685</v>
      </c>
      <c r="I27" s="225">
        <f t="shared" si="8"/>
        <v>2642231.1743218228</v>
      </c>
      <c r="J27" s="225">
        <f t="shared" si="8"/>
        <v>2721498.1095514772</v>
      </c>
      <c r="K27" s="225">
        <f t="shared" si="8"/>
        <v>2803143.0528380219</v>
      </c>
      <c r="L27" s="225">
        <f t="shared" si="8"/>
        <v>2887237.3444231628</v>
      </c>
      <c r="M27" s="225">
        <f t="shared" si="8"/>
        <v>2973854.4647558574</v>
      </c>
      <c r="N27" s="225">
        <f t="shared" si="8"/>
        <v>3063070.0986985331</v>
      </c>
      <c r="O27" s="150"/>
      <c r="Q27" s="186"/>
      <c r="R27" s="182"/>
      <c r="S27" s="151"/>
      <c r="T27" s="795"/>
      <c r="U27" s="152"/>
      <c r="V27" s="187"/>
      <c r="Z27" s="445">
        <f t="shared" si="7"/>
        <v>45169</v>
      </c>
      <c r="AA27" s="571">
        <v>34</v>
      </c>
      <c r="AB27" s="447">
        <f>SUM($AA$20:AA27)/$AA$12</f>
        <v>0.75624999999999998</v>
      </c>
      <c r="AC27" s="409"/>
      <c r="AJ27"/>
      <c r="AK27"/>
      <c r="AL27"/>
      <c r="AM27"/>
      <c r="AN27"/>
      <c r="AO27"/>
      <c r="AP27"/>
      <c r="AQ27"/>
    </row>
    <row r="28" spans="1:43" ht="15">
      <c r="A28" s="177"/>
      <c r="O28" s="150"/>
      <c r="Q28" s="186" t="s">
        <v>87</v>
      </c>
      <c r="R28" s="182"/>
      <c r="S28" s="151">
        <f>T28*'New Snapshot'!$C$12*(1+$R$13*2)</f>
        <v>125504</v>
      </c>
      <c r="T28" s="795">
        <v>370</v>
      </c>
      <c r="U28" s="152"/>
      <c r="V28" s="187">
        <f t="shared" ref="V28:V37" si="9">S28/$S$22</f>
        <v>1.6785654035066117E-2</v>
      </c>
      <c r="Z28" s="445">
        <f t="shared" si="7"/>
        <v>45199</v>
      </c>
      <c r="AA28" s="571">
        <v>36</v>
      </c>
      <c r="AB28" s="447">
        <f>SUM($AA$20:AA28)/$AA$12</f>
        <v>0.86875000000000002</v>
      </c>
      <c r="AC28" s="409"/>
      <c r="AJ28"/>
      <c r="AK28"/>
      <c r="AL28"/>
      <c r="AM28"/>
      <c r="AN28"/>
      <c r="AO28"/>
      <c r="AP28"/>
      <c r="AQ28"/>
    </row>
    <row r="29" spans="1:43" ht="15">
      <c r="A29" s="177"/>
      <c r="B29" s="226" t="s">
        <v>519</v>
      </c>
      <c r="C29" s="226"/>
      <c r="D29" s="192">
        <f>D14-D27</f>
        <v>2955731.102941459</v>
      </c>
      <c r="E29" s="192">
        <f t="shared" ref="E29:N29" si="10">E14-E27</f>
        <v>5129272.704016</v>
      </c>
      <c r="F29" s="192">
        <f t="shared" si="10"/>
        <v>5283150.8851364804</v>
      </c>
      <c r="G29" s="192">
        <f t="shared" si="10"/>
        <v>5441645.4116905741</v>
      </c>
      <c r="H29" s="192">
        <f t="shared" si="10"/>
        <v>5604894.7740412913</v>
      </c>
      <c r="I29" s="192">
        <f t="shared" si="10"/>
        <v>5773041.6172625311</v>
      </c>
      <c r="J29" s="192">
        <f t="shared" si="10"/>
        <v>5946232.8657804085</v>
      </c>
      <c r="K29" s="192">
        <f t="shared" si="10"/>
        <v>6124619.8517538197</v>
      </c>
      <c r="L29" s="192">
        <f t="shared" si="10"/>
        <v>6308358.4473064346</v>
      </c>
      <c r="M29" s="192">
        <f t="shared" si="10"/>
        <v>6497609.2007256281</v>
      </c>
      <c r="N29" s="192">
        <f t="shared" si="10"/>
        <v>6692537.4767473964</v>
      </c>
      <c r="O29" s="150"/>
      <c r="Q29" s="186" t="s">
        <v>88</v>
      </c>
      <c r="R29" s="200"/>
      <c r="S29" s="151">
        <f>T29*'New Snapshot'!$C$12*(1+$R$13*2)</f>
        <v>0</v>
      </c>
      <c r="T29" s="795">
        <v>0</v>
      </c>
      <c r="U29" s="152"/>
      <c r="V29" s="187">
        <f t="shared" si="9"/>
        <v>0</v>
      </c>
      <c r="Z29" s="445">
        <f t="shared" si="7"/>
        <v>45230</v>
      </c>
      <c r="AA29" s="571">
        <v>18</v>
      </c>
      <c r="AB29" s="447">
        <f>SUM($AA$20:AA29)/$AA$12</f>
        <v>0.92500000000000004</v>
      </c>
      <c r="AC29" s="409"/>
      <c r="AJ29"/>
      <c r="AK29"/>
      <c r="AL29"/>
      <c r="AM29"/>
      <c r="AN29"/>
      <c r="AO29"/>
      <c r="AP29"/>
      <c r="AQ29"/>
    </row>
    <row r="30" spans="1:43" ht="15">
      <c r="A30" s="177"/>
      <c r="B30" s="404" t="s">
        <v>472</v>
      </c>
      <c r="C30" s="404"/>
      <c r="D30" s="175">
        <f>V39*$D$14</f>
        <v>45979.166666666679</v>
      </c>
      <c r="E30" s="405">
        <f>'New CashFlow'!S39</f>
        <v>80000</v>
      </c>
      <c r="F30" s="405">
        <f t="shared" ref="F30:N30" si="11">E30*(1+$R$13)</f>
        <v>82400</v>
      </c>
      <c r="G30" s="405">
        <f t="shared" si="11"/>
        <v>84872</v>
      </c>
      <c r="H30" s="405">
        <f t="shared" si="11"/>
        <v>87418.16</v>
      </c>
      <c r="I30" s="405">
        <f t="shared" si="11"/>
        <v>90040.704800000007</v>
      </c>
      <c r="J30" s="405">
        <f t="shared" si="11"/>
        <v>92741.925944000002</v>
      </c>
      <c r="K30" s="405">
        <f t="shared" si="11"/>
        <v>95524.183722319998</v>
      </c>
      <c r="L30" s="405">
        <f t="shared" si="11"/>
        <v>98389.909233989601</v>
      </c>
      <c r="M30" s="405">
        <f t="shared" si="11"/>
        <v>101341.60651100929</v>
      </c>
      <c r="N30" s="405">
        <f t="shared" si="11"/>
        <v>104381.85470633957</v>
      </c>
      <c r="O30" s="150"/>
      <c r="Q30" s="186" t="s">
        <v>89</v>
      </c>
      <c r="R30" s="200"/>
      <c r="S30" s="151">
        <f>T30*'New Snapshot'!$C$12*(1+$R$13*2)</f>
        <v>67840</v>
      </c>
      <c r="T30" s="795">
        <v>200</v>
      </c>
      <c r="U30" s="152"/>
      <c r="V30" s="187">
        <f t="shared" si="9"/>
        <v>9.0733265054411451E-3</v>
      </c>
      <c r="Z30" s="445">
        <f t="shared" si="7"/>
        <v>45260</v>
      </c>
      <c r="AA30" s="571">
        <v>10</v>
      </c>
      <c r="AB30" s="447">
        <f>SUM($AA$20:AA30)/$AA$12</f>
        <v>0.95625000000000004</v>
      </c>
      <c r="AC30" s="409"/>
      <c r="AJ30"/>
      <c r="AK30"/>
      <c r="AL30"/>
      <c r="AM30"/>
      <c r="AN30"/>
      <c r="AO30"/>
      <c r="AP30"/>
      <c r="AQ30"/>
    </row>
    <row r="31" spans="1:43" ht="15">
      <c r="A31" s="177"/>
      <c r="B31" s="455" t="s">
        <v>518</v>
      </c>
      <c r="C31" s="455"/>
      <c r="D31" s="542">
        <f>D29-D30</f>
        <v>2909751.9362747925</v>
      </c>
      <c r="E31" s="542">
        <f t="shared" ref="E31:N31" si="12">E29-E30</f>
        <v>5049272.704016</v>
      </c>
      <c r="F31" s="542">
        <f t="shared" si="12"/>
        <v>5200750.8851364804</v>
      </c>
      <c r="G31" s="542">
        <f t="shared" si="12"/>
        <v>5356773.4116905741</v>
      </c>
      <c r="H31" s="542">
        <f t="shared" si="12"/>
        <v>5517476.6140412912</v>
      </c>
      <c r="I31" s="542">
        <f t="shared" si="12"/>
        <v>5683000.9124625307</v>
      </c>
      <c r="J31" s="542">
        <f t="shared" si="12"/>
        <v>5853490.9398364089</v>
      </c>
      <c r="K31" s="542">
        <f t="shared" si="12"/>
        <v>6029095.6680314997</v>
      </c>
      <c r="L31" s="542">
        <f t="shared" si="12"/>
        <v>6209968.5380724454</v>
      </c>
      <c r="M31" s="542">
        <f t="shared" si="12"/>
        <v>6396267.5942146191</v>
      </c>
      <c r="N31" s="542">
        <f t="shared" si="12"/>
        <v>6588155.6220410569</v>
      </c>
      <c r="O31" s="150"/>
      <c r="Q31" s="186" t="s">
        <v>90</v>
      </c>
      <c r="R31" s="200"/>
      <c r="S31" s="151">
        <f>T31*'New Snapshot'!$C$12*(1+$R$13*2)</f>
        <v>84800</v>
      </c>
      <c r="T31" s="795">
        <v>250</v>
      </c>
      <c r="U31" s="152"/>
      <c r="V31" s="187">
        <f t="shared" si="9"/>
        <v>1.134165813180143E-2</v>
      </c>
      <c r="Z31" s="448">
        <f t="shared" si="7"/>
        <v>45291</v>
      </c>
      <c r="AA31" s="571">
        <v>12</v>
      </c>
      <c r="AB31" s="550">
        <f>SUM($AA$20:AA31)/$AA$12</f>
        <v>0.99375000000000002</v>
      </c>
      <c r="AC31" s="409"/>
      <c r="AJ31"/>
      <c r="AK31"/>
      <c r="AL31"/>
      <c r="AM31"/>
      <c r="AN31"/>
      <c r="AO31"/>
      <c r="AP31"/>
      <c r="AQ31"/>
    </row>
    <row r="32" spans="1:43" ht="15">
      <c r="A32" s="842">
        <v>0.01</v>
      </c>
      <c r="B32" s="841" t="s">
        <v>726</v>
      </c>
      <c r="C32" s="840"/>
      <c r="D32" s="166">
        <f>$A$32*D14</f>
        <v>42972.479068125009</v>
      </c>
      <c r="E32" s="166">
        <f t="shared" ref="E32:N32" si="13">$A$32*E14</f>
        <v>74768.608800000002</v>
      </c>
      <c r="F32" s="166">
        <f t="shared" si="13"/>
        <v>77011.667064000008</v>
      </c>
      <c r="G32" s="166">
        <f t="shared" si="13"/>
        <v>79322.017075919997</v>
      </c>
      <c r="H32" s="166">
        <f t="shared" si="13"/>
        <v>81701.677588197606</v>
      </c>
      <c r="I32" s="166">
        <f t="shared" si="13"/>
        <v>84152.727915843541</v>
      </c>
      <c r="J32" s="166">
        <f t="shared" si="13"/>
        <v>86677.309753318856</v>
      </c>
      <c r="K32" s="166">
        <f t="shared" si="13"/>
        <v>89277.629045918424</v>
      </c>
      <c r="L32" s="166">
        <f t="shared" si="13"/>
        <v>91955.957917295978</v>
      </c>
      <c r="M32" s="166">
        <f t="shared" si="13"/>
        <v>94714.636654814851</v>
      </c>
      <c r="N32" s="166">
        <f t="shared" si="13"/>
        <v>97556.075754459293</v>
      </c>
      <c r="O32" s="150"/>
      <c r="Q32" s="186"/>
      <c r="R32" s="200"/>
      <c r="S32" s="151"/>
      <c r="T32" s="795"/>
      <c r="U32" s="152"/>
      <c r="V32" s="187"/>
      <c r="Z32" s="839"/>
      <c r="AA32" s="571"/>
      <c r="AB32" s="446"/>
      <c r="AC32" s="409"/>
      <c r="AJ32"/>
      <c r="AK32"/>
      <c r="AL32"/>
      <c r="AM32"/>
      <c r="AN32"/>
      <c r="AO32"/>
      <c r="AP32"/>
      <c r="AQ32"/>
    </row>
    <row r="33" spans="1:43" ht="15">
      <c r="A33" s="177"/>
      <c r="O33" s="150"/>
      <c r="Q33" s="186" t="s">
        <v>91</v>
      </c>
      <c r="R33" s="182"/>
      <c r="S33" s="151">
        <f>T33*'New Snapshot'!$C$12*(1+$R$13*2)</f>
        <v>525760</v>
      </c>
      <c r="T33" s="795">
        <v>1550</v>
      </c>
      <c r="U33" s="152"/>
      <c r="V33" s="187">
        <f t="shared" si="9"/>
        <v>7.0318280417168866E-2</v>
      </c>
      <c r="AA33" s="449" t="s">
        <v>583</v>
      </c>
      <c r="AB33" s="450">
        <f>AVERAGE(AB20:AB31)</f>
        <v>0.57473958333333341</v>
      </c>
      <c r="AC33" s="414"/>
      <c r="AJ33"/>
      <c r="AK33"/>
      <c r="AL33"/>
      <c r="AM33"/>
      <c r="AN33"/>
      <c r="AO33"/>
      <c r="AP33"/>
      <c r="AQ33"/>
    </row>
    <row r="34" spans="1:43" ht="15">
      <c r="A34" s="177"/>
      <c r="B34" s="299" t="s">
        <v>473</v>
      </c>
      <c r="C34" s="299"/>
      <c r="O34" s="150"/>
      <c r="Q34" s="186" t="s">
        <v>92</v>
      </c>
      <c r="R34" s="182"/>
      <c r="S34" s="151">
        <f>T34*'New Snapshot'!$C$12*(1+$R$13*2)</f>
        <v>169600</v>
      </c>
      <c r="T34" s="795">
        <v>500</v>
      </c>
      <c r="U34" s="152"/>
      <c r="V34" s="187">
        <f t="shared" si="9"/>
        <v>2.268331626360286E-2</v>
      </c>
      <c r="AJ34"/>
      <c r="AK34"/>
      <c r="AL34"/>
      <c r="AM34"/>
      <c r="AN34"/>
      <c r="AO34"/>
      <c r="AP34"/>
      <c r="AQ34"/>
    </row>
    <row r="35" spans="1:43" ht="14" customHeight="1">
      <c r="A35" s="177"/>
      <c r="B35" s="406" t="s">
        <v>101</v>
      </c>
      <c r="C35" s="406"/>
      <c r="D35" s="175">
        <f ca="1">AmSch!$L24</f>
        <v>3161583.0539811295</v>
      </c>
      <c r="E35" s="175">
        <f ca="1">AmSch!$L36</f>
        <v>3135457.2918289816</v>
      </c>
      <c r="F35" s="175">
        <f ca="1">AmSch!$L48</f>
        <v>3107994.8861015234</v>
      </c>
      <c r="G35" s="175">
        <f ca="1">AmSch!$L60</f>
        <v>3079127.4515766506</v>
      </c>
      <c r="H35" s="175">
        <f ca="1">AmSch!$L72</f>
        <v>3048783.1043145084</v>
      </c>
      <c r="I35" s="175">
        <f ca="1">AmSch!$L84</f>
        <v>3016886.2826564522</v>
      </c>
      <c r="J35" s="175">
        <f ca="1">AmSch!$L96</f>
        <v>2983357.5590659743</v>
      </c>
      <c r="K35" s="175">
        <f ca="1">AmSch!$L108</f>
        <v>2948113.4423430562</v>
      </c>
      <c r="L35" s="175">
        <f ca="1">AmSch!$L120</f>
        <v>2911066.1697194274</v>
      </c>
      <c r="M35" s="175">
        <f ca="1">AmSch!$L132</f>
        <v>2872123.4883170319</v>
      </c>
      <c r="N35" s="175">
        <f ca="1">AmSch!$L144</f>
        <v>2831188.4254254876</v>
      </c>
      <c r="O35" s="150"/>
      <c r="Q35" s="186" t="s">
        <v>94</v>
      </c>
      <c r="R35" s="182"/>
      <c r="S35" s="151">
        <f>T35*'New Snapshot'!$C$12*(1+$R$13*2)</f>
        <v>84800</v>
      </c>
      <c r="T35" s="795">
        <v>250</v>
      </c>
      <c r="U35" s="152"/>
      <c r="V35" s="187">
        <f t="shared" si="9"/>
        <v>1.134165813180143E-2</v>
      </c>
      <c r="X35" s="152"/>
      <c r="AJ35"/>
      <c r="AK35"/>
      <c r="AL35"/>
      <c r="AM35"/>
      <c r="AN35"/>
      <c r="AO35"/>
      <c r="AP35"/>
      <c r="AQ35"/>
    </row>
    <row r="36" spans="1:43" ht="16">
      <c r="A36" s="177"/>
      <c r="B36" s="406" t="s">
        <v>7</v>
      </c>
      <c r="C36" s="406"/>
      <c r="D36" s="175">
        <f ca="1">AmSch!$N24</f>
        <v>158079.15269905652</v>
      </c>
      <c r="E36" s="175">
        <f ca="1">AmSch!$N36</f>
        <v>156772.86459144912</v>
      </c>
      <c r="F36" s="175">
        <f ca="1">AmSch!$N48</f>
        <v>155399.74430507622</v>
      </c>
      <c r="G36" s="175">
        <f ca="1">AmSch!$N60</f>
        <v>153956.3725788325</v>
      </c>
      <c r="H36" s="175">
        <f ca="1">AmSch!$N72</f>
        <v>152439.15521572539</v>
      </c>
      <c r="I36" s="175">
        <f ca="1">AmSch!$N84</f>
        <v>150844.31413282259</v>
      </c>
      <c r="J36" s="175">
        <f ca="1">AmSch!$N96</f>
        <v>149167.87795329874</v>
      </c>
      <c r="K36" s="175">
        <f ca="1">AmSch!$N108</f>
        <v>147405.6721171528</v>
      </c>
      <c r="L36" s="175">
        <f ca="1">AmSch!$N120</f>
        <v>145553.30848597139</v>
      </c>
      <c r="M36" s="175">
        <f ca="1">AmSch!$N132</f>
        <v>143606.17441585165</v>
      </c>
      <c r="N36" s="175">
        <f ca="1">AmSch!$N144</f>
        <v>141559.42127127439</v>
      </c>
      <c r="O36" s="150"/>
      <c r="Q36" s="637" t="s">
        <v>95</v>
      </c>
      <c r="R36" s="436"/>
      <c r="S36" s="189">
        <f>T36*'New Snapshot'!$C$12*(1+$R$13*2)</f>
        <v>949760</v>
      </c>
      <c r="T36" s="796">
        <v>2800</v>
      </c>
      <c r="U36" s="190"/>
      <c r="V36" s="439">
        <f t="shared" si="9"/>
        <v>0.12702657107617601</v>
      </c>
    </row>
    <row r="37" spans="1:43">
      <c r="A37" s="177"/>
      <c r="B37" s="404" t="s">
        <v>474</v>
      </c>
      <c r="C37" s="404"/>
      <c r="D37" s="405">
        <f ca="1">AmSch!$M24</f>
        <v>510648.80768380588</v>
      </c>
      <c r="E37" s="405">
        <f ca="1">AmSch!$M36</f>
        <v>536774.569835954</v>
      </c>
      <c r="F37" s="405">
        <f ca="1">AmSch!$M48</f>
        <v>564236.97556341207</v>
      </c>
      <c r="G37" s="405">
        <f ca="1">AmSch!$M60</f>
        <v>593104.41008828557</v>
      </c>
      <c r="H37" s="405">
        <f ca="1">AmSch!$M72</f>
        <v>623448.7573504278</v>
      </c>
      <c r="I37" s="405">
        <f ca="1">AmSch!$M84</f>
        <v>655345.57900848414</v>
      </c>
      <c r="J37" s="405">
        <f ca="1">AmSch!$M96</f>
        <v>688874.30259896163</v>
      </c>
      <c r="K37" s="405">
        <f ca="1">AmSch!$M108</f>
        <v>724118.41932187974</v>
      </c>
      <c r="L37" s="405">
        <f ca="1">AmSch!$M120</f>
        <v>761165.69194550812</v>
      </c>
      <c r="M37" s="405">
        <f ca="1">AmSch!$M132</f>
        <v>800108.37334790349</v>
      </c>
      <c r="N37" s="405">
        <f ca="1">AmSch!$M144</f>
        <v>841043.43623944838</v>
      </c>
      <c r="O37" s="150"/>
      <c r="Q37" s="180" t="s">
        <v>96</v>
      </c>
      <c r="R37" s="182"/>
      <c r="S37" s="192">
        <f>SUM(S25:S36)</f>
        <v>2347588.1759839999</v>
      </c>
      <c r="T37" s="194">
        <f>SUM(T25:T36)</f>
        <v>6963.0130499500001</v>
      </c>
      <c r="U37" s="194"/>
      <c r="V37" s="201">
        <f t="shared" si="9"/>
        <v>0.31398045431921956</v>
      </c>
    </row>
    <row r="38" spans="1:43">
      <c r="A38" s="177"/>
      <c r="B38" s="226" t="s">
        <v>376</v>
      </c>
      <c r="C38" s="226"/>
      <c r="D38" s="225">
        <f ca="1">SUM(D35:D37)</f>
        <v>3830311.014363992</v>
      </c>
      <c r="E38" s="225">
        <f t="shared" ref="E38:N38" ca="1" si="14">SUM(E35:E37)</f>
        <v>3829004.7262563845</v>
      </c>
      <c r="F38" s="225">
        <f t="shared" ca="1" si="14"/>
        <v>3827631.6059700116</v>
      </c>
      <c r="G38" s="225">
        <f t="shared" ca="1" si="14"/>
        <v>3826188.2342437683</v>
      </c>
      <c r="H38" s="225">
        <f t="shared" ca="1" si="14"/>
        <v>3824671.0168806612</v>
      </c>
      <c r="I38" s="225">
        <f t="shared" ca="1" si="14"/>
        <v>3823076.1757977591</v>
      </c>
      <c r="J38" s="225">
        <f t="shared" ca="1" si="14"/>
        <v>3821399.7396182348</v>
      </c>
      <c r="K38" s="225">
        <f t="shared" ca="1" si="14"/>
        <v>3819637.5337820887</v>
      </c>
      <c r="L38" s="225">
        <f t="shared" ca="1" si="14"/>
        <v>3817785.1701509068</v>
      </c>
      <c r="M38" s="225">
        <f t="shared" ca="1" si="14"/>
        <v>3815838.036080787</v>
      </c>
      <c r="N38" s="225">
        <f t="shared" ca="1" si="14"/>
        <v>3813791.2829362103</v>
      </c>
      <c r="O38" s="150"/>
      <c r="Q38" s="180"/>
      <c r="R38" s="182"/>
      <c r="S38" s="192"/>
      <c r="T38" s="194"/>
      <c r="U38" s="194"/>
      <c r="V38" s="195"/>
    </row>
    <row r="39" spans="1:43" ht="14" thickBot="1">
      <c r="A39" s="177"/>
      <c r="B39" s="886" t="s">
        <v>766</v>
      </c>
      <c r="C39" s="226"/>
      <c r="D39" s="887">
        <f ca="1">D31/D38</f>
        <v>0.75966466570546765</v>
      </c>
      <c r="E39" s="887">
        <f t="shared" ref="E39:N39" ca="1" si="15">E31/E38</f>
        <v>1.3186906428691381</v>
      </c>
      <c r="F39" s="887">
        <f t="shared" ca="1" si="15"/>
        <v>1.3587386197315319</v>
      </c>
      <c r="G39" s="887">
        <f t="shared" ca="1" si="15"/>
        <v>1.4000287188560969</v>
      </c>
      <c r="H39" s="887">
        <f t="shared" ca="1" si="15"/>
        <v>1.4426016223850946</v>
      </c>
      <c r="I39" s="887">
        <f t="shared" ca="1" si="15"/>
        <v>1.4864995231952609</v>
      </c>
      <c r="J39" s="887">
        <f t="shared" ca="1" si="15"/>
        <v>1.5317661952897876</v>
      </c>
      <c r="K39" s="887">
        <f t="shared" ca="1" si="15"/>
        <v>1.5784470685263354</v>
      </c>
      <c r="L39" s="887">
        <f t="shared" ca="1" si="15"/>
        <v>1.6265893080167688</v>
      </c>
      <c r="M39" s="887">
        <f t="shared" ca="1" si="15"/>
        <v>1.6762418985644811</v>
      </c>
      <c r="N39" s="887">
        <f t="shared" ca="1" si="15"/>
        <v>1.7274557345384889</v>
      </c>
      <c r="O39" s="150"/>
      <c r="Q39" s="186" t="s">
        <v>93</v>
      </c>
      <c r="R39" s="182"/>
      <c r="S39" s="199">
        <f>250*R54</f>
        <v>80000</v>
      </c>
      <c r="T39" s="152">
        <f>S39/$R$54</f>
        <v>250</v>
      </c>
      <c r="U39" s="152"/>
      <c r="V39" s="187">
        <f>S39/$S$22</f>
        <v>1.0699677482831538E-2</v>
      </c>
    </row>
    <row r="40" spans="1:43" ht="14" thickBot="1">
      <c r="A40" s="177"/>
      <c r="B40" s="177"/>
      <c r="C40" s="177"/>
      <c r="D40" s="175"/>
      <c r="E40" s="175"/>
      <c r="F40" s="175"/>
      <c r="G40" s="175"/>
      <c r="H40" s="175"/>
      <c r="I40" s="175"/>
      <c r="J40" s="175"/>
      <c r="K40" s="175"/>
      <c r="L40" s="175"/>
      <c r="M40" s="175"/>
      <c r="N40" s="175"/>
      <c r="O40" s="150"/>
      <c r="Q40" s="202" t="s">
        <v>33</v>
      </c>
      <c r="R40" s="203"/>
      <c r="S40" s="204">
        <f>S22-S37-S39</f>
        <v>5049272.704016</v>
      </c>
      <c r="T40" s="205">
        <f>S40/$R$54</f>
        <v>15778.97720005</v>
      </c>
      <c r="U40" s="205"/>
      <c r="V40" s="206">
        <f>S40/$S$22</f>
        <v>0.67531986819794887</v>
      </c>
    </row>
    <row r="41" spans="1:43" ht="14" thickBot="1">
      <c r="A41" s="177"/>
      <c r="B41" s="407" t="s">
        <v>475</v>
      </c>
      <c r="C41" s="407"/>
      <c r="D41" s="408">
        <f t="shared" ref="D41:N41" ca="1" si="16">D31-D38-D32</f>
        <v>-963531.55715732451</v>
      </c>
      <c r="E41" s="408">
        <f t="shared" ca="1" si="16"/>
        <v>1145499.3689596155</v>
      </c>
      <c r="F41" s="408">
        <f t="shared" ca="1" si="16"/>
        <v>1296107.612102469</v>
      </c>
      <c r="G41" s="408">
        <f t="shared" ca="1" si="16"/>
        <v>1451263.1603708859</v>
      </c>
      <c r="H41" s="408">
        <f t="shared" ca="1" si="16"/>
        <v>1611103.9195724323</v>
      </c>
      <c r="I41" s="408">
        <f t="shared" ca="1" si="16"/>
        <v>1775772.0087489281</v>
      </c>
      <c r="J41" s="408">
        <f t="shared" ca="1" si="16"/>
        <v>1945413.8904648554</v>
      </c>
      <c r="K41" s="408">
        <f t="shared" ca="1" si="16"/>
        <v>2120180.5052034925</v>
      </c>
      <c r="L41" s="408">
        <f t="shared" ca="1" si="16"/>
        <v>2300227.4100042428</v>
      </c>
      <c r="M41" s="408">
        <f t="shared" ca="1" si="16"/>
        <v>2485714.9214790175</v>
      </c>
      <c r="N41" s="408">
        <f t="shared" ca="1" si="16"/>
        <v>2676808.2633503871</v>
      </c>
      <c r="O41" s="150"/>
    </row>
    <row r="42" spans="1:43" ht="14" thickTop="1">
      <c r="A42" s="177"/>
      <c r="B42" s="177"/>
      <c r="C42" s="177"/>
      <c r="D42" s="175"/>
      <c r="E42" s="175"/>
      <c r="F42" s="175"/>
      <c r="G42" s="175"/>
      <c r="H42" s="175"/>
      <c r="I42" s="175"/>
      <c r="J42" s="175"/>
      <c r="K42" s="175"/>
      <c r="L42" s="175"/>
      <c r="M42" s="175"/>
      <c r="N42" s="175"/>
      <c r="O42" s="150"/>
      <c r="Q42" s="150" t="s">
        <v>601</v>
      </c>
    </row>
    <row r="43" spans="1:43">
      <c r="A43" s="177"/>
      <c r="B43" s="177"/>
      <c r="C43" s="817"/>
      <c r="D43" s="175"/>
      <c r="E43" s="175"/>
      <c r="F43" s="175"/>
      <c r="G43" s="175"/>
      <c r="H43" s="175"/>
      <c r="I43" s="175"/>
      <c r="J43" s="175"/>
      <c r="K43" s="175"/>
      <c r="L43" s="175"/>
      <c r="M43" s="175"/>
      <c r="N43" s="175"/>
      <c r="O43" s="150"/>
    </row>
    <row r="44" spans="1:43">
      <c r="A44" s="177"/>
      <c r="O44" s="150"/>
      <c r="Q44" s="299" t="s">
        <v>515</v>
      </c>
    </row>
    <row r="45" spans="1:43" ht="14" thickBot="1">
      <c r="A45" s="177"/>
      <c r="B45" s="150" t="s">
        <v>520</v>
      </c>
      <c r="D45" s="454">
        <f ca="1">D29/'HUD - Snapshot'!$M$21</f>
        <v>3.5690711375229049E-2</v>
      </c>
      <c r="E45" s="454">
        <f ca="1">E29/'HUD - Snapshot'!$M$21</f>
        <v>6.1936416158321135E-2</v>
      </c>
      <c r="F45" s="454">
        <f ca="1">F29/'HUD - Snapshot'!$M$21</f>
        <v>6.3794508643070777E-2</v>
      </c>
      <c r="G45" s="454">
        <f ca="1">G29/'HUD - Snapshot'!$M$21</f>
        <v>6.5708343902362881E-2</v>
      </c>
      <c r="H45" s="454">
        <f ca="1">H29/'HUD - Snapshot'!$M$21</f>
        <v>6.7679594219433772E-2</v>
      </c>
      <c r="I45" s="454">
        <f ca="1">I29/'HUD - Snapshot'!$M$21</f>
        <v>6.9709982046016791E-2</v>
      </c>
      <c r="J45" s="454">
        <f ca="1">J29/'HUD - Snapshot'!$M$21</f>
        <v>7.1801281507397313E-2</v>
      </c>
      <c r="K45" s="454">
        <f ca="1">K29/'HUD - Snapshot'!$M$21</f>
        <v>7.3955319952619225E-2</v>
      </c>
      <c r="L45" s="454">
        <f ca="1">L29/'HUD - Snapshot'!$M$21</f>
        <v>7.6173979551197812E-2</v>
      </c>
      <c r="M45" s="454">
        <f ca="1">M29/'HUD - Snapshot'!$M$21</f>
        <v>7.8459198937733746E-2</v>
      </c>
      <c r="N45" s="454">
        <f ca="1">N29/'HUD - Snapshot'!$M$21</f>
        <v>8.0812974905865753E-2</v>
      </c>
      <c r="O45" s="150"/>
      <c r="Q45" s="150" t="s">
        <v>194</v>
      </c>
    </row>
    <row r="46" spans="1:43">
      <c r="A46" s="177"/>
      <c r="B46" s="150" t="s">
        <v>375</v>
      </c>
      <c r="D46" s="454">
        <f ca="1">D41/'HUD - Snapshot'!$L$53</f>
        <v>-5.9381091143431187E-2</v>
      </c>
      <c r="E46" s="454">
        <f ca="1">E41/'HUD - Snapshot'!$L$53</f>
        <v>7.0595510782868354E-2</v>
      </c>
      <c r="F46" s="454">
        <f ca="1">F41/'HUD - Snapshot'!$L$53</f>
        <v>7.9877284427524994E-2</v>
      </c>
      <c r="G46" s="454">
        <f ca="1">G41/'HUD - Snapshot'!$L$53</f>
        <v>8.9439302074687074E-2</v>
      </c>
      <c r="H46" s="454">
        <f ca="1">H41/'HUD - Snapshot'!$L$53</f>
        <v>9.9290062664807013E-2</v>
      </c>
      <c r="I46" s="454">
        <f ca="1">I41/'HUD - Snapshot'!$L$53</f>
        <v>0.10943832479402296</v>
      </c>
      <c r="J46" s="454">
        <f ca="1">J41/'HUD - Snapshot'!$L$53</f>
        <v>0.11989311474364976</v>
      </c>
      <c r="K46" s="454">
        <f ca="1">K41/'HUD - Snapshot'!$L$53</f>
        <v>0.13066373476282309</v>
      </c>
      <c r="L46" s="454">
        <f ca="1">L41/'HUD - Snapshot'!$L$53</f>
        <v>0.14175977161252262</v>
      </c>
      <c r="M46" s="454">
        <f ca="1">M41/'HUD - Snapshot'!$L$53</f>
        <v>0.15319110537946992</v>
      </c>
      <c r="N46" s="454">
        <f ca="1">N41/'HUD - Snapshot'!$L$53</f>
        <v>0.16496791856869675</v>
      </c>
      <c r="O46" s="150"/>
      <c r="Q46" s="427" t="s">
        <v>72</v>
      </c>
      <c r="R46" s="428" t="s">
        <v>73</v>
      </c>
      <c r="S46" s="428" t="s">
        <v>74</v>
      </c>
      <c r="T46" s="428" t="s">
        <v>75</v>
      </c>
      <c r="U46" s="428" t="s">
        <v>76</v>
      </c>
      <c r="V46" s="429" t="s">
        <v>77</v>
      </c>
    </row>
    <row r="47" spans="1:43">
      <c r="A47" s="177"/>
      <c r="O47" s="150"/>
      <c r="Q47" s="207" t="str">
        <f>'HUD - Snapshot'!B16</f>
        <v>1BR/1BA</v>
      </c>
      <c r="R47" s="797">
        <v>52</v>
      </c>
      <c r="S47" s="798">
        <v>710</v>
      </c>
      <c r="T47" s="798">
        <v>1700</v>
      </c>
      <c r="U47" s="210">
        <f t="shared" ref="U47:U53" si="17">T47/S47</f>
        <v>2.3943661971830985</v>
      </c>
      <c r="V47" s="211">
        <f t="shared" ref="V47:V54" si="18">R47*T47</f>
        <v>88400</v>
      </c>
    </row>
    <row r="48" spans="1:43">
      <c r="A48" s="177"/>
      <c r="B48" s="150" t="s">
        <v>524</v>
      </c>
      <c r="D48" s="151">
        <f ca="1">AmSch!D24</f>
        <v>62952951.192316182</v>
      </c>
      <c r="E48" s="151">
        <f ca="1">AmSch!D36</f>
        <v>62416176.622480229</v>
      </c>
      <c r="F48" s="151">
        <f ca="1">AmSch!D48</f>
        <v>61851939.646916814</v>
      </c>
      <c r="G48" s="151">
        <f ca="1">AmSch!D60</f>
        <v>61258835.236828536</v>
      </c>
      <c r="H48" s="151">
        <f ca="1">AmSch!D72</f>
        <v>60635386.479478106</v>
      </c>
      <c r="I48" s="151">
        <f ca="1">AmSch!D84</f>
        <v>59980040.900469616</v>
      </c>
      <c r="J48" s="151">
        <f ca="1">AmSch!D96</f>
        <v>59291166.597870655</v>
      </c>
      <c r="K48" s="151">
        <f ca="1">AmSch!D108</f>
        <v>58567048.178548776</v>
      </c>
      <c r="L48" s="151">
        <f ca="1">AmSch!D120</f>
        <v>57805882.48660326</v>
      </c>
      <c r="M48" s="151">
        <f ca="1">AmSch!D132</f>
        <v>57005774.113255352</v>
      </c>
      <c r="N48" s="151">
        <f ca="1">AmSch!D144</f>
        <v>56164730.677015908</v>
      </c>
      <c r="O48" s="150"/>
      <c r="Q48" s="207" t="str">
        <f>'HUD - Snapshot'!B17</f>
        <v>1BR/1BA</v>
      </c>
      <c r="R48" s="797">
        <v>97</v>
      </c>
      <c r="S48" s="798">
        <v>760</v>
      </c>
      <c r="T48" s="798">
        <v>1700</v>
      </c>
      <c r="U48" s="210">
        <f t="shared" si="17"/>
        <v>2.236842105263158</v>
      </c>
      <c r="V48" s="211">
        <f t="shared" si="18"/>
        <v>164900</v>
      </c>
    </row>
    <row r="49" spans="1:22">
      <c r="A49" s="177"/>
      <c r="O49" s="150"/>
      <c r="Q49" s="207" t="str">
        <f>'HUD - Snapshot'!B18</f>
        <v>1BR/1BA</v>
      </c>
      <c r="R49" s="797">
        <v>55</v>
      </c>
      <c r="S49" s="798">
        <v>830</v>
      </c>
      <c r="T49" s="798">
        <v>1780</v>
      </c>
      <c r="U49" s="210">
        <f t="shared" si="17"/>
        <v>2.1445783132530121</v>
      </c>
      <c r="V49" s="211">
        <f t="shared" si="18"/>
        <v>97900</v>
      </c>
    </row>
    <row r="50" spans="1:22">
      <c r="A50" s="177"/>
      <c r="B50" s="490" t="s">
        <v>523</v>
      </c>
      <c r="C50" s="492">
        <v>4.4999999999999998E-2</v>
      </c>
      <c r="D50" s="166">
        <f t="shared" ref="D50:N50" si="19">ROUNDDOWN(D29/$C$50,-3)</f>
        <v>65682000</v>
      </c>
      <c r="E50" s="166">
        <f t="shared" si="19"/>
        <v>113983000</v>
      </c>
      <c r="F50" s="166">
        <f t="shared" si="19"/>
        <v>117403000</v>
      </c>
      <c r="G50" s="166">
        <f t="shared" si="19"/>
        <v>120925000</v>
      </c>
      <c r="H50" s="166">
        <f t="shared" si="19"/>
        <v>124553000</v>
      </c>
      <c r="I50" s="166">
        <f t="shared" si="19"/>
        <v>128289000</v>
      </c>
      <c r="J50" s="166">
        <f t="shared" si="19"/>
        <v>132138000</v>
      </c>
      <c r="K50" s="166">
        <f t="shared" si="19"/>
        <v>136102000</v>
      </c>
      <c r="L50" s="166">
        <f t="shared" si="19"/>
        <v>140185000</v>
      </c>
      <c r="M50" s="166">
        <f t="shared" si="19"/>
        <v>144391000</v>
      </c>
      <c r="N50" s="166">
        <f t="shared" si="19"/>
        <v>148723000</v>
      </c>
      <c r="O50" s="150"/>
      <c r="Q50" s="207" t="str">
        <f>'HUD - Snapshot'!B19</f>
        <v>2BR/2BA</v>
      </c>
      <c r="R50" s="797">
        <v>45</v>
      </c>
      <c r="S50" s="798">
        <v>950</v>
      </c>
      <c r="T50" s="798">
        <v>1700</v>
      </c>
      <c r="U50" s="210">
        <f t="shared" si="17"/>
        <v>1.7894736842105263</v>
      </c>
      <c r="V50" s="211">
        <f t="shared" si="18"/>
        <v>76500</v>
      </c>
    </row>
    <row r="51" spans="1:22">
      <c r="B51" s="493" t="s">
        <v>521</v>
      </c>
      <c r="C51" s="494">
        <v>0.05</v>
      </c>
      <c r="D51" s="495">
        <f t="shared" ref="D51:N51" si="20">$C$51*D50</f>
        <v>3284100</v>
      </c>
      <c r="E51" s="495">
        <f t="shared" si="20"/>
        <v>5699150</v>
      </c>
      <c r="F51" s="495">
        <f t="shared" si="20"/>
        <v>5870150</v>
      </c>
      <c r="G51" s="495">
        <f t="shared" si="20"/>
        <v>6046250</v>
      </c>
      <c r="H51" s="495">
        <f t="shared" si="20"/>
        <v>6227650</v>
      </c>
      <c r="I51" s="495">
        <f t="shared" si="20"/>
        <v>6414450</v>
      </c>
      <c r="J51" s="495">
        <f t="shared" si="20"/>
        <v>6606900</v>
      </c>
      <c r="K51" s="495">
        <f t="shared" si="20"/>
        <v>6805100</v>
      </c>
      <c r="L51" s="495">
        <f t="shared" si="20"/>
        <v>7009250</v>
      </c>
      <c r="M51" s="495">
        <f t="shared" si="20"/>
        <v>7219550</v>
      </c>
      <c r="N51" s="495">
        <f t="shared" si="20"/>
        <v>7436150</v>
      </c>
      <c r="O51" s="150"/>
      <c r="Q51" s="207" t="str">
        <f>'HUD - Snapshot'!B20</f>
        <v>2BR/2BA</v>
      </c>
      <c r="R51" s="797">
        <v>30</v>
      </c>
      <c r="S51" s="798">
        <v>1000</v>
      </c>
      <c r="T51" s="798">
        <v>1800</v>
      </c>
      <c r="U51" s="210">
        <f t="shared" si="17"/>
        <v>1.8</v>
      </c>
      <c r="V51" s="211">
        <f t="shared" si="18"/>
        <v>54000</v>
      </c>
    </row>
    <row r="52" spans="1:22">
      <c r="B52" s="491" t="s">
        <v>522</v>
      </c>
      <c r="C52" s="491"/>
      <c r="D52" s="166">
        <f>D50-D51</f>
        <v>62397900</v>
      </c>
      <c r="E52" s="166">
        <f>E50-E51</f>
        <v>108283850</v>
      </c>
      <c r="F52" s="166">
        <f t="shared" ref="F52:M52" si="21">F50-F51</f>
        <v>111532850</v>
      </c>
      <c r="G52" s="166">
        <f t="shared" si="21"/>
        <v>114878750</v>
      </c>
      <c r="H52" s="166">
        <f t="shared" si="21"/>
        <v>118325350</v>
      </c>
      <c r="I52" s="166">
        <f t="shared" si="21"/>
        <v>121874550</v>
      </c>
      <c r="J52" s="166">
        <f t="shared" si="21"/>
        <v>125531100</v>
      </c>
      <c r="K52" s="166">
        <f t="shared" si="21"/>
        <v>129296900</v>
      </c>
      <c r="L52" s="166">
        <f t="shared" si="21"/>
        <v>133175750</v>
      </c>
      <c r="M52" s="166">
        <f t="shared" si="21"/>
        <v>137171450</v>
      </c>
      <c r="N52" s="166">
        <f>N50-N51</f>
        <v>141286850</v>
      </c>
      <c r="Q52" s="207" t="str">
        <f>'HUD - Snapshot'!B21</f>
        <v>3BR/2BA</v>
      </c>
      <c r="R52" s="797">
        <v>20</v>
      </c>
      <c r="S52" s="798">
        <v>1120</v>
      </c>
      <c r="T52" s="798">
        <v>1850</v>
      </c>
      <c r="U52" s="210">
        <f t="shared" si="17"/>
        <v>1.6517857142857142</v>
      </c>
      <c r="V52" s="211">
        <f t="shared" si="18"/>
        <v>37000</v>
      </c>
    </row>
    <row r="53" spans="1:22" ht="14" thickBot="1">
      <c r="Q53" s="207" t="str">
        <f>'HUD - Snapshot'!B22</f>
        <v>3BR/2BA T</v>
      </c>
      <c r="R53" s="797">
        <v>21</v>
      </c>
      <c r="S53" s="798">
        <v>1250</v>
      </c>
      <c r="T53" s="798">
        <v>2000</v>
      </c>
      <c r="U53" s="210">
        <f t="shared" si="17"/>
        <v>1.6</v>
      </c>
      <c r="V53" s="211">
        <f t="shared" si="18"/>
        <v>42000</v>
      </c>
    </row>
    <row r="54" spans="1:22" ht="14" thickBot="1">
      <c r="B54" s="491" t="s">
        <v>578</v>
      </c>
      <c r="C54" s="491"/>
      <c r="E54" s="151">
        <f ca="1">E52-SUM(E48)</f>
        <v>45867673.377519771</v>
      </c>
      <c r="F54" s="151">
        <f t="shared" ref="F54:N54" ca="1" si="22">F52-SUM(F48)</f>
        <v>49680910.353083186</v>
      </c>
      <c r="G54" s="151">
        <f t="shared" ca="1" si="22"/>
        <v>53619914.763171464</v>
      </c>
      <c r="H54" s="151">
        <f t="shared" ca="1" si="22"/>
        <v>57689963.520521894</v>
      </c>
      <c r="I54" s="151">
        <f t="shared" ca="1" si="22"/>
        <v>61894509.099530384</v>
      </c>
      <c r="J54" s="151">
        <f t="shared" ca="1" si="22"/>
        <v>66239933.402129345</v>
      </c>
      <c r="K54" s="151">
        <f t="shared" ca="1" si="22"/>
        <v>70729851.821451217</v>
      </c>
      <c r="L54" s="151">
        <f t="shared" ca="1" si="22"/>
        <v>75369867.51339674</v>
      </c>
      <c r="M54" s="151">
        <f t="shared" ca="1" si="22"/>
        <v>80165675.886744648</v>
      </c>
      <c r="N54" s="151">
        <f t="shared" ca="1" si="22"/>
        <v>85122119.322984099</v>
      </c>
      <c r="Q54" s="212" t="s">
        <v>22</v>
      </c>
      <c r="R54" s="213">
        <f>SUM(R47:R53)</f>
        <v>320</v>
      </c>
      <c r="S54" s="214">
        <f>SUMPRODUCT($R$47:$R$53,S47:S53)</f>
        <v>277690</v>
      </c>
      <c r="T54" s="214">
        <f>SUMPRODUCT($R$47:$R$53,T47:T53)/$R$54</f>
        <v>1752.1875</v>
      </c>
      <c r="U54" s="215">
        <f>SUMPRODUCT($R$47:$R$53,U47:U53)/$R$54</f>
        <v>2.0643580117754725</v>
      </c>
      <c r="V54" s="216">
        <f t="shared" si="18"/>
        <v>560700</v>
      </c>
    </row>
    <row r="55" spans="1:22">
      <c r="Q55" s="150" t="s">
        <v>745</v>
      </c>
    </row>
    <row r="56" spans="1:22">
      <c r="Q56" s="151"/>
    </row>
    <row r="57" spans="1:22" ht="14">
      <c r="B57" s="565" t="s">
        <v>580</v>
      </c>
      <c r="C57" s="566"/>
      <c r="D57" s="566"/>
      <c r="E57" s="566"/>
      <c r="F57" s="566"/>
      <c r="G57" s="566"/>
      <c r="H57" s="566"/>
      <c r="I57" s="566"/>
      <c r="J57" s="566"/>
      <c r="K57" s="566"/>
      <c r="L57" s="566"/>
      <c r="M57" s="566"/>
      <c r="N57" s="570" t="s">
        <v>579</v>
      </c>
      <c r="Q57" s="151"/>
    </row>
    <row r="58" spans="1:22">
      <c r="B58" s="382" t="s">
        <v>527</v>
      </c>
      <c r="C58" s="175">
        <f ca="1">-'New Snapshot'!G46-D58</f>
        <v>-20226330.846432306</v>
      </c>
      <c r="D58" s="496">
        <f t="shared" ref="D58:M58" ca="1" si="23">D41</f>
        <v>-963531.55715732451</v>
      </c>
      <c r="E58" s="496">
        <f t="shared" ca="1" si="23"/>
        <v>1145499.3689596155</v>
      </c>
      <c r="F58" s="496">
        <f t="shared" ca="1" si="23"/>
        <v>1296107.612102469</v>
      </c>
      <c r="G58" s="496">
        <f t="shared" ca="1" si="23"/>
        <v>1451263.1603708859</v>
      </c>
      <c r="H58" s="496">
        <f t="shared" ca="1" si="23"/>
        <v>1611103.9195724323</v>
      </c>
      <c r="I58" s="496">
        <f t="shared" ca="1" si="23"/>
        <v>1775772.0087489281</v>
      </c>
      <c r="J58" s="496">
        <f t="shared" ca="1" si="23"/>
        <v>1945413.8904648554</v>
      </c>
      <c r="K58" s="496">
        <f t="shared" ca="1" si="23"/>
        <v>2120180.5052034925</v>
      </c>
      <c r="L58" s="496">
        <f t="shared" ca="1" si="23"/>
        <v>2300227.4100042428</v>
      </c>
      <c r="M58" s="496">
        <f t="shared" ca="1" si="23"/>
        <v>2485714.9214790175</v>
      </c>
      <c r="N58" s="544">
        <f ca="1">N41+N54</f>
        <v>87798927.586334482</v>
      </c>
      <c r="Q58" s="151"/>
    </row>
    <row r="59" spans="1:22" ht="15">
      <c r="B59" s="545" t="s">
        <v>525</v>
      </c>
      <c r="C59" s="498">
        <f ca="1">XIRR(C58:N58,C8:N8)</f>
        <v>0.17429086565971375</v>
      </c>
      <c r="D59" s="175"/>
      <c r="E59" s="166"/>
      <c r="F59" s="166"/>
      <c r="G59" s="166"/>
      <c r="H59" s="166"/>
      <c r="I59" s="166"/>
      <c r="J59" s="166"/>
      <c r="K59" s="166"/>
      <c r="L59" s="166"/>
      <c r="M59" s="166"/>
      <c r="N59" s="546"/>
      <c r="Q59"/>
      <c r="R59"/>
      <c r="S59"/>
      <c r="T59"/>
      <c r="U59"/>
      <c r="V59"/>
    </row>
    <row r="60" spans="1:22" ht="15">
      <c r="B60" s="547" t="s">
        <v>526</v>
      </c>
      <c r="C60" s="548">
        <f ca="1">SUM(E58:N58)/-SUM(C58:D58)</f>
        <v>4.904713792083629</v>
      </c>
      <c r="D60" s="405"/>
      <c r="E60" s="405"/>
      <c r="F60" s="405"/>
      <c r="G60" s="405"/>
      <c r="H60" s="405"/>
      <c r="I60" s="405"/>
      <c r="J60" s="405"/>
      <c r="K60" s="405"/>
      <c r="L60" s="405"/>
      <c r="M60" s="405"/>
      <c r="N60" s="549"/>
      <c r="Q60"/>
      <c r="R60"/>
      <c r="S60"/>
      <c r="T60"/>
      <c r="U60"/>
      <c r="V60"/>
    </row>
    <row r="61" spans="1:22" ht="15">
      <c r="Q61"/>
      <c r="R61"/>
      <c r="S61"/>
      <c r="T61"/>
      <c r="U61"/>
      <c r="V61"/>
    </row>
    <row r="62" spans="1:22" ht="15">
      <c r="Q62"/>
      <c r="R62"/>
      <c r="S62"/>
      <c r="T62"/>
      <c r="U62"/>
      <c r="V62"/>
    </row>
    <row r="63" spans="1:22" ht="15">
      <c r="B63" s="567" t="s">
        <v>585</v>
      </c>
      <c r="C63" s="568"/>
      <c r="D63" s="569"/>
      <c r="E63" s="569"/>
      <c r="F63" s="569"/>
      <c r="G63" s="569"/>
      <c r="H63" s="569"/>
      <c r="I63" s="569"/>
      <c r="J63" s="569"/>
      <c r="K63" s="569"/>
      <c r="L63" s="569"/>
      <c r="M63" s="569"/>
      <c r="N63" s="569"/>
      <c r="Q63"/>
      <c r="R63"/>
      <c r="S63"/>
      <c r="T63"/>
      <c r="U63"/>
      <c r="V63"/>
    </row>
    <row r="64" spans="1:22" ht="15">
      <c r="B64" s="179" t="s">
        <v>99</v>
      </c>
      <c r="C64" s="179">
        <v>0</v>
      </c>
      <c r="D64" s="179">
        <f t="shared" ref="D64:N64" si="24">C64+1</f>
        <v>1</v>
      </c>
      <c r="E64" s="179">
        <f t="shared" si="24"/>
        <v>2</v>
      </c>
      <c r="F64" s="179">
        <f t="shared" si="24"/>
        <v>3</v>
      </c>
      <c r="G64" s="179">
        <f t="shared" si="24"/>
        <v>4</v>
      </c>
      <c r="H64" s="179">
        <f t="shared" si="24"/>
        <v>5</v>
      </c>
      <c r="I64" s="179">
        <f t="shared" si="24"/>
        <v>6</v>
      </c>
      <c r="J64" s="179">
        <f t="shared" si="24"/>
        <v>7</v>
      </c>
      <c r="K64" s="179">
        <f t="shared" si="24"/>
        <v>8</v>
      </c>
      <c r="L64" s="179">
        <f t="shared" si="24"/>
        <v>9</v>
      </c>
      <c r="M64" s="179">
        <f t="shared" si="24"/>
        <v>10</v>
      </c>
      <c r="N64" s="179">
        <f t="shared" si="24"/>
        <v>11</v>
      </c>
      <c r="Q64"/>
      <c r="R64"/>
      <c r="S64"/>
      <c r="T64"/>
      <c r="U64"/>
      <c r="V64"/>
    </row>
    <row r="65" spans="2:22 16384:16384" ht="15">
      <c r="B65" s="559">
        <v>0</v>
      </c>
      <c r="C65" s="556">
        <f ca="1">C58</f>
        <v>-20226330.846432306</v>
      </c>
      <c r="D65" s="557">
        <f ca="1">C65</f>
        <v>-20226330.846432306</v>
      </c>
      <c r="E65" s="557">
        <f t="shared" ref="E65:N66" ca="1" si="25">D65</f>
        <v>-20226330.846432306</v>
      </c>
      <c r="F65" s="557">
        <f t="shared" ca="1" si="25"/>
        <v>-20226330.846432306</v>
      </c>
      <c r="G65" s="557">
        <f t="shared" ca="1" si="25"/>
        <v>-20226330.846432306</v>
      </c>
      <c r="H65" s="557">
        <f t="shared" ca="1" si="25"/>
        <v>-20226330.846432306</v>
      </c>
      <c r="I65" s="557">
        <f t="shared" ca="1" si="25"/>
        <v>-20226330.846432306</v>
      </c>
      <c r="J65" s="557">
        <f t="shared" ca="1" si="25"/>
        <v>-20226330.846432306</v>
      </c>
      <c r="K65" s="557">
        <f t="shared" ca="1" si="25"/>
        <v>-20226330.846432306</v>
      </c>
      <c r="L65" s="557">
        <f t="shared" ca="1" si="25"/>
        <v>-20226330.846432306</v>
      </c>
      <c r="M65" s="557">
        <f t="shared" ca="1" si="25"/>
        <v>-20226330.846432306</v>
      </c>
      <c r="N65" s="557">
        <f t="shared" ca="1" si="25"/>
        <v>-20226330.846432306</v>
      </c>
      <c r="Q65"/>
      <c r="R65"/>
      <c r="S65"/>
      <c r="T65"/>
      <c r="U65"/>
      <c r="V65"/>
      <c r="XFD65" s="151">
        <f>XFC65+1</f>
        <v>1</v>
      </c>
    </row>
    <row r="66" spans="2:22 16384:16384" ht="15">
      <c r="B66" s="559">
        <f>B65+1</f>
        <v>1</v>
      </c>
      <c r="C66" s="554"/>
      <c r="D66" s="557">
        <f ca="1">D58</f>
        <v>-963531.55715732451</v>
      </c>
      <c r="E66" s="557">
        <f t="shared" ca="1" si="25"/>
        <v>-963531.55715732451</v>
      </c>
      <c r="F66" s="557">
        <f t="shared" ca="1" si="25"/>
        <v>-963531.55715732451</v>
      </c>
      <c r="G66" s="557">
        <f t="shared" ca="1" si="25"/>
        <v>-963531.55715732451</v>
      </c>
      <c r="H66" s="557">
        <f t="shared" ca="1" si="25"/>
        <v>-963531.55715732451</v>
      </c>
      <c r="I66" s="557">
        <f t="shared" ca="1" si="25"/>
        <v>-963531.55715732451</v>
      </c>
      <c r="J66" s="557">
        <f t="shared" ca="1" si="25"/>
        <v>-963531.55715732451</v>
      </c>
      <c r="K66" s="557">
        <f t="shared" ca="1" si="25"/>
        <v>-963531.55715732451</v>
      </c>
      <c r="L66" s="557">
        <f t="shared" ca="1" si="25"/>
        <v>-963531.55715732451</v>
      </c>
      <c r="M66" s="557">
        <f t="shared" ca="1" si="25"/>
        <v>-963531.55715732451</v>
      </c>
      <c r="N66" s="557">
        <f t="shared" ca="1" si="25"/>
        <v>-963531.55715732451</v>
      </c>
      <c r="Q66"/>
      <c r="R66"/>
      <c r="S66"/>
      <c r="T66"/>
      <c r="U66"/>
      <c r="V66"/>
    </row>
    <row r="67" spans="2:22 16384:16384" ht="15">
      <c r="B67" s="559">
        <f t="shared" ref="B67:B76" si="26">B66+1</f>
        <v>2</v>
      </c>
      <c r="C67" s="554"/>
      <c r="D67" s="557"/>
      <c r="E67" s="557">
        <f ca="1">E58+E54</f>
        <v>47013172.746479385</v>
      </c>
      <c r="F67" s="557">
        <f t="shared" ref="F67:N67" ca="1" si="27">$E$58</f>
        <v>1145499.3689596155</v>
      </c>
      <c r="G67" s="557">
        <f t="shared" ca="1" si="27"/>
        <v>1145499.3689596155</v>
      </c>
      <c r="H67" s="557">
        <f t="shared" ca="1" si="27"/>
        <v>1145499.3689596155</v>
      </c>
      <c r="I67" s="557">
        <f t="shared" ca="1" si="27"/>
        <v>1145499.3689596155</v>
      </c>
      <c r="J67" s="557">
        <f t="shared" ca="1" si="27"/>
        <v>1145499.3689596155</v>
      </c>
      <c r="K67" s="557">
        <f t="shared" ca="1" si="27"/>
        <v>1145499.3689596155</v>
      </c>
      <c r="L67" s="557">
        <f t="shared" ca="1" si="27"/>
        <v>1145499.3689596155</v>
      </c>
      <c r="M67" s="557">
        <f t="shared" ca="1" si="27"/>
        <v>1145499.3689596155</v>
      </c>
      <c r="N67" s="557">
        <f t="shared" ca="1" si="27"/>
        <v>1145499.3689596155</v>
      </c>
      <c r="Q67"/>
      <c r="R67"/>
      <c r="S67"/>
      <c r="T67"/>
      <c r="U67"/>
      <c r="V67"/>
    </row>
    <row r="68" spans="2:22 16384:16384" ht="15">
      <c r="B68" s="559">
        <f t="shared" si="26"/>
        <v>3</v>
      </c>
      <c r="C68" s="554"/>
      <c r="D68" s="557"/>
      <c r="E68" s="557"/>
      <c r="F68" s="557">
        <f ca="1">F58+F54</f>
        <v>50977017.965185657</v>
      </c>
      <c r="G68" s="557">
        <f t="shared" ref="G68:N68" ca="1" si="28">$F$58</f>
        <v>1296107.612102469</v>
      </c>
      <c r="H68" s="557">
        <f t="shared" ca="1" si="28"/>
        <v>1296107.612102469</v>
      </c>
      <c r="I68" s="557">
        <f t="shared" ca="1" si="28"/>
        <v>1296107.612102469</v>
      </c>
      <c r="J68" s="557">
        <f t="shared" ca="1" si="28"/>
        <v>1296107.612102469</v>
      </c>
      <c r="K68" s="557">
        <f t="shared" ca="1" si="28"/>
        <v>1296107.612102469</v>
      </c>
      <c r="L68" s="557">
        <f t="shared" ca="1" si="28"/>
        <v>1296107.612102469</v>
      </c>
      <c r="M68" s="557">
        <f t="shared" ca="1" si="28"/>
        <v>1296107.612102469</v>
      </c>
      <c r="N68" s="557">
        <f t="shared" ca="1" si="28"/>
        <v>1296107.612102469</v>
      </c>
      <c r="Q68"/>
      <c r="R68"/>
      <c r="S68"/>
      <c r="T68"/>
      <c r="U68"/>
      <c r="V68"/>
    </row>
    <row r="69" spans="2:22 16384:16384" ht="15">
      <c r="B69" s="559">
        <f t="shared" si="26"/>
        <v>4</v>
      </c>
      <c r="C69" s="554"/>
      <c r="D69" s="557"/>
      <c r="E69" s="557"/>
      <c r="F69" s="557"/>
      <c r="G69" s="557">
        <f ca="1">G58+G54</f>
        <v>55071177.923542351</v>
      </c>
      <c r="H69" s="557">
        <f t="shared" ref="H69:N69" ca="1" si="29">$G$58</f>
        <v>1451263.1603708859</v>
      </c>
      <c r="I69" s="557">
        <f t="shared" ca="1" si="29"/>
        <v>1451263.1603708859</v>
      </c>
      <c r="J69" s="557">
        <f t="shared" ca="1" si="29"/>
        <v>1451263.1603708859</v>
      </c>
      <c r="K69" s="557">
        <f t="shared" ca="1" si="29"/>
        <v>1451263.1603708859</v>
      </c>
      <c r="L69" s="557">
        <f t="shared" ca="1" si="29"/>
        <v>1451263.1603708859</v>
      </c>
      <c r="M69" s="557">
        <f t="shared" ca="1" si="29"/>
        <v>1451263.1603708859</v>
      </c>
      <c r="N69" s="557">
        <f t="shared" ca="1" si="29"/>
        <v>1451263.1603708859</v>
      </c>
      <c r="Q69"/>
      <c r="R69"/>
      <c r="S69"/>
      <c r="T69"/>
      <c r="U69"/>
      <c r="V69"/>
    </row>
    <row r="70" spans="2:22 16384:16384" ht="15">
      <c r="B70" s="559">
        <f t="shared" si="26"/>
        <v>5</v>
      </c>
      <c r="C70" s="554"/>
      <c r="D70" s="557"/>
      <c r="E70" s="557"/>
      <c r="F70" s="557"/>
      <c r="G70" s="557"/>
      <c r="H70" s="557">
        <f ca="1">H58+H54</f>
        <v>59301067.440094329</v>
      </c>
      <c r="I70" s="557">
        <f t="shared" ref="I70:N70" ca="1" si="30">$H$58</f>
        <v>1611103.9195724323</v>
      </c>
      <c r="J70" s="557">
        <f t="shared" ca="1" si="30"/>
        <v>1611103.9195724323</v>
      </c>
      <c r="K70" s="557">
        <f t="shared" ca="1" si="30"/>
        <v>1611103.9195724323</v>
      </c>
      <c r="L70" s="557">
        <f t="shared" ca="1" si="30"/>
        <v>1611103.9195724323</v>
      </c>
      <c r="M70" s="557">
        <f t="shared" ca="1" si="30"/>
        <v>1611103.9195724323</v>
      </c>
      <c r="N70" s="557">
        <f t="shared" ca="1" si="30"/>
        <v>1611103.9195724323</v>
      </c>
      <c r="Q70"/>
      <c r="R70"/>
      <c r="S70"/>
      <c r="T70"/>
      <c r="U70"/>
      <c r="V70"/>
    </row>
    <row r="71" spans="2:22 16384:16384" ht="15">
      <c r="B71" s="559">
        <f t="shared" si="26"/>
        <v>6</v>
      </c>
      <c r="C71" s="554"/>
      <c r="D71" s="557"/>
      <c r="E71" s="557"/>
      <c r="F71" s="557"/>
      <c r="G71" s="557"/>
      <c r="H71" s="557"/>
      <c r="I71" s="557">
        <f ca="1">I58+I54</f>
        <v>63670281.10827931</v>
      </c>
      <c r="J71" s="557">
        <f ca="1">$I$58</f>
        <v>1775772.0087489281</v>
      </c>
      <c r="K71" s="557">
        <f ca="1">$I$58</f>
        <v>1775772.0087489281</v>
      </c>
      <c r="L71" s="557">
        <f ca="1">$I$58</f>
        <v>1775772.0087489281</v>
      </c>
      <c r="M71" s="557">
        <f ca="1">$I$58</f>
        <v>1775772.0087489281</v>
      </c>
      <c r="N71" s="557">
        <f ca="1">$I$58</f>
        <v>1775772.0087489281</v>
      </c>
      <c r="Q71"/>
      <c r="R71"/>
      <c r="S71"/>
      <c r="T71"/>
      <c r="U71"/>
      <c r="V71"/>
    </row>
    <row r="72" spans="2:22 16384:16384" ht="15">
      <c r="B72" s="559">
        <f t="shared" si="26"/>
        <v>7</v>
      </c>
      <c r="C72" s="554"/>
      <c r="D72" s="557"/>
      <c r="E72" s="557"/>
      <c r="F72" s="557"/>
      <c r="G72" s="557"/>
      <c r="H72" s="557"/>
      <c r="I72" s="557"/>
      <c r="J72" s="557">
        <f ca="1">J58+J54</f>
        <v>68185347.292594194</v>
      </c>
      <c r="K72" s="557">
        <f ca="1">$J$58</f>
        <v>1945413.8904648554</v>
      </c>
      <c r="L72" s="557">
        <f ca="1">$J$58</f>
        <v>1945413.8904648554</v>
      </c>
      <c r="M72" s="557">
        <f ca="1">$J$58</f>
        <v>1945413.8904648554</v>
      </c>
      <c r="N72" s="557">
        <f ca="1">$J$58</f>
        <v>1945413.8904648554</v>
      </c>
      <c r="Q72"/>
      <c r="R72"/>
      <c r="S72"/>
      <c r="T72"/>
      <c r="U72"/>
      <c r="V72"/>
    </row>
    <row r="73" spans="2:22 16384:16384">
      <c r="B73" s="559">
        <f t="shared" si="26"/>
        <v>8</v>
      </c>
      <c r="C73" s="554"/>
      <c r="D73" s="557"/>
      <c r="E73" s="557"/>
      <c r="F73" s="557"/>
      <c r="G73" s="557"/>
      <c r="H73" s="557"/>
      <c r="I73" s="557"/>
      <c r="J73" s="557"/>
      <c r="K73" s="557">
        <f ca="1">K58+K54</f>
        <v>72850032.326654702</v>
      </c>
      <c r="L73" s="557">
        <f ca="1">$K$58</f>
        <v>2120180.5052034925</v>
      </c>
      <c r="M73" s="557">
        <f ca="1">$K$58</f>
        <v>2120180.5052034925</v>
      </c>
      <c r="N73" s="557">
        <f ca="1">$K$58</f>
        <v>2120180.5052034925</v>
      </c>
    </row>
    <row r="74" spans="2:22 16384:16384">
      <c r="B74" s="559">
        <f t="shared" si="26"/>
        <v>9</v>
      </c>
      <c r="C74" s="554"/>
      <c r="D74" s="557"/>
      <c r="E74" s="557"/>
      <c r="F74" s="557"/>
      <c r="G74" s="557"/>
      <c r="H74" s="557"/>
      <c r="I74" s="557"/>
      <c r="J74" s="557"/>
      <c r="K74" s="557"/>
      <c r="L74" s="557">
        <f ca="1">L58+L54</f>
        <v>77670094.923400983</v>
      </c>
      <c r="M74" s="557">
        <f ca="1">$L$58</f>
        <v>2300227.4100042428</v>
      </c>
      <c r="N74" s="557">
        <f ca="1">$L$58</f>
        <v>2300227.4100042428</v>
      </c>
    </row>
    <row r="75" spans="2:22 16384:16384">
      <c r="B75" s="559">
        <f t="shared" si="26"/>
        <v>10</v>
      </c>
      <c r="C75" s="554"/>
      <c r="D75" s="557"/>
      <c r="E75" s="557"/>
      <c r="F75" s="557"/>
      <c r="G75" s="557"/>
      <c r="H75" s="557"/>
      <c r="I75" s="557"/>
      <c r="J75" s="557"/>
      <c r="K75" s="557"/>
      <c r="L75" s="557"/>
      <c r="M75" s="557">
        <f ca="1">M58+M54</f>
        <v>82651390.808223665</v>
      </c>
      <c r="N75" s="557">
        <f ca="1">$M$58</f>
        <v>2485714.9214790175</v>
      </c>
    </row>
    <row r="76" spans="2:22 16384:16384">
      <c r="B76" s="560">
        <f t="shared" si="26"/>
        <v>11</v>
      </c>
      <c r="C76" s="555"/>
      <c r="D76" s="558"/>
      <c r="E76" s="558"/>
      <c r="F76" s="558"/>
      <c r="G76" s="558"/>
      <c r="H76" s="558"/>
      <c r="I76" s="558"/>
      <c r="J76" s="558"/>
      <c r="K76" s="558"/>
      <c r="L76" s="558"/>
      <c r="M76" s="558"/>
      <c r="N76" s="558">
        <f ca="1">N41+N54</f>
        <v>87798927.586334482</v>
      </c>
    </row>
    <row r="77" spans="2:22 16384:16384">
      <c r="B77" s="561" t="s">
        <v>525</v>
      </c>
      <c r="C77" s="561"/>
      <c r="D77" s="562"/>
      <c r="E77" s="563">
        <f ca="1">IRR(E65:E76)</f>
        <v>0.50095084878876572</v>
      </c>
      <c r="F77" s="563">
        <f t="shared" ref="F77:N77" ca="1" si="31">IRR(F65:F76)</f>
        <v>0.35889366427388314</v>
      </c>
      <c r="G77" s="563">
        <f t="shared" ca="1" si="31"/>
        <v>0.29325687052056892</v>
      </c>
      <c r="H77" s="563">
        <f t="shared" ca="1" si="31"/>
        <v>0.25527176594022927</v>
      </c>
      <c r="I77" s="563">
        <f t="shared" ca="1" si="31"/>
        <v>0.23038526535613291</v>
      </c>
      <c r="J77" s="563">
        <f t="shared" ca="1" si="31"/>
        <v>0.21275118974781781</v>
      </c>
      <c r="K77" s="563">
        <f t="shared" ca="1" si="31"/>
        <v>0.19955727922227728</v>
      </c>
      <c r="L77" s="563">
        <f t="shared" ca="1" si="31"/>
        <v>0.18928829496094157</v>
      </c>
      <c r="M77" s="563">
        <f t="shared" ca="1" si="31"/>
        <v>0.18105289142320991</v>
      </c>
      <c r="N77" s="563">
        <f t="shared" ca="1" si="31"/>
        <v>0.17429086863566856</v>
      </c>
    </row>
    <row r="78" spans="2:22 16384:16384">
      <c r="B78" s="561" t="s">
        <v>526</v>
      </c>
      <c r="C78" s="561"/>
      <c r="D78" s="562"/>
      <c r="E78" s="564">
        <f ca="1">SUMIF(E65:E76,"&gt;0")/-SUMIF(E65:E76,"&lt;0")</f>
        <v>2.21866342739985</v>
      </c>
      <c r="F78" s="564">
        <f t="shared" ref="F78:N78" ca="1" si="32">SUMIF(F65:F76,"&gt;0")/-SUMIF(F65:F76,"&lt;0")</f>
        <v>2.4597855494009981</v>
      </c>
      <c r="G78" s="564">
        <f t="shared" ca="1" si="32"/>
        <v>2.7141650950438256</v>
      </c>
      <c r="H78" s="564">
        <f t="shared" ca="1" si="32"/>
        <v>2.9822722006360007</v>
      </c>
      <c r="I78" s="564">
        <f t="shared" ca="1" si="32"/>
        <v>3.2644976098365972</v>
      </c>
      <c r="J78" s="564">
        <f t="shared" ca="1" si="32"/>
        <v>3.561377224873556</v>
      </c>
      <c r="K78" s="564">
        <f t="shared" ca="1" si="32"/>
        <v>3.8733235130856771</v>
      </c>
      <c r="L78" s="564">
        <f t="shared" ca="1" si="32"/>
        <v>4.2008500901706736</v>
      </c>
      <c r="M78" s="564">
        <f t="shared" ca="1" si="32"/>
        <v>4.5444824911811406</v>
      </c>
      <c r="N78" s="564">
        <f t="shared" ca="1" si="32"/>
        <v>4.904713792083629</v>
      </c>
    </row>
    <row r="79" spans="2:22 16384:16384">
      <c r="B79" s="174"/>
      <c r="C79" s="174"/>
      <c r="D79" s="225"/>
      <c r="E79" s="803"/>
      <c r="F79" s="803"/>
      <c r="G79" s="803"/>
      <c r="H79" s="803"/>
      <c r="I79" s="803"/>
      <c r="J79" s="803"/>
      <c r="K79" s="803"/>
      <c r="L79" s="803"/>
      <c r="M79" s="803"/>
      <c r="N79" s="803"/>
    </row>
    <row r="81" spans="1:14" ht="14">
      <c r="B81" s="565" t="s">
        <v>600</v>
      </c>
      <c r="C81" s="818" t="str">
        <f>IF(C64=$C$84,"exit","")</f>
        <v/>
      </c>
      <c r="D81" s="818" t="str">
        <f t="shared" ref="D81:N81" si="33">IF(D64=$C$84,"exit","")</f>
        <v/>
      </c>
      <c r="E81" s="818" t="str">
        <f t="shared" si="33"/>
        <v/>
      </c>
      <c r="F81" s="818" t="str">
        <f t="shared" si="33"/>
        <v/>
      </c>
      <c r="G81" s="818" t="str">
        <f t="shared" si="33"/>
        <v/>
      </c>
      <c r="H81" s="818" t="str">
        <f t="shared" si="33"/>
        <v>exit</v>
      </c>
      <c r="I81" s="818" t="str">
        <f t="shared" si="33"/>
        <v/>
      </c>
      <c r="J81" s="818" t="str">
        <f t="shared" si="33"/>
        <v/>
      </c>
      <c r="K81" s="818" t="str">
        <f t="shared" si="33"/>
        <v/>
      </c>
      <c r="L81" s="818" t="str">
        <f t="shared" si="33"/>
        <v/>
      </c>
      <c r="M81" s="818" t="str">
        <f t="shared" si="33"/>
        <v/>
      </c>
      <c r="N81" s="844" t="str">
        <f t="shared" si="33"/>
        <v/>
      </c>
    </row>
    <row r="82" spans="1:14">
      <c r="B82" s="870" t="s">
        <v>99</v>
      </c>
      <c r="C82" s="179">
        <v>0</v>
      </c>
      <c r="D82" s="179">
        <f t="shared" ref="D82:N82" si="34">C82+1</f>
        <v>1</v>
      </c>
      <c r="E82" s="179">
        <f t="shared" si="34"/>
        <v>2</v>
      </c>
      <c r="F82" s="179">
        <f t="shared" si="34"/>
        <v>3</v>
      </c>
      <c r="G82" s="179">
        <f t="shared" si="34"/>
        <v>4</v>
      </c>
      <c r="H82" s="179">
        <f t="shared" si="34"/>
        <v>5</v>
      </c>
      <c r="I82" s="179">
        <f t="shared" si="34"/>
        <v>6</v>
      </c>
      <c r="J82" s="179">
        <f t="shared" si="34"/>
        <v>7</v>
      </c>
      <c r="K82" s="179">
        <f t="shared" si="34"/>
        <v>8</v>
      </c>
      <c r="L82" s="179">
        <f t="shared" si="34"/>
        <v>9</v>
      </c>
      <c r="M82" s="179">
        <f t="shared" si="34"/>
        <v>10</v>
      </c>
      <c r="N82" s="871">
        <f t="shared" si="34"/>
        <v>11</v>
      </c>
    </row>
    <row r="83" spans="1:14">
      <c r="B83" s="382"/>
      <c r="C83" s="177"/>
      <c r="D83" s="175"/>
      <c r="E83" s="175"/>
      <c r="F83" s="175"/>
      <c r="G83" s="175"/>
      <c r="H83" s="175"/>
      <c r="I83" s="175"/>
      <c r="J83" s="175"/>
      <c r="K83" s="175"/>
      <c r="L83" s="175"/>
      <c r="M83" s="175"/>
      <c r="N83" s="773"/>
    </row>
    <row r="84" spans="1:14">
      <c r="B84" s="382" t="s">
        <v>744</v>
      </c>
      <c r="C84" s="885">
        <v>5</v>
      </c>
      <c r="D84" s="175"/>
      <c r="E84" s="175"/>
      <c r="F84" s="175"/>
      <c r="G84" s="175"/>
      <c r="H84" s="175"/>
      <c r="I84" s="175"/>
      <c r="J84" s="175"/>
      <c r="K84" s="175"/>
      <c r="L84" s="175"/>
      <c r="M84" s="175"/>
      <c r="N84" s="773"/>
    </row>
    <row r="85" spans="1:14">
      <c r="B85" s="382"/>
      <c r="C85" s="177"/>
      <c r="D85" s="175"/>
      <c r="E85" s="175"/>
      <c r="F85" s="175"/>
      <c r="G85" s="175"/>
      <c r="H85" s="175"/>
      <c r="I85" s="175"/>
      <c r="J85" s="175"/>
      <c r="K85" s="175"/>
      <c r="L85" s="175"/>
      <c r="M85" s="175"/>
      <c r="N85" s="773"/>
    </row>
    <row r="86" spans="1:14">
      <c r="B86" s="814" t="s">
        <v>729</v>
      </c>
      <c r="C86" s="815" cm="1">
        <f t="array" aca="1" ref="C86" ca="1">IF(C64&lt;$C$84,INDEX($C$65:$N$76,C64+1,C64+1),IF(C64=$C$84,INDEX($C$65:$N$76,C64+1,C64+1),0))</f>
        <v>-20226330.846432306</v>
      </c>
      <c r="D86" s="815" cm="1">
        <f t="array" aca="1" ref="D86" ca="1">IF(D64&lt;$C$84,INDEX($C$65:$N$76,D64+1,D64+1),IF(D64=$C$84,INDEX($C$65:$N$76,D64+1,D64+1),0))</f>
        <v>-963531.55715732451</v>
      </c>
      <c r="E86" s="815" cm="1">
        <f t="array" aca="1" ref="E86" ca="1">IF(E64&lt;$C$84,INDEX($C$65:$N$76,E64+1,E64+2),IF(E64=$C$84,INDEX($C$65:$N$76,E64+1,E64+1),0))</f>
        <v>1145499.3689596155</v>
      </c>
      <c r="F86" s="815" cm="1">
        <f t="array" aca="1" ref="F86" ca="1">IF(F64&lt;$C$84,INDEX($C$65:$N$76,F64+1,F64+2),IF(F64=$C$84,INDEX($C$65:$N$76,F64+1,F64+1),0))</f>
        <v>1296107.612102469</v>
      </c>
      <c r="G86" s="815" cm="1">
        <f t="array" aca="1" ref="G86" ca="1">IF(G64&lt;$C$84,INDEX($C$65:$N$76,G64+1,G64+2),IF(G64=$C$84,INDEX($C$65:$N$76,G64+1,G64+1),0))</f>
        <v>1451263.1603708859</v>
      </c>
      <c r="H86" s="815" cm="1">
        <f t="array" aca="1" ref="H86" ca="1">IF(H64&lt;$C$84,INDEX($C$65:$N$76,H64+1,H64+2),IF(H64=$C$84,INDEX($C$65:$N$76,H64+1,H64+1),0))</f>
        <v>59301067.440094329</v>
      </c>
      <c r="I86" s="815" cm="1">
        <f t="array" ref="I86">IF(I64&lt;$C$84,INDEX($C$65:$N$76,I64+1,I64+2),IF(I64=$C$84,INDEX($C$65:$N$76,I64+1,I64+1),0))</f>
        <v>0</v>
      </c>
      <c r="J86" s="815" cm="1">
        <f t="array" ref="J86">IF(J64&lt;$C$84,INDEX($C$65:$N$76,J64+1,J64+2),IF(J64=$C$84,INDEX($C$65:$N$76,J64+1,J64+1),0))</f>
        <v>0</v>
      </c>
      <c r="K86" s="815" cm="1">
        <f t="array" ref="K86">IF(K64&lt;$C$84,INDEX($C$65:$N$76,K64+1,K64+2),IF(K64=$C$84,INDEX($C$65:$N$76,K64+1,K64+1),0))</f>
        <v>0</v>
      </c>
      <c r="L86" s="815" cm="1">
        <f t="array" ref="L86">IF(L64&lt;$C$84,INDEX($C$65:$N$76,L64+1,L64+2),IF(L64=$C$84,INDEX($C$65:$N$76,L64+1,L64+1),0))</f>
        <v>0</v>
      </c>
      <c r="M86" s="815" cm="1">
        <f t="array" ref="M86">IF(M64&lt;$C$84,INDEX($C$65:$N$76,M64+1,M64+2),IF(M64=$C$84,INDEX($C$65:$N$76,M64+1,M64+1),0))</f>
        <v>0</v>
      </c>
      <c r="N86" s="816" cm="1">
        <f t="array" ref="N86">IF(N64&lt;$C$84,INDEX($C$65:$N$76,N64+1,N64+2),IF(N64=$C$84,INDEX($C$65:$N$76,N64+1,N64+1),0))</f>
        <v>0</v>
      </c>
    </row>
    <row r="87" spans="1:14">
      <c r="B87" s="863" t="s">
        <v>525</v>
      </c>
      <c r="C87" s="872">
        <f ca="1">IRR(C86:N86)</f>
        <v>0.25527176594022927</v>
      </c>
      <c r="D87" s="867"/>
      <c r="E87" s="867"/>
      <c r="F87" s="867"/>
      <c r="G87" s="867"/>
      <c r="H87" s="867"/>
      <c r="I87" s="867"/>
      <c r="J87" s="867"/>
      <c r="K87" s="867"/>
      <c r="L87" s="867"/>
      <c r="M87" s="867"/>
      <c r="N87" s="868"/>
    </row>
    <row r="88" spans="1:14" ht="14" customHeight="1">
      <c r="B88" s="863" t="s">
        <v>526</v>
      </c>
      <c r="C88" s="866">
        <f ca="1">SUMIF(C86:N86,"&gt;0",C86:N86)/-SUMIF(C86:N86,"&lt;0",C86:N86)</f>
        <v>2.9822722006360007</v>
      </c>
      <c r="D88" s="867"/>
      <c r="E88" s="867"/>
      <c r="F88" s="867"/>
      <c r="G88" s="867"/>
      <c r="H88" s="867"/>
      <c r="I88" s="867"/>
      <c r="J88" s="867"/>
      <c r="K88" s="867"/>
      <c r="L88" s="867"/>
      <c r="M88" s="867"/>
      <c r="N88" s="868"/>
    </row>
    <row r="89" spans="1:14" outlineLevel="1">
      <c r="B89" s="863"/>
      <c r="C89" s="866"/>
      <c r="D89" s="867"/>
      <c r="E89" s="867"/>
      <c r="F89" s="867"/>
      <c r="G89" s="867"/>
      <c r="H89" s="867"/>
      <c r="I89" s="867"/>
      <c r="J89" s="867"/>
      <c r="K89" s="867"/>
      <c r="L89" s="867"/>
      <c r="M89" s="867"/>
      <c r="N89" s="868"/>
    </row>
    <row r="90" spans="1:14" outlineLevel="1">
      <c r="B90" s="873" t="s">
        <v>763</v>
      </c>
      <c r="C90" s="177"/>
      <c r="D90" s="175"/>
      <c r="E90" s="175"/>
      <c r="F90" s="175"/>
      <c r="G90" s="175"/>
      <c r="H90" s="175"/>
      <c r="I90" s="175"/>
      <c r="J90" s="175"/>
      <c r="K90" s="175"/>
      <c r="L90" s="175"/>
      <c r="M90" s="175"/>
      <c r="N90" s="773"/>
    </row>
    <row r="91" spans="1:14" outlineLevel="1">
      <c r="B91" s="617" t="s">
        <v>588</v>
      </c>
      <c r="C91" s="388"/>
      <c r="D91" s="388"/>
      <c r="E91" s="388"/>
      <c r="F91" s="388"/>
      <c r="G91" s="388"/>
      <c r="H91" s="388"/>
      <c r="I91" s="388"/>
      <c r="J91" s="388"/>
      <c r="K91" s="388"/>
      <c r="L91" s="388"/>
      <c r="M91" s="388"/>
      <c r="N91" s="385"/>
    </row>
    <row r="92" spans="1:14" outlineLevel="1">
      <c r="B92" s="874" t="s">
        <v>731</v>
      </c>
      <c r="C92" s="175">
        <f ca="1">C93</f>
        <v>15169748.134824229</v>
      </c>
      <c r="D92" s="175">
        <f t="shared" ref="D92:N92" ca="1" si="35">C96+D93</f>
        <v>15892396.802692223</v>
      </c>
      <c r="E92" s="175">
        <f t="shared" ca="1" si="35"/>
        <v>16650884.209433435</v>
      </c>
      <c r="F92" s="175">
        <f t="shared" ca="1" si="35"/>
        <v>16624303.893185394</v>
      </c>
      <c r="G92" s="175">
        <f t="shared" ca="1" si="35"/>
        <v>16483438.378767813</v>
      </c>
      <c r="H92" s="175">
        <f t="shared" ca="1" si="35"/>
        <v>16219162.927428039</v>
      </c>
      <c r="I92" s="175">
        <f t="shared" ca="1" si="35"/>
        <v>-1.7462298274040222E-9</v>
      </c>
      <c r="J92" s="175">
        <f t="shared" ca="1" si="35"/>
        <v>0</v>
      </c>
      <c r="K92" s="175">
        <f t="shared" ca="1" si="35"/>
        <v>0</v>
      </c>
      <c r="L92" s="175">
        <f t="shared" ca="1" si="35"/>
        <v>0</v>
      </c>
      <c r="M92" s="175">
        <f t="shared" ca="1" si="35"/>
        <v>0</v>
      </c>
      <c r="N92" s="773">
        <f t="shared" ca="1" si="35"/>
        <v>0</v>
      </c>
    </row>
    <row r="93" spans="1:14" outlineLevel="1">
      <c r="A93" s="876">
        <v>0.05</v>
      </c>
      <c r="B93" s="875">
        <f>[5]Snapshot!$M$30</f>
        <v>0.75</v>
      </c>
      <c r="C93" s="175">
        <f ca="1">IF(C86&lt;0,-C86*$B$95,0)</f>
        <v>15169748.134824229</v>
      </c>
      <c r="D93" s="175">
        <f t="shared" ref="D93:N93" ca="1" si="36">IF(D86&lt;0,-D86*$B$95,0)</f>
        <v>722648.66786799335</v>
      </c>
      <c r="E93" s="175">
        <f t="shared" ca="1" si="36"/>
        <v>0</v>
      </c>
      <c r="F93" s="175">
        <f t="shared" ca="1" si="36"/>
        <v>0</v>
      </c>
      <c r="G93" s="175">
        <f t="shared" ca="1" si="36"/>
        <v>0</v>
      </c>
      <c r="H93" s="175">
        <f t="shared" ca="1" si="36"/>
        <v>0</v>
      </c>
      <c r="I93" s="175">
        <f t="shared" si="36"/>
        <v>0</v>
      </c>
      <c r="J93" s="175">
        <f t="shared" si="36"/>
        <v>0</v>
      </c>
      <c r="K93" s="175">
        <f t="shared" si="36"/>
        <v>0</v>
      </c>
      <c r="L93" s="175">
        <f t="shared" si="36"/>
        <v>0</v>
      </c>
      <c r="M93" s="175">
        <f t="shared" si="36"/>
        <v>0</v>
      </c>
      <c r="N93" s="773">
        <f t="shared" si="36"/>
        <v>0</v>
      </c>
    </row>
    <row r="94" spans="1:14" outlineLevel="1">
      <c r="B94" s="877">
        <f>A93</f>
        <v>0.05</v>
      </c>
      <c r="C94" s="177"/>
      <c r="D94" s="175">
        <f ca="1">$B$94*C96</f>
        <v>758487.40674121154</v>
      </c>
      <c r="E94" s="175">
        <f t="shared" ref="E94:N94" ca="1" si="37">$B$94*D96</f>
        <v>832544.21047167177</v>
      </c>
      <c r="F94" s="175">
        <f t="shared" ca="1" si="37"/>
        <v>831215.19465926976</v>
      </c>
      <c r="G94" s="175">
        <f t="shared" ca="1" si="37"/>
        <v>824171.91893839068</v>
      </c>
      <c r="H94" s="175">
        <f t="shared" ca="1" si="37"/>
        <v>810958.14637140196</v>
      </c>
      <c r="I94" s="175">
        <f t="shared" ca="1" si="37"/>
        <v>-8.7311491370201111E-11</v>
      </c>
      <c r="J94" s="175">
        <f t="shared" ca="1" si="37"/>
        <v>0</v>
      </c>
      <c r="K94" s="175">
        <f t="shared" ca="1" si="37"/>
        <v>0</v>
      </c>
      <c r="L94" s="175">
        <f t="shared" ca="1" si="37"/>
        <v>0</v>
      </c>
      <c r="M94" s="175">
        <f t="shared" ca="1" si="37"/>
        <v>0</v>
      </c>
      <c r="N94" s="773">
        <f t="shared" ca="1" si="37"/>
        <v>0</v>
      </c>
    </row>
    <row r="95" spans="1:14" outlineLevel="1">
      <c r="B95" s="878">
        <f>[5]Snapshot!$M$30</f>
        <v>0.75</v>
      </c>
      <c r="C95" s="175">
        <f ca="1">MIN(IF(C86&lt;0,0,C86*$B$95),SUM(C92,C94))</f>
        <v>0</v>
      </c>
      <c r="D95" s="175">
        <f t="shared" ref="D95:N95" ca="1" si="38">MIN(IF(D86&lt;0,0,D86*$B$95),SUM(D92,D94))</f>
        <v>0</v>
      </c>
      <c r="E95" s="175">
        <f ca="1">MIN(IF(E86&lt;0,0,E86*$B$95),SUM(E92,E94))</f>
        <v>859124.5267197116</v>
      </c>
      <c r="F95" s="175">
        <f t="shared" ca="1" si="38"/>
        <v>972080.70907685172</v>
      </c>
      <c r="G95" s="175">
        <f t="shared" ca="1" si="38"/>
        <v>1088447.3702781643</v>
      </c>
      <c r="H95" s="175">
        <f t="shared" ca="1" si="38"/>
        <v>17030121.073799442</v>
      </c>
      <c r="I95" s="175">
        <f t="shared" ca="1" si="38"/>
        <v>-1.8335413187742233E-9</v>
      </c>
      <c r="J95" s="175">
        <f t="shared" ca="1" si="38"/>
        <v>0</v>
      </c>
      <c r="K95" s="175">
        <f t="shared" ca="1" si="38"/>
        <v>0</v>
      </c>
      <c r="L95" s="175">
        <f t="shared" ca="1" si="38"/>
        <v>0</v>
      </c>
      <c r="M95" s="175">
        <f t="shared" ca="1" si="38"/>
        <v>0</v>
      </c>
      <c r="N95" s="773">
        <f t="shared" ca="1" si="38"/>
        <v>0</v>
      </c>
    </row>
    <row r="96" spans="1:14" outlineLevel="1">
      <c r="B96" s="874" t="s">
        <v>732</v>
      </c>
      <c r="C96" s="388">
        <f t="shared" ref="C96:N96" ca="1" si="39">C92-C95+C94</f>
        <v>15169748.134824229</v>
      </c>
      <c r="D96" s="388">
        <f t="shared" ca="1" si="39"/>
        <v>16650884.209433435</v>
      </c>
      <c r="E96" s="388">
        <f t="shared" ca="1" si="39"/>
        <v>16624303.893185394</v>
      </c>
      <c r="F96" s="388">
        <f t="shared" ca="1" si="39"/>
        <v>16483438.378767813</v>
      </c>
      <c r="G96" s="388">
        <f t="shared" ca="1" si="39"/>
        <v>16219162.927428039</v>
      </c>
      <c r="H96" s="175">
        <f t="shared" ca="1" si="39"/>
        <v>-1.7462298274040222E-9</v>
      </c>
      <c r="I96" s="388">
        <f t="shared" ca="1" si="39"/>
        <v>0</v>
      </c>
      <c r="J96" s="388">
        <f t="shared" ca="1" si="39"/>
        <v>0</v>
      </c>
      <c r="K96" s="388">
        <f t="shared" ca="1" si="39"/>
        <v>0</v>
      </c>
      <c r="L96" s="388">
        <f t="shared" ca="1" si="39"/>
        <v>0</v>
      </c>
      <c r="M96" s="388">
        <f t="shared" ca="1" si="39"/>
        <v>0</v>
      </c>
      <c r="N96" s="385">
        <f t="shared" ca="1" si="39"/>
        <v>0</v>
      </c>
    </row>
    <row r="97" spans="1:14" outlineLevel="2">
      <c r="B97" s="382"/>
      <c r="C97" s="177"/>
      <c r="D97" s="175"/>
      <c r="E97" s="175"/>
      <c r="F97" s="175"/>
      <c r="G97" s="175"/>
      <c r="H97" s="175"/>
      <c r="I97" s="175"/>
      <c r="J97" s="175"/>
      <c r="K97" s="175"/>
      <c r="L97" s="175"/>
      <c r="M97" s="175"/>
      <c r="N97" s="773"/>
    </row>
    <row r="98" spans="1:14" outlineLevel="2">
      <c r="B98" s="617" t="s">
        <v>587</v>
      </c>
      <c r="C98" s="175"/>
      <c r="D98" s="175"/>
      <c r="E98" s="175"/>
      <c r="F98" s="175"/>
      <c r="G98" s="175"/>
      <c r="H98" s="175"/>
      <c r="I98" s="175"/>
      <c r="J98" s="175"/>
      <c r="K98" s="175"/>
      <c r="L98" s="175"/>
      <c r="M98" s="175"/>
      <c r="N98" s="773"/>
    </row>
    <row r="99" spans="1:14" outlineLevel="2">
      <c r="B99" s="874" t="s">
        <v>731</v>
      </c>
      <c r="C99" s="175">
        <f ca="1">C100</f>
        <v>5056582.7116080765</v>
      </c>
      <c r="D99" s="175">
        <f t="shared" ref="D99:N99" ca="1" si="40">C103+D100</f>
        <v>5297465.6008974072</v>
      </c>
      <c r="E99" s="175">
        <f t="shared" ca="1" si="40"/>
        <v>5550294.7364778109</v>
      </c>
      <c r="F99" s="175">
        <f t="shared" ca="1" si="40"/>
        <v>5541434.631061797</v>
      </c>
      <c r="G99" s="175">
        <f t="shared" ca="1" si="40"/>
        <v>5494479.4595892699</v>
      </c>
      <c r="H99" s="175">
        <f t="shared" ca="1" si="40"/>
        <v>5406387.642476012</v>
      </c>
      <c r="I99" s="175">
        <f t="shared" ca="1" si="40"/>
        <v>0</v>
      </c>
      <c r="J99" s="175">
        <f t="shared" ca="1" si="40"/>
        <v>0</v>
      </c>
      <c r="K99" s="175">
        <f t="shared" ca="1" si="40"/>
        <v>0</v>
      </c>
      <c r="L99" s="175">
        <f t="shared" ca="1" si="40"/>
        <v>0</v>
      </c>
      <c r="M99" s="175">
        <f t="shared" ca="1" si="40"/>
        <v>0</v>
      </c>
      <c r="N99" s="773">
        <f t="shared" ca="1" si="40"/>
        <v>0</v>
      </c>
    </row>
    <row r="100" spans="1:14" outlineLevel="2">
      <c r="A100" s="876">
        <v>0.05</v>
      </c>
      <c r="B100" s="875">
        <f>[5]Snapshot!$M$31</f>
        <v>0.25</v>
      </c>
      <c r="C100" s="175">
        <f ca="1">IF(C86&lt;0,-C86*$B$102,0)</f>
        <v>5056582.7116080765</v>
      </c>
      <c r="D100" s="175">
        <f t="shared" ref="D100:N100" ca="1" si="41">IF(D86&lt;0,-D86*$B$102,0)</f>
        <v>240882.88928933113</v>
      </c>
      <c r="E100" s="175">
        <f t="shared" ca="1" si="41"/>
        <v>0</v>
      </c>
      <c r="F100" s="175">
        <f t="shared" ca="1" si="41"/>
        <v>0</v>
      </c>
      <c r="G100" s="175">
        <f t="shared" ca="1" si="41"/>
        <v>0</v>
      </c>
      <c r="H100" s="175">
        <f t="shared" ca="1" si="41"/>
        <v>0</v>
      </c>
      <c r="I100" s="175">
        <f t="shared" si="41"/>
        <v>0</v>
      </c>
      <c r="J100" s="175">
        <f t="shared" si="41"/>
        <v>0</v>
      </c>
      <c r="K100" s="175">
        <f t="shared" si="41"/>
        <v>0</v>
      </c>
      <c r="L100" s="175">
        <f t="shared" si="41"/>
        <v>0</v>
      </c>
      <c r="M100" s="175">
        <f t="shared" si="41"/>
        <v>0</v>
      </c>
      <c r="N100" s="773">
        <f t="shared" si="41"/>
        <v>0</v>
      </c>
    </row>
    <row r="101" spans="1:14" outlineLevel="2">
      <c r="B101" s="877">
        <f>A100</f>
        <v>0.05</v>
      </c>
      <c r="C101" s="177"/>
      <c r="D101" s="175">
        <f ca="1">$B$101*C103</f>
        <v>252829.13558040385</v>
      </c>
      <c r="E101" s="175">
        <f t="shared" ref="E101:N101" ca="1" si="42">$B$101*D103</f>
        <v>277514.73682389053</v>
      </c>
      <c r="F101" s="175">
        <f t="shared" ca="1" si="42"/>
        <v>277071.73155308986</v>
      </c>
      <c r="G101" s="175">
        <f t="shared" ca="1" si="42"/>
        <v>274723.97297946352</v>
      </c>
      <c r="H101" s="175">
        <f t="shared" ca="1" si="42"/>
        <v>270319.38212380063</v>
      </c>
      <c r="I101" s="175">
        <f t="shared" ca="1" si="42"/>
        <v>0</v>
      </c>
      <c r="J101" s="175">
        <f t="shared" ca="1" si="42"/>
        <v>0</v>
      </c>
      <c r="K101" s="175">
        <f t="shared" ca="1" si="42"/>
        <v>0</v>
      </c>
      <c r="L101" s="175">
        <f t="shared" ca="1" si="42"/>
        <v>0</v>
      </c>
      <c r="M101" s="175">
        <f t="shared" ca="1" si="42"/>
        <v>0</v>
      </c>
      <c r="N101" s="773">
        <f t="shared" ca="1" si="42"/>
        <v>0</v>
      </c>
    </row>
    <row r="102" spans="1:14" outlineLevel="2">
      <c r="B102" s="878">
        <f>[5]Snapshot!$M$31</f>
        <v>0.25</v>
      </c>
      <c r="C102" s="175">
        <f ca="1">MIN(IF(C86&lt;0,0,C86*$B$102),SUM(C99,C101))</f>
        <v>0</v>
      </c>
      <c r="D102" s="175">
        <f t="shared" ref="D102:N102" ca="1" si="43">MIN(IF(D86&lt;0,0,D86*$B$102),SUM(D99,D101))</f>
        <v>0</v>
      </c>
      <c r="E102" s="175">
        <f t="shared" ca="1" si="43"/>
        <v>286374.84223990387</v>
      </c>
      <c r="F102" s="175">
        <f t="shared" ca="1" si="43"/>
        <v>324026.90302561724</v>
      </c>
      <c r="G102" s="175">
        <f t="shared" ca="1" si="43"/>
        <v>362815.79009272147</v>
      </c>
      <c r="H102" s="175">
        <f t="shared" ca="1" si="43"/>
        <v>5676707.0245998129</v>
      </c>
      <c r="I102" s="175">
        <f t="shared" ca="1" si="43"/>
        <v>0</v>
      </c>
      <c r="J102" s="175">
        <f t="shared" ca="1" si="43"/>
        <v>0</v>
      </c>
      <c r="K102" s="175">
        <f t="shared" ca="1" si="43"/>
        <v>0</v>
      </c>
      <c r="L102" s="175">
        <f t="shared" ca="1" si="43"/>
        <v>0</v>
      </c>
      <c r="M102" s="175">
        <f t="shared" ca="1" si="43"/>
        <v>0</v>
      </c>
      <c r="N102" s="773">
        <f t="shared" ca="1" si="43"/>
        <v>0</v>
      </c>
    </row>
    <row r="103" spans="1:14" outlineLevel="2">
      <c r="B103" s="874" t="s">
        <v>732</v>
      </c>
      <c r="C103" s="388">
        <f t="shared" ref="C103:N103" ca="1" si="44">C99-C102+C101</f>
        <v>5056582.7116080765</v>
      </c>
      <c r="D103" s="388">
        <f t="shared" ca="1" si="44"/>
        <v>5550294.7364778109</v>
      </c>
      <c r="E103" s="388">
        <f t="shared" ca="1" si="44"/>
        <v>5541434.631061797</v>
      </c>
      <c r="F103" s="388">
        <f t="shared" ca="1" si="44"/>
        <v>5494479.4595892699</v>
      </c>
      <c r="G103" s="388">
        <f t="shared" ca="1" si="44"/>
        <v>5406387.642476012</v>
      </c>
      <c r="H103" s="388">
        <f t="shared" ca="1" si="44"/>
        <v>0</v>
      </c>
      <c r="I103" s="388">
        <f t="shared" ca="1" si="44"/>
        <v>0</v>
      </c>
      <c r="J103" s="388">
        <f t="shared" ca="1" si="44"/>
        <v>0</v>
      </c>
      <c r="K103" s="388">
        <f t="shared" ca="1" si="44"/>
        <v>0</v>
      </c>
      <c r="L103" s="388">
        <f ca="1">L99-L102+L101</f>
        <v>0</v>
      </c>
      <c r="M103" s="388">
        <f t="shared" ca="1" si="44"/>
        <v>0</v>
      </c>
      <c r="N103" s="385">
        <f t="shared" ca="1" si="44"/>
        <v>0</v>
      </c>
    </row>
    <row r="104" spans="1:14" outlineLevel="1">
      <c r="B104" s="382"/>
      <c r="C104" s="177"/>
      <c r="D104" s="175"/>
      <c r="E104" s="175"/>
      <c r="F104" s="175"/>
      <c r="G104" s="175"/>
      <c r="H104" s="175"/>
      <c r="I104" s="175"/>
      <c r="J104" s="175"/>
      <c r="K104" s="175"/>
      <c r="L104" s="175"/>
      <c r="M104" s="175"/>
      <c r="N104" s="773"/>
    </row>
    <row r="105" spans="1:14" outlineLevel="1">
      <c r="B105" s="617" t="s">
        <v>764</v>
      </c>
      <c r="C105" s="177"/>
      <c r="D105" s="175"/>
      <c r="E105" s="175"/>
      <c r="F105" s="175"/>
      <c r="G105" s="175"/>
      <c r="H105" s="175"/>
      <c r="I105" s="175"/>
      <c r="J105" s="175"/>
      <c r="K105" s="175"/>
      <c r="L105" s="175"/>
      <c r="M105" s="175"/>
      <c r="N105" s="773"/>
    </row>
    <row r="106" spans="1:14" outlineLevel="1">
      <c r="B106" s="879">
        <f>'New Snapshot'!F33</f>
        <v>0.75</v>
      </c>
      <c r="C106" s="388">
        <f ca="1">IF(C86&lt;0,-C93,C95)</f>
        <v>-15169748.134824229</v>
      </c>
      <c r="D106" s="388">
        <f ca="1">IF(D86&lt;0,-D93,D95)</f>
        <v>-722648.66786799335</v>
      </c>
      <c r="E106" s="388">
        <f t="shared" ref="E106:N106" ca="1" si="45">IF(E86&lt;0,-E93,E95)</f>
        <v>859124.5267197116</v>
      </c>
      <c r="F106" s="388">
        <f t="shared" ca="1" si="45"/>
        <v>972080.70907685172</v>
      </c>
      <c r="G106" s="388">
        <f t="shared" ca="1" si="45"/>
        <v>1088447.3702781643</v>
      </c>
      <c r="H106" s="388">
        <f t="shared" ca="1" si="45"/>
        <v>17030121.073799442</v>
      </c>
      <c r="I106" s="388">
        <f t="shared" ca="1" si="45"/>
        <v>-1.8335413187742233E-9</v>
      </c>
      <c r="J106" s="388">
        <f t="shared" ca="1" si="45"/>
        <v>0</v>
      </c>
      <c r="K106" s="388">
        <f t="shared" ca="1" si="45"/>
        <v>0</v>
      </c>
      <c r="L106" s="388">
        <f t="shared" ca="1" si="45"/>
        <v>0</v>
      </c>
      <c r="M106" s="388">
        <f t="shared" ca="1" si="45"/>
        <v>0</v>
      </c>
      <c r="N106" s="385">
        <f t="shared" ca="1" si="45"/>
        <v>0</v>
      </c>
    </row>
    <row r="107" spans="1:14" outlineLevel="1">
      <c r="B107" s="880">
        <f>'New Snapshot'!F34</f>
        <v>0.25</v>
      </c>
      <c r="C107" s="386">
        <f ca="1">IF(C86&lt;0,-C100,C102)</f>
        <v>-5056582.7116080765</v>
      </c>
      <c r="D107" s="386">
        <f t="shared" ref="D107:N107" ca="1" si="46">IF(D86&lt;0,-D100,D102)</f>
        <v>-240882.88928933113</v>
      </c>
      <c r="E107" s="386">
        <f t="shared" ca="1" si="46"/>
        <v>286374.84223990387</v>
      </c>
      <c r="F107" s="386">
        <f t="shared" ca="1" si="46"/>
        <v>324026.90302561724</v>
      </c>
      <c r="G107" s="386">
        <f t="shared" ca="1" si="46"/>
        <v>362815.79009272147</v>
      </c>
      <c r="H107" s="386">
        <f t="shared" ca="1" si="46"/>
        <v>5676707.0245998129</v>
      </c>
      <c r="I107" s="386">
        <f t="shared" ca="1" si="46"/>
        <v>0</v>
      </c>
      <c r="J107" s="386">
        <f t="shared" ca="1" si="46"/>
        <v>0</v>
      </c>
      <c r="K107" s="386">
        <f t="shared" ca="1" si="46"/>
        <v>0</v>
      </c>
      <c r="L107" s="386">
        <f t="shared" ca="1" si="46"/>
        <v>0</v>
      </c>
      <c r="M107" s="386">
        <f t="shared" ca="1" si="46"/>
        <v>0</v>
      </c>
      <c r="N107" s="387">
        <f t="shared" ca="1" si="46"/>
        <v>0</v>
      </c>
    </row>
    <row r="108" spans="1:14" outlineLevel="1">
      <c r="B108" s="874" t="s">
        <v>765</v>
      </c>
      <c r="C108" s="388">
        <f ca="1">SUM(C106:C107)</f>
        <v>-20226330.846432306</v>
      </c>
      <c r="D108" s="388">
        <f t="shared" ref="D108:N108" ca="1" si="47">SUM(D106:D107)</f>
        <v>-963531.55715732451</v>
      </c>
      <c r="E108" s="388">
        <f t="shared" ca="1" si="47"/>
        <v>1145499.3689596155</v>
      </c>
      <c r="F108" s="388">
        <f t="shared" ca="1" si="47"/>
        <v>1296107.612102469</v>
      </c>
      <c r="G108" s="388">
        <f t="shared" ca="1" si="47"/>
        <v>1451263.1603708859</v>
      </c>
      <c r="H108" s="388">
        <f t="shared" ca="1" si="47"/>
        <v>22706828.098399255</v>
      </c>
      <c r="I108" s="388">
        <f t="shared" ca="1" si="47"/>
        <v>-1.8335413187742233E-9</v>
      </c>
      <c r="J108" s="388">
        <f t="shared" ca="1" si="47"/>
        <v>0</v>
      </c>
      <c r="K108" s="388">
        <f t="shared" ca="1" si="47"/>
        <v>0</v>
      </c>
      <c r="L108" s="388">
        <f t="shared" ca="1" si="47"/>
        <v>0</v>
      </c>
      <c r="M108" s="388">
        <f t="shared" ca="1" si="47"/>
        <v>0</v>
      </c>
      <c r="N108" s="385">
        <f t="shared" ca="1" si="47"/>
        <v>0</v>
      </c>
    </row>
    <row r="109" spans="1:14" outlineLevel="1">
      <c r="B109" s="382"/>
      <c r="C109" s="177"/>
      <c r="D109" s="175"/>
      <c r="E109" s="175"/>
      <c r="F109" s="175"/>
      <c r="G109" s="175"/>
      <c r="H109" s="175"/>
      <c r="I109" s="175"/>
      <c r="J109" s="175"/>
      <c r="K109" s="175"/>
      <c r="L109" s="175"/>
      <c r="M109" s="175"/>
      <c r="N109" s="773"/>
    </row>
    <row r="110" spans="1:14" outlineLevel="1">
      <c r="B110" s="382"/>
      <c r="C110" s="388"/>
      <c r="D110" s="388"/>
      <c r="E110" s="388"/>
      <c r="F110" s="388"/>
      <c r="G110" s="388"/>
      <c r="H110" s="175"/>
      <c r="I110" s="388"/>
      <c r="J110" s="388"/>
      <c r="K110" s="388"/>
      <c r="L110" s="388"/>
      <c r="M110" s="388"/>
      <c r="N110" s="385"/>
    </row>
    <row r="111" spans="1:14" outlineLevel="1">
      <c r="B111" s="617" t="s">
        <v>569</v>
      </c>
      <c r="C111" s="175">
        <f ca="1">IF(C86&lt;0,0,C86-C108)</f>
        <v>0</v>
      </c>
      <c r="D111" s="175">
        <f ca="1">IF(D86&lt;0,0,D86-D108)</f>
        <v>0</v>
      </c>
      <c r="E111" s="175">
        <f t="shared" ref="E111:N111" ca="1" si="48">IF(E86&lt;0,0,E86-E108)</f>
        <v>0</v>
      </c>
      <c r="F111" s="175">
        <f t="shared" ca="1" si="48"/>
        <v>0</v>
      </c>
      <c r="G111" s="175">
        <f t="shared" ca="1" si="48"/>
        <v>0</v>
      </c>
      <c r="H111" s="175">
        <f t="shared" ca="1" si="48"/>
        <v>36594239.34169507</v>
      </c>
      <c r="I111" s="175">
        <f t="shared" ca="1" si="48"/>
        <v>1.8335413187742233E-9</v>
      </c>
      <c r="J111" s="175">
        <f t="shared" ca="1" si="48"/>
        <v>0</v>
      </c>
      <c r="K111" s="175">
        <f t="shared" ca="1" si="48"/>
        <v>0</v>
      </c>
      <c r="L111" s="175">
        <f t="shared" ca="1" si="48"/>
        <v>0</v>
      </c>
      <c r="M111" s="175">
        <f t="shared" ca="1" si="48"/>
        <v>0</v>
      </c>
      <c r="N111" s="773">
        <f t="shared" ca="1" si="48"/>
        <v>0</v>
      </c>
    </row>
    <row r="112" spans="1:14" outlineLevel="1">
      <c r="B112" s="382"/>
      <c r="C112" s="175"/>
      <c r="D112" s="175"/>
      <c r="E112" s="175"/>
      <c r="F112" s="175"/>
      <c r="G112" s="175"/>
      <c r="H112" s="175"/>
      <c r="I112" s="175"/>
      <c r="J112" s="175"/>
      <c r="K112" s="175"/>
      <c r="L112" s="175"/>
      <c r="M112" s="175"/>
      <c r="N112" s="773"/>
    </row>
    <row r="113" spans="1:15" outlineLevel="1">
      <c r="B113" s="873" t="s">
        <v>767</v>
      </c>
      <c r="C113" s="177"/>
      <c r="D113" s="177"/>
      <c r="E113" s="177"/>
      <c r="F113" s="177"/>
      <c r="G113" s="177"/>
      <c r="H113" s="177"/>
      <c r="I113" s="177"/>
      <c r="J113" s="177"/>
      <c r="K113" s="177"/>
      <c r="L113" s="177"/>
      <c r="M113" s="177"/>
      <c r="N113" s="881"/>
    </row>
    <row r="114" spans="1:15" outlineLevel="1">
      <c r="B114" s="882">
        <f>(1-$B$116)*B93</f>
        <v>0.375</v>
      </c>
      <c r="C114" s="175">
        <f ca="1">C111*$B$114</f>
        <v>0</v>
      </c>
      <c r="D114" s="175">
        <f t="shared" ref="D114:N114" ca="1" si="49">D111*$B$114</f>
        <v>0</v>
      </c>
      <c r="E114" s="175">
        <f t="shared" ca="1" si="49"/>
        <v>0</v>
      </c>
      <c r="F114" s="175">
        <f t="shared" ca="1" si="49"/>
        <v>0</v>
      </c>
      <c r="G114" s="175">
        <f t="shared" ca="1" si="49"/>
        <v>0</v>
      </c>
      <c r="H114" s="175">
        <f t="shared" ca="1" si="49"/>
        <v>13722839.753135651</v>
      </c>
      <c r="I114" s="175">
        <f t="shared" ca="1" si="49"/>
        <v>6.8757799454033375E-10</v>
      </c>
      <c r="J114" s="175">
        <f t="shared" ca="1" si="49"/>
        <v>0</v>
      </c>
      <c r="K114" s="175">
        <f t="shared" ca="1" si="49"/>
        <v>0</v>
      </c>
      <c r="L114" s="175">
        <f t="shared" ca="1" si="49"/>
        <v>0</v>
      </c>
      <c r="M114" s="175">
        <f t="shared" ca="1" si="49"/>
        <v>0</v>
      </c>
      <c r="N114" s="773">
        <f t="shared" ca="1" si="49"/>
        <v>0</v>
      </c>
    </row>
    <row r="115" spans="1:15" outlineLevel="1">
      <c r="A115" s="876">
        <v>0.5</v>
      </c>
      <c r="B115" s="883">
        <f>(1-$B$116)*B100</f>
        <v>0.125</v>
      </c>
      <c r="C115" s="175">
        <f ca="1">C111*$B$115</f>
        <v>0</v>
      </c>
      <c r="D115" s="175">
        <f t="shared" ref="D115:N115" ca="1" si="50">D111*$B$115</f>
        <v>0</v>
      </c>
      <c r="E115" s="175">
        <f t="shared" ca="1" si="50"/>
        <v>0</v>
      </c>
      <c r="F115" s="175">
        <f t="shared" ca="1" si="50"/>
        <v>0</v>
      </c>
      <c r="G115" s="175">
        <f t="shared" ca="1" si="50"/>
        <v>0</v>
      </c>
      <c r="H115" s="175">
        <f t="shared" ca="1" si="50"/>
        <v>4574279.9177118838</v>
      </c>
      <c r="I115" s="175">
        <f t="shared" ca="1" si="50"/>
        <v>2.2919266484677792E-10</v>
      </c>
      <c r="J115" s="175">
        <f t="shared" ca="1" si="50"/>
        <v>0</v>
      </c>
      <c r="K115" s="175">
        <f t="shared" ca="1" si="50"/>
        <v>0</v>
      </c>
      <c r="L115" s="175">
        <f t="shared" ca="1" si="50"/>
        <v>0</v>
      </c>
      <c r="M115" s="175">
        <f t="shared" ca="1" si="50"/>
        <v>0</v>
      </c>
      <c r="N115" s="773">
        <f t="shared" ca="1" si="50"/>
        <v>0</v>
      </c>
    </row>
    <row r="116" spans="1:15" s="150" customFormat="1" outlineLevel="1">
      <c r="B116" s="884">
        <f>A115</f>
        <v>0.5</v>
      </c>
      <c r="C116" s="175">
        <f ca="1">IF(C86&lt;0,0,C111*($B$116))</f>
        <v>0</v>
      </c>
      <c r="D116" s="175">
        <f t="shared" ref="D116:N116" ca="1" si="51">IF(D86&lt;0,0,D111*($B$116))</f>
        <v>0</v>
      </c>
      <c r="E116" s="175">
        <f t="shared" ca="1" si="51"/>
        <v>0</v>
      </c>
      <c r="F116" s="175">
        <f t="shared" ca="1" si="51"/>
        <v>0</v>
      </c>
      <c r="G116" s="175">
        <f t="shared" ca="1" si="51"/>
        <v>0</v>
      </c>
      <c r="H116" s="175">
        <f t="shared" ca="1" si="51"/>
        <v>18297119.670847535</v>
      </c>
      <c r="I116" s="175">
        <f t="shared" ca="1" si="51"/>
        <v>9.1677065938711166E-10</v>
      </c>
      <c r="J116" s="175">
        <f t="shared" ca="1" si="51"/>
        <v>0</v>
      </c>
      <c r="K116" s="175">
        <f t="shared" ca="1" si="51"/>
        <v>0</v>
      </c>
      <c r="L116" s="175">
        <f t="shared" ca="1" si="51"/>
        <v>0</v>
      </c>
      <c r="M116" s="175">
        <f t="shared" ca="1" si="51"/>
        <v>0</v>
      </c>
      <c r="N116" s="773">
        <f t="shared" ca="1" si="51"/>
        <v>0</v>
      </c>
      <c r="O116" s="151"/>
    </row>
    <row r="117" spans="1:15" s="150" customFormat="1" outlineLevel="1">
      <c r="B117" s="963" t="s">
        <v>765</v>
      </c>
      <c r="C117" s="964">
        <f ca="1">SUM(C114:C116)</f>
        <v>0</v>
      </c>
      <c r="D117" s="964">
        <f t="shared" ref="D117:N117" ca="1" si="52">SUM(D114:D116)</f>
        <v>0</v>
      </c>
      <c r="E117" s="964">
        <f t="shared" ca="1" si="52"/>
        <v>0</v>
      </c>
      <c r="F117" s="964">
        <f t="shared" ca="1" si="52"/>
        <v>0</v>
      </c>
      <c r="G117" s="964">
        <f t="shared" ca="1" si="52"/>
        <v>0</v>
      </c>
      <c r="H117" s="964">
        <f t="shared" ca="1" si="52"/>
        <v>36594239.34169507</v>
      </c>
      <c r="I117" s="964">
        <f t="shared" ca="1" si="52"/>
        <v>1.8335413187742233E-9</v>
      </c>
      <c r="J117" s="964">
        <f t="shared" ca="1" si="52"/>
        <v>0</v>
      </c>
      <c r="K117" s="964">
        <f t="shared" ca="1" si="52"/>
        <v>0</v>
      </c>
      <c r="L117" s="964">
        <f t="shared" ca="1" si="52"/>
        <v>0</v>
      </c>
      <c r="M117" s="964">
        <f t="shared" ca="1" si="52"/>
        <v>0</v>
      </c>
      <c r="N117" s="965">
        <f t="shared" ca="1" si="52"/>
        <v>0</v>
      </c>
      <c r="O117" s="151"/>
    </row>
    <row r="118" spans="1:15" s="150" customFormat="1">
      <c r="B118" s="390"/>
      <c r="C118" s="404"/>
      <c r="D118" s="405"/>
      <c r="E118" s="405"/>
      <c r="F118" s="405"/>
      <c r="G118" s="405"/>
      <c r="H118" s="405"/>
      <c r="I118" s="405"/>
      <c r="J118" s="405"/>
      <c r="K118" s="405"/>
      <c r="L118" s="405"/>
      <c r="M118" s="405"/>
      <c r="N118" s="549"/>
      <c r="O118" s="151"/>
    </row>
    <row r="119" spans="1:15" s="150" customFormat="1">
      <c r="B119" s="811" t="s">
        <v>730</v>
      </c>
      <c r="C119" s="812">
        <f t="shared" ref="C119:N119" ca="1" si="53">IF(C86&lt;0,-C93,C95+C114)</f>
        <v>-15169748.134824229</v>
      </c>
      <c r="D119" s="812">
        <f t="shared" ca="1" si="53"/>
        <v>-722648.66786799335</v>
      </c>
      <c r="E119" s="812">
        <f t="shared" ca="1" si="53"/>
        <v>859124.5267197116</v>
      </c>
      <c r="F119" s="812">
        <f t="shared" ca="1" si="53"/>
        <v>972080.70907685172</v>
      </c>
      <c r="G119" s="812">
        <f t="shared" ca="1" si="53"/>
        <v>1088447.3702781643</v>
      </c>
      <c r="H119" s="812">
        <f t="shared" ca="1" si="53"/>
        <v>30752960.826935094</v>
      </c>
      <c r="I119" s="812">
        <f t="shared" ca="1" si="53"/>
        <v>-1.1459633242338896E-9</v>
      </c>
      <c r="J119" s="812">
        <f t="shared" ca="1" si="53"/>
        <v>0</v>
      </c>
      <c r="K119" s="812">
        <f t="shared" ca="1" si="53"/>
        <v>0</v>
      </c>
      <c r="L119" s="812">
        <f t="shared" ca="1" si="53"/>
        <v>0</v>
      </c>
      <c r="M119" s="812">
        <f t="shared" ca="1" si="53"/>
        <v>0</v>
      </c>
      <c r="N119" s="813">
        <f t="shared" ca="1" si="53"/>
        <v>0</v>
      </c>
      <c r="O119" s="151"/>
    </row>
    <row r="120" spans="1:15" s="150" customFormat="1">
      <c r="B120" s="801" t="s">
        <v>525</v>
      </c>
      <c r="C120" s="864">
        <f ca="1">IRR(C119:N119)</f>
        <v>0.17085710749902572</v>
      </c>
      <c r="D120" s="175"/>
      <c r="E120" s="175"/>
      <c r="F120" s="175"/>
      <c r="G120" s="175"/>
      <c r="H120" s="175"/>
      <c r="I120" s="175"/>
      <c r="J120" s="175"/>
      <c r="K120" s="175"/>
      <c r="L120" s="175"/>
      <c r="M120" s="175"/>
      <c r="N120" s="773"/>
      <c r="O120" s="151"/>
    </row>
    <row r="121" spans="1:15" s="150" customFormat="1">
      <c r="B121" s="801" t="s">
        <v>526</v>
      </c>
      <c r="C121" s="866">
        <f ca="1">SUMIF(C119:N119,"&gt;0",C119:N119)/-SUMIF(C119:N119,"&lt;0",C119:N119)</f>
        <v>2.1187876096389417</v>
      </c>
      <c r="D121" s="175"/>
      <c r="E121" s="175"/>
      <c r="F121" s="175"/>
      <c r="G121" s="175"/>
      <c r="H121" s="175"/>
      <c r="I121" s="175"/>
      <c r="J121" s="175"/>
      <c r="K121" s="175"/>
      <c r="L121" s="175"/>
      <c r="M121" s="175"/>
      <c r="N121" s="773"/>
      <c r="O121" s="151"/>
    </row>
    <row r="122" spans="1:15" s="150" customFormat="1">
      <c r="B122" s="802"/>
      <c r="C122" s="175"/>
      <c r="D122" s="175"/>
      <c r="E122" s="175"/>
      <c r="F122" s="175"/>
      <c r="G122" s="175"/>
      <c r="H122" s="175"/>
      <c r="I122" s="175"/>
      <c r="J122" s="175"/>
      <c r="K122" s="175"/>
      <c r="L122" s="175"/>
      <c r="M122" s="175"/>
      <c r="N122" s="773"/>
      <c r="O122" s="151"/>
    </row>
    <row r="123" spans="1:15" s="150" customFormat="1">
      <c r="B123" s="814" t="s">
        <v>757</v>
      </c>
      <c r="C123" s="812">
        <f t="shared" ref="C123:N123" ca="1" si="54">IF(C86&lt;0,-C100,C102+C116+C115)</f>
        <v>-5056582.7116080765</v>
      </c>
      <c r="D123" s="812">
        <f t="shared" ca="1" si="54"/>
        <v>-240882.88928933113</v>
      </c>
      <c r="E123" s="812">
        <f t="shared" ca="1" si="54"/>
        <v>286374.84223990387</v>
      </c>
      <c r="F123" s="812">
        <f t="shared" ca="1" si="54"/>
        <v>324026.90302561724</v>
      </c>
      <c r="G123" s="812">
        <f t="shared" ca="1" si="54"/>
        <v>362815.79009272147</v>
      </c>
      <c r="H123" s="812">
        <f t="shared" ca="1" si="54"/>
        <v>28548106.613159232</v>
      </c>
      <c r="I123" s="812">
        <f t="shared" ca="1" si="54"/>
        <v>1.1459633242338896E-9</v>
      </c>
      <c r="J123" s="812">
        <f t="shared" ca="1" si="54"/>
        <v>0</v>
      </c>
      <c r="K123" s="812">
        <f t="shared" ca="1" si="54"/>
        <v>0</v>
      </c>
      <c r="L123" s="812">
        <f t="shared" ca="1" si="54"/>
        <v>0</v>
      </c>
      <c r="M123" s="812">
        <f t="shared" ca="1" si="54"/>
        <v>0</v>
      </c>
      <c r="N123" s="813">
        <f t="shared" ca="1" si="54"/>
        <v>0</v>
      </c>
      <c r="O123" s="151"/>
    </row>
    <row r="124" spans="1:15" s="150" customFormat="1">
      <c r="B124" s="863" t="s">
        <v>525</v>
      </c>
      <c r="C124" s="865">
        <f ca="1">IRR(C123:N123)</f>
        <v>0.42352133724940133</v>
      </c>
      <c r="D124" s="861"/>
      <c r="E124" s="861"/>
      <c r="F124" s="861"/>
      <c r="G124" s="861"/>
      <c r="H124" s="861"/>
      <c r="I124" s="861"/>
      <c r="J124" s="861"/>
      <c r="K124" s="861"/>
      <c r="L124" s="861"/>
      <c r="M124" s="861"/>
      <c r="N124" s="862"/>
      <c r="O124" s="151"/>
    </row>
    <row r="125" spans="1:15" s="150" customFormat="1">
      <c r="B125" s="863" t="s">
        <v>526</v>
      </c>
      <c r="C125" s="866">
        <f ca="1">SUMIF(C123:N123,"&gt;0",C123:N123)/-SUMIF(C123:N123,"&lt;0",C123:N123)</f>
        <v>5.5727259736271755</v>
      </c>
      <c r="D125" s="861"/>
      <c r="E125" s="861"/>
      <c r="F125" s="861"/>
      <c r="G125" s="861"/>
      <c r="H125" s="861"/>
      <c r="I125" s="861"/>
      <c r="J125" s="861"/>
      <c r="K125" s="861"/>
      <c r="L125" s="861"/>
      <c r="M125" s="861"/>
      <c r="N125" s="862"/>
      <c r="O125" s="151"/>
    </row>
    <row r="126" spans="1:15" s="150" customFormat="1">
      <c r="B126" s="390"/>
      <c r="C126" s="404"/>
      <c r="D126" s="405"/>
      <c r="E126" s="405"/>
      <c r="F126" s="405"/>
      <c r="G126" s="405"/>
      <c r="H126" s="405"/>
      <c r="I126" s="405"/>
      <c r="J126" s="405"/>
      <c r="K126" s="405"/>
      <c r="L126" s="405"/>
      <c r="M126" s="405"/>
      <c r="N126" s="549"/>
      <c r="O126" s="151"/>
    </row>
    <row r="127" spans="1:15" s="150" customFormat="1">
      <c r="B127" s="150" t="str">
        <f>"Terms:" &amp; " " &amp;(1-B116)* 100&amp;"/"&amp;(B116)*100&amp;" over "&amp;B101*100&amp;"% Preferred Return"</f>
        <v>Terms: 50/50 over 5% Preferred Return</v>
      </c>
      <c r="D127" s="151"/>
      <c r="E127" s="151"/>
      <c r="F127" s="151"/>
      <c r="G127" s="151"/>
      <c r="H127" s="151"/>
      <c r="I127" s="151"/>
      <c r="J127" s="151"/>
      <c r="K127" s="151"/>
      <c r="L127" s="151"/>
      <c r="M127" s="151"/>
      <c r="N127" s="151"/>
      <c r="O127" s="151"/>
    </row>
    <row r="128" spans="1:15" s="150" customFormat="1" outlineLevel="1">
      <c r="D128" s="151"/>
      <c r="E128" s="151"/>
      <c r="F128" s="151"/>
      <c r="G128" s="151"/>
      <c r="H128" s="151"/>
      <c r="I128" s="151"/>
      <c r="J128" s="151"/>
      <c r="K128" s="151"/>
      <c r="L128" s="151"/>
      <c r="M128" s="151"/>
      <c r="N128" s="151"/>
      <c r="O128" s="151"/>
    </row>
    <row r="129" spans="2:15" s="150" customFormat="1" outlineLevel="1">
      <c r="B129" s="150" t="s">
        <v>760</v>
      </c>
      <c r="C129" s="152">
        <f t="shared" ref="C129:N129" ca="1" si="55">C119+C123</f>
        <v>-20226330.846432306</v>
      </c>
      <c r="D129" s="152">
        <f t="shared" ca="1" si="55"/>
        <v>-963531.55715732451</v>
      </c>
      <c r="E129" s="152">
        <f t="shared" ca="1" si="55"/>
        <v>1145499.3689596155</v>
      </c>
      <c r="F129" s="152">
        <f t="shared" ca="1" si="55"/>
        <v>1296107.612102469</v>
      </c>
      <c r="G129" s="152">
        <f t="shared" ca="1" si="55"/>
        <v>1451263.1603708859</v>
      </c>
      <c r="H129" s="152">
        <f t="shared" ca="1" si="55"/>
        <v>59301067.440094322</v>
      </c>
      <c r="I129" s="152">
        <f t="shared" ca="1" si="55"/>
        <v>0</v>
      </c>
      <c r="J129" s="152">
        <f t="shared" ca="1" si="55"/>
        <v>0</v>
      </c>
      <c r="K129" s="152">
        <f t="shared" ca="1" si="55"/>
        <v>0</v>
      </c>
      <c r="L129" s="152">
        <f t="shared" ca="1" si="55"/>
        <v>0</v>
      </c>
      <c r="M129" s="152">
        <f t="shared" ca="1" si="55"/>
        <v>0</v>
      </c>
      <c r="N129" s="152">
        <f t="shared" ca="1" si="55"/>
        <v>0</v>
      </c>
      <c r="O129" s="151"/>
    </row>
    <row r="130" spans="2:15" s="150" customFormat="1">
      <c r="C130" s="869" t="str">
        <f t="shared" ref="C130:N130" ca="1" si="56">IF(C129=0," ",IF(C129=C86,"OK","ERROR"))</f>
        <v>OK</v>
      </c>
      <c r="D130" s="869" t="str">
        <f t="shared" ca="1" si="56"/>
        <v>OK</v>
      </c>
      <c r="E130" s="869" t="str">
        <f t="shared" ca="1" si="56"/>
        <v>OK</v>
      </c>
      <c r="F130" s="869" t="str">
        <f t="shared" ca="1" si="56"/>
        <v>OK</v>
      </c>
      <c r="G130" s="869" t="str">
        <f t="shared" ca="1" si="56"/>
        <v>OK</v>
      </c>
      <c r="H130" s="869" t="str">
        <f t="shared" ca="1" si="56"/>
        <v>OK</v>
      </c>
      <c r="I130" s="869" t="str">
        <f t="shared" ca="1" si="56"/>
        <v xml:space="preserve"> </v>
      </c>
      <c r="J130" s="869" t="str">
        <f t="shared" ca="1" si="56"/>
        <v xml:space="preserve"> </v>
      </c>
      <c r="K130" s="869" t="str">
        <f t="shared" ca="1" si="56"/>
        <v xml:space="preserve"> </v>
      </c>
      <c r="L130" s="869" t="str">
        <f t="shared" ca="1" si="56"/>
        <v xml:space="preserve"> </v>
      </c>
      <c r="M130" s="869" t="str">
        <f t="shared" ca="1" si="56"/>
        <v xml:space="preserve"> </v>
      </c>
      <c r="N130" s="869" t="str">
        <f t="shared" ca="1" si="56"/>
        <v xml:space="preserve"> </v>
      </c>
      <c r="O130" s="151"/>
    </row>
  </sheetData>
  <mergeCells count="1">
    <mergeCell ref="Z18:AB18"/>
  </mergeCells>
  <pageMargins left="0.2" right="0.2" top="0.25" bottom="0.25" header="0.3" footer="0.3"/>
  <pageSetup paperSize="5" scale="64" orientation="landscape"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CC3CC-59D3-4852-91BC-4B0575E78461}">
  <sheetPr>
    <pageSetUpPr fitToPage="1"/>
  </sheetPr>
  <dimension ref="B2:AG62"/>
  <sheetViews>
    <sheetView showGridLines="0" zoomScale="118" zoomScaleNormal="120" workbookViewId="0">
      <selection activeCell="B32" sqref="B32:E32"/>
    </sheetView>
  </sheetViews>
  <sheetFormatPr baseColWidth="10" defaultColWidth="9.1640625" defaultRowHeight="14"/>
  <cols>
    <col min="1" max="1" width="4.1640625" style="1" customWidth="1"/>
    <col min="2" max="2" width="11.6640625" style="1" customWidth="1"/>
    <col min="3" max="4" width="7.6640625" style="1" customWidth="1"/>
    <col min="5" max="5" width="8.83203125" style="1" customWidth="1"/>
    <col min="6" max="6" width="9.83203125" style="1" customWidth="1"/>
    <col min="7" max="7" width="12.33203125" style="1" customWidth="1"/>
    <col min="8" max="8" width="10.33203125" style="1" customWidth="1"/>
    <col min="9" max="9" width="1.6640625" style="1" customWidth="1"/>
    <col min="10" max="10" width="33.1640625" style="1" customWidth="1"/>
    <col min="11" max="11" width="7.33203125" style="1" customWidth="1"/>
    <col min="12" max="12" width="12.83203125" style="1" customWidth="1"/>
    <col min="13" max="13" width="13.33203125" style="1" customWidth="1"/>
    <col min="14" max="14" width="20" style="1" bestFit="1" customWidth="1"/>
    <col min="15" max="15" width="24" style="1" customWidth="1"/>
    <col min="16" max="16" width="12.33203125" style="1" customWidth="1"/>
    <col min="17" max="18" width="12.83203125" style="1" customWidth="1"/>
    <col min="19" max="19" width="19.1640625" style="1" customWidth="1"/>
    <col min="20" max="22" width="9.1640625" style="1"/>
    <col min="23" max="23" width="10.6640625" style="1" customWidth="1"/>
    <col min="24" max="24" width="6.5" style="1" customWidth="1"/>
    <col min="25" max="25" width="10.5" style="1" customWidth="1"/>
    <col min="26" max="26" width="9.33203125" style="1" customWidth="1"/>
    <col min="27" max="27" width="14" style="1" customWidth="1"/>
    <col min="28" max="28" width="14.5" style="1" customWidth="1"/>
    <col min="29" max="16384" width="9.1640625" style="1"/>
  </cols>
  <sheetData>
    <row r="2" spans="2:33" ht="15">
      <c r="C2"/>
      <c r="M2" s="20" t="s">
        <v>176</v>
      </c>
    </row>
    <row r="3" spans="2:33" ht="18">
      <c r="B3" s="168" t="str">
        <f>'HUD - CashFlow'!R5</f>
        <v>8011 KREFELD DR</v>
      </c>
      <c r="C3" s="169"/>
      <c r="D3" s="167"/>
      <c r="E3" s="167"/>
      <c r="F3" s="167"/>
      <c r="G3" s="26"/>
      <c r="H3" s="26"/>
      <c r="I3" s="26"/>
      <c r="J3" s="26"/>
      <c r="K3" s="26"/>
      <c r="L3" s="26"/>
      <c r="M3" s="24">
        <f ca="1">TODAY()</f>
        <v>44838</v>
      </c>
    </row>
    <row r="4" spans="2:33" ht="16" customHeight="1">
      <c r="B4" s="50" t="str">
        <f ca="1">DOLLAR(F12,0)&amp;", "&amp;ROUND(K9*100,2)&amp;"% Base Rate. 221(d)4 Snapshot"</f>
        <v>$63,463,600, 5% Base Rate. 221(d)4 Snapshot</v>
      </c>
      <c r="C4" s="51"/>
      <c r="D4" s="51"/>
      <c r="E4" s="51"/>
      <c r="F4" s="51"/>
      <c r="G4" s="51"/>
      <c r="H4" s="51"/>
      <c r="I4" s="51"/>
      <c r="J4" s="51"/>
      <c r="K4" s="51"/>
      <c r="L4" s="51"/>
      <c r="M4" s="51"/>
    </row>
    <row r="5" spans="2:33">
      <c r="B5" s="2"/>
      <c r="C5" s="2"/>
      <c r="D5" s="2"/>
      <c r="E5" s="2"/>
      <c r="F5" s="2"/>
      <c r="G5" s="2"/>
      <c r="H5" s="2"/>
      <c r="I5" s="2"/>
      <c r="J5" s="2"/>
      <c r="K5" s="2"/>
      <c r="L5" s="2"/>
      <c r="M5" s="2"/>
    </row>
    <row r="6" spans="2:33" ht="19" thickBot="1">
      <c r="B6" s="53" t="s">
        <v>0</v>
      </c>
      <c r="C6" s="54"/>
      <c r="D6" s="54"/>
      <c r="E6" s="54"/>
      <c r="F6" s="54"/>
      <c r="G6" s="54"/>
      <c r="H6" s="55"/>
      <c r="I6" s="2"/>
      <c r="J6" s="56" t="s">
        <v>1</v>
      </c>
      <c r="K6" s="49"/>
      <c r="L6" s="49"/>
      <c r="M6" s="49"/>
      <c r="O6" s="705" t="s">
        <v>718</v>
      </c>
      <c r="P6" s="709"/>
      <c r="Q6" s="709"/>
      <c r="R6" s="709"/>
      <c r="S6" s="709"/>
      <c r="W6" s="749" t="s">
        <v>725</v>
      </c>
      <c r="X6" s="731"/>
      <c r="Y6" s="731"/>
      <c r="Z6" s="731"/>
      <c r="AA6" s="731"/>
      <c r="AB6" s="731"/>
    </row>
    <row r="7" spans="2:33" ht="15">
      <c r="B7" s="111" t="s">
        <v>2</v>
      </c>
      <c r="C7" s="72"/>
      <c r="D7" s="72"/>
      <c r="E7" s="72"/>
      <c r="F7" s="908">
        <f>F34</f>
        <v>63463600</v>
      </c>
      <c r="G7" s="908"/>
      <c r="H7" s="62"/>
      <c r="I7" s="2"/>
      <c r="J7" s="110" t="s">
        <v>3</v>
      </c>
      <c r="K7" s="909">
        <f ca="1">F12</f>
        <v>63463600</v>
      </c>
      <c r="L7" s="910"/>
      <c r="M7" s="62"/>
      <c r="O7" s="657" t="s">
        <v>72</v>
      </c>
      <c r="P7" s="706" t="s">
        <v>130</v>
      </c>
      <c r="Q7" s="706" t="s">
        <v>121</v>
      </c>
      <c r="R7" s="706" t="s">
        <v>707</v>
      </c>
      <c r="S7" s="706" t="s">
        <v>708</v>
      </c>
      <c r="W7" s="750" t="s">
        <v>720</v>
      </c>
      <c r="X7" s="751" t="s">
        <v>13</v>
      </c>
      <c r="Y7" s="751" t="s">
        <v>130</v>
      </c>
      <c r="Z7" s="751" t="s">
        <v>721</v>
      </c>
      <c r="AA7" s="751" t="s">
        <v>722</v>
      </c>
      <c r="AB7" s="751" t="s">
        <v>723</v>
      </c>
    </row>
    <row r="8" spans="2:33" ht="15">
      <c r="B8" s="903" t="s">
        <v>4</v>
      </c>
      <c r="C8" s="904"/>
      <c r="D8" s="904"/>
      <c r="E8" s="904"/>
      <c r="F8" s="905">
        <f ca="1">F47</f>
        <v>71828600</v>
      </c>
      <c r="G8" s="905"/>
      <c r="H8" s="62"/>
      <c r="I8" s="2"/>
      <c r="J8" s="110" t="s">
        <v>5</v>
      </c>
      <c r="K8" s="906">
        <v>480</v>
      </c>
      <c r="L8" s="907"/>
      <c r="M8" s="62"/>
      <c r="N8" s="552"/>
      <c r="O8" t="s">
        <v>709</v>
      </c>
      <c r="P8" s="716">
        <f>Q8/$Q$11</f>
        <v>0.56097560975609762</v>
      </c>
      <c r="Q8" s="710">
        <v>230</v>
      </c>
      <c r="R8" s="1">
        <v>1</v>
      </c>
      <c r="S8" s="1">
        <f>Q8*R8</f>
        <v>230</v>
      </c>
      <c r="W8" s="733">
        <v>1</v>
      </c>
      <c r="X8" s="732">
        <v>225</v>
      </c>
      <c r="Y8" s="734">
        <f>X8/$X$11</f>
        <v>0.54878048780487809</v>
      </c>
      <c r="Z8" s="735">
        <v>786</v>
      </c>
      <c r="AA8" s="736">
        <v>1915</v>
      </c>
      <c r="AB8" s="737">
        <f>AA8/Z8</f>
        <v>2.4363867684478371</v>
      </c>
    </row>
    <row r="9" spans="2:33" ht="15">
      <c r="B9" s="903" t="s">
        <v>6</v>
      </c>
      <c r="C9" s="904"/>
      <c r="D9" s="904"/>
      <c r="E9" s="904"/>
      <c r="F9" s="913">
        <f>ROUNDDOWN(F59,-2)</f>
        <v>69248400</v>
      </c>
      <c r="G9" s="913"/>
      <c r="H9" s="62"/>
      <c r="I9" s="2"/>
      <c r="J9" s="110" t="s">
        <v>301</v>
      </c>
      <c r="K9" s="914">
        <v>0.05</v>
      </c>
      <c r="L9" s="915"/>
      <c r="M9" s="62"/>
      <c r="N9" s="552"/>
      <c r="O9" t="s">
        <v>710</v>
      </c>
      <c r="P9" s="716">
        <f>Q9/$Q$11</f>
        <v>0.40243902439024393</v>
      </c>
      <c r="Q9" s="710">
        <v>165</v>
      </c>
      <c r="R9" s="1">
        <v>1.8</v>
      </c>
      <c r="S9" s="1">
        <f>Q9*R9</f>
        <v>297</v>
      </c>
      <c r="W9" s="733">
        <v>2</v>
      </c>
      <c r="X9" s="732">
        <v>170</v>
      </c>
      <c r="Y9" s="734">
        <f>X9/$X$11</f>
        <v>0.41463414634146339</v>
      </c>
      <c r="Z9" s="735">
        <v>1050</v>
      </c>
      <c r="AA9" s="736">
        <v>2415</v>
      </c>
      <c r="AB9" s="737">
        <f t="shared" ref="AB9:AB10" si="0">AA9/Z9</f>
        <v>2.2999999999999998</v>
      </c>
    </row>
    <row r="10" spans="2:33" ht="15">
      <c r="B10" s="903"/>
      <c r="C10" s="904"/>
      <c r="D10" s="904"/>
      <c r="E10" s="904"/>
      <c r="F10" s="72"/>
      <c r="G10" s="72"/>
      <c r="H10" s="62"/>
      <c r="I10" s="2"/>
      <c r="J10" s="110" t="s">
        <v>7</v>
      </c>
      <c r="K10" s="914">
        <v>2.5000000000000001E-3</v>
      </c>
      <c r="L10" s="915"/>
      <c r="M10" s="62"/>
      <c r="O10" s="657" t="s">
        <v>711</v>
      </c>
      <c r="P10" s="717">
        <f>Q10/$Q$11</f>
        <v>3.6585365853658534E-2</v>
      </c>
      <c r="Q10" s="711">
        <v>15</v>
      </c>
      <c r="R10" s="709">
        <v>2</v>
      </c>
      <c r="S10" s="709">
        <f>Q10*R10</f>
        <v>30</v>
      </c>
      <c r="W10" s="738">
        <v>3</v>
      </c>
      <c r="X10" s="739">
        <v>15</v>
      </c>
      <c r="Y10" s="740">
        <f>X10/$X$11</f>
        <v>3.6585365853658534E-2</v>
      </c>
      <c r="Z10" s="741">
        <v>1200</v>
      </c>
      <c r="AA10" s="742">
        <v>2880</v>
      </c>
      <c r="AB10" s="743">
        <f t="shared" si="0"/>
        <v>2.4</v>
      </c>
    </row>
    <row r="11" spans="2:33">
      <c r="B11" s="71"/>
      <c r="C11" s="72"/>
      <c r="D11" s="72"/>
      <c r="E11" s="72"/>
      <c r="F11" s="72"/>
      <c r="G11" s="72"/>
      <c r="H11" s="73"/>
      <c r="I11" s="2"/>
      <c r="J11" s="110" t="s">
        <v>8</v>
      </c>
      <c r="K11" s="916">
        <f>-PMT(K9/12,K8,1)*12+K10</f>
        <v>6.0363592069547521E-2</v>
      </c>
      <c r="L11" s="916"/>
      <c r="M11" s="62"/>
      <c r="P11" s="715">
        <f>Q11/$Q$11</f>
        <v>1</v>
      </c>
      <c r="Q11" s="710">
        <f>SUM(Q8:Q10)</f>
        <v>410</v>
      </c>
      <c r="S11" s="1">
        <f>SUM(S8:S10)</f>
        <v>557</v>
      </c>
      <c r="W11" s="744" t="s">
        <v>724</v>
      </c>
      <c r="X11" s="744">
        <f>SUM(X8:X10)</f>
        <v>410</v>
      </c>
      <c r="Y11" s="734">
        <f>X11/$X$11</f>
        <v>1</v>
      </c>
      <c r="Z11" s="745">
        <f>SUMPRODUCT(Z8:Z10,Y8:Y10)</f>
        <v>910.60975609756099</v>
      </c>
      <c r="AA11" s="736">
        <f>SUMPRODUCT(AA8:AA10,Y8:Y10)</f>
        <v>2157.6219512195125</v>
      </c>
      <c r="AB11" s="737">
        <f>SUMPRODUCT(AB8:AB10,Y8:Y10)</f>
        <v>2.378504933904301</v>
      </c>
    </row>
    <row r="12" spans="2:33" ht="18">
      <c r="B12" s="917" t="s">
        <v>9</v>
      </c>
      <c r="C12" s="918"/>
      <c r="D12" s="918"/>
      <c r="E12" s="918"/>
      <c r="F12" s="919">
        <f ca="1">MIN(F7:G9)</f>
        <v>63463600</v>
      </c>
      <c r="G12" s="919"/>
      <c r="H12" s="920"/>
      <c r="I12" s="2"/>
      <c r="J12" s="69" t="s">
        <v>10</v>
      </c>
      <c r="K12" s="919">
        <f ca="1">-PMT(K9/12,K8,K7,0)*12+AmSch!N24</f>
        <v>3830311.0143639925</v>
      </c>
      <c r="L12" s="919"/>
      <c r="M12" s="70"/>
      <c r="N12" s="3"/>
      <c r="O12" s="709" t="s">
        <v>717</v>
      </c>
      <c r="P12" s="712"/>
      <c r="Q12" s="713">
        <v>19</v>
      </c>
      <c r="R12" s="709">
        <v>2</v>
      </c>
      <c r="S12" s="714">
        <f>Q12*R12</f>
        <v>38</v>
      </c>
      <c r="W12" s="744"/>
      <c r="X12" s="744"/>
      <c r="Y12" s="744"/>
      <c r="Z12" s="744"/>
      <c r="AA12" s="744"/>
      <c r="AB12" s="744"/>
      <c r="AE12" s="21" t="s">
        <v>177</v>
      </c>
      <c r="AF12" s="22"/>
      <c r="AG12" s="23"/>
    </row>
    <row r="13" spans="2:33" ht="15">
      <c r="B13" s="2"/>
      <c r="C13" s="2"/>
      <c r="D13" s="2"/>
      <c r="E13" s="2"/>
      <c r="F13" s="2"/>
      <c r="G13" s="2"/>
      <c r="H13" s="2"/>
      <c r="I13" s="2"/>
      <c r="J13" s="4"/>
      <c r="K13" s="5"/>
      <c r="L13" s="5"/>
      <c r="M13" s="5"/>
      <c r="N13" s="3"/>
      <c r="O13" s="718" t="s">
        <v>132</v>
      </c>
      <c r="P13" s="718"/>
      <c r="Q13" s="719">
        <f>SUM(Q11:Q12)</f>
        <v>429</v>
      </c>
      <c r="R13" s="718"/>
      <c r="S13" s="718">
        <f>SUM(S11:S12)</f>
        <v>595</v>
      </c>
      <c r="W13" s="732" t="s">
        <v>717</v>
      </c>
      <c r="X13" s="746">
        <v>19</v>
      </c>
      <c r="Y13" s="732" t="s">
        <v>502</v>
      </c>
      <c r="Z13" s="747">
        <v>2300</v>
      </c>
      <c r="AA13" s="748">
        <v>5200</v>
      </c>
      <c r="AB13" s="737">
        <f>AA13/Z13</f>
        <v>2.2608695652173911</v>
      </c>
      <c r="AE13" s="25" t="s">
        <v>178</v>
      </c>
      <c r="AF13" s="25" t="s">
        <v>179</v>
      </c>
      <c r="AG13" s="25" t="s">
        <v>180</v>
      </c>
    </row>
    <row r="14" spans="2:33" ht="18">
      <c r="B14" s="56" t="s">
        <v>2</v>
      </c>
      <c r="C14" s="49"/>
      <c r="D14" s="49"/>
      <c r="E14" s="49"/>
      <c r="F14" s="49"/>
      <c r="G14" s="49"/>
      <c r="H14" s="57"/>
      <c r="I14" s="2"/>
      <c r="J14" s="56" t="s">
        <v>11</v>
      </c>
      <c r="K14" s="49"/>
      <c r="L14" s="49"/>
      <c r="M14" s="49"/>
      <c r="N14" s="6"/>
      <c r="R14" s="1" t="s">
        <v>719</v>
      </c>
      <c r="S14" s="720">
        <f>0.05*S13</f>
        <v>29.75</v>
      </c>
      <c r="AE14" s="27" t="s">
        <v>182</v>
      </c>
      <c r="AF14" s="27" t="s">
        <v>183</v>
      </c>
      <c r="AG14" s="28" t="s">
        <v>181</v>
      </c>
    </row>
    <row r="15" spans="2:33" ht="15">
      <c r="B15" s="88" t="s">
        <v>12</v>
      </c>
      <c r="C15" s="89" t="s">
        <v>13</v>
      </c>
      <c r="D15" s="89" t="s">
        <v>130</v>
      </c>
      <c r="E15" s="90" t="s">
        <v>14</v>
      </c>
      <c r="F15" s="90" t="s">
        <v>15</v>
      </c>
      <c r="G15" s="90" t="s">
        <v>16</v>
      </c>
      <c r="H15" s="91" t="s">
        <v>17</v>
      </c>
      <c r="I15" s="2"/>
      <c r="J15" s="58" t="s">
        <v>18</v>
      </c>
      <c r="K15" s="59"/>
      <c r="L15" s="60"/>
      <c r="M15" s="61">
        <f ca="1">SUM(L16,L18:L20)</f>
        <v>82815135.620772988</v>
      </c>
      <c r="N15" s="6"/>
      <c r="R15" s="1" t="s">
        <v>716</v>
      </c>
      <c r="S15" s="710">
        <f>SUM(S13:S14)</f>
        <v>624.75</v>
      </c>
      <c r="X15" s="1">
        <f>SUM(X8:X10)</f>
        <v>410</v>
      </c>
      <c r="AE15" s="27" t="s">
        <v>184</v>
      </c>
      <c r="AF15" s="27" t="s">
        <v>185</v>
      </c>
      <c r="AG15" s="30" t="s">
        <v>181</v>
      </c>
    </row>
    <row r="16" spans="2:33" ht="15">
      <c r="B16" s="92" t="s">
        <v>116</v>
      </c>
      <c r="C16" s="853">
        <v>52</v>
      </c>
      <c r="D16" s="727">
        <f t="shared" ref="D16:D23" si="1">C16/$C$23</f>
        <v>0.16250000000000001</v>
      </c>
      <c r="E16" s="853">
        <v>710</v>
      </c>
      <c r="F16" s="853">
        <v>1700</v>
      </c>
      <c r="G16" s="93">
        <f>IFERROR(F16/E16,0)</f>
        <v>2.3943661971830985</v>
      </c>
      <c r="H16" s="94">
        <f t="shared" ref="H16:H22" si="2">C16*F16</f>
        <v>88400</v>
      </c>
      <c r="I16" s="2"/>
      <c r="J16" s="75" t="s">
        <v>251</v>
      </c>
      <c r="K16" s="59"/>
      <c r="L16" s="60">
        <f ca="1">F12</f>
        <v>63463600</v>
      </c>
      <c r="M16" s="112">
        <f ca="1">L16/$M$15</f>
        <v>0.76632851621003761</v>
      </c>
      <c r="N16" s="6"/>
      <c r="AE16" s="27" t="s">
        <v>187</v>
      </c>
      <c r="AF16" s="27" t="s">
        <v>188</v>
      </c>
      <c r="AG16" s="32" t="s">
        <v>189</v>
      </c>
    </row>
    <row r="17" spans="2:33" ht="16">
      <c r="B17" s="92" t="s">
        <v>116</v>
      </c>
      <c r="C17" s="853">
        <v>97</v>
      </c>
      <c r="D17" s="228">
        <f t="shared" si="1"/>
        <v>0.30312499999999998</v>
      </c>
      <c r="E17" s="853">
        <v>760</v>
      </c>
      <c r="F17" s="853">
        <v>1700</v>
      </c>
      <c r="G17" s="93">
        <f t="shared" ref="G17:G22" si="3">IFERROR(F17/E17,0)</f>
        <v>2.236842105263158</v>
      </c>
      <c r="H17" s="94">
        <f t="shared" si="2"/>
        <v>164900</v>
      </c>
      <c r="I17" s="2"/>
      <c r="J17" s="82" t="s">
        <v>371</v>
      </c>
      <c r="K17" s="221"/>
      <c r="L17" s="84">
        <f ca="1">M21-L16</f>
        <v>19351535.620772988</v>
      </c>
      <c r="M17" s="222">
        <f ca="1">L17/M15</f>
        <v>0.23367148378996233</v>
      </c>
      <c r="O17" s="17" t="s">
        <v>712</v>
      </c>
      <c r="X17" s="1">
        <f>X8/X15</f>
        <v>0.54878048780487809</v>
      </c>
      <c r="AE17" s="27" t="s">
        <v>191</v>
      </c>
      <c r="AF17" s="27" t="s">
        <v>192</v>
      </c>
      <c r="AG17" s="35" t="s">
        <v>189</v>
      </c>
    </row>
    <row r="18" spans="2:33" ht="15" customHeight="1">
      <c r="B18" s="92" t="s">
        <v>116</v>
      </c>
      <c r="C18" s="853">
        <v>55</v>
      </c>
      <c r="D18" s="228">
        <f t="shared" si="1"/>
        <v>0.171875</v>
      </c>
      <c r="E18" s="853">
        <v>830</v>
      </c>
      <c r="F18" s="853">
        <v>1780</v>
      </c>
      <c r="G18" s="93">
        <f t="shared" si="3"/>
        <v>2.1445783132530121</v>
      </c>
      <c r="H18" s="94">
        <f t="shared" si="2"/>
        <v>97900</v>
      </c>
      <c r="I18" s="2"/>
      <c r="J18" s="78" t="s">
        <v>369</v>
      </c>
      <c r="L18" s="146">
        <f ca="1">L17-L19-L20</f>
        <v>12440258.359999994</v>
      </c>
      <c r="M18" s="114"/>
      <c r="N18" s="6"/>
      <c r="O18" t="s">
        <v>713</v>
      </c>
      <c r="AE18" s="27" t="s">
        <v>194</v>
      </c>
      <c r="AF18" s="27" t="s">
        <v>195</v>
      </c>
      <c r="AG18" s="36" t="s">
        <v>194</v>
      </c>
    </row>
    <row r="19" spans="2:33" ht="15">
      <c r="B19" s="92" t="s">
        <v>117</v>
      </c>
      <c r="C19" s="853">
        <v>45</v>
      </c>
      <c r="D19" s="228">
        <f t="shared" si="1"/>
        <v>0.140625</v>
      </c>
      <c r="E19" s="853">
        <v>950</v>
      </c>
      <c r="F19" s="853">
        <v>1700</v>
      </c>
      <c r="G19" s="93">
        <f t="shared" si="3"/>
        <v>1.7894736842105263</v>
      </c>
      <c r="H19" s="94">
        <f t="shared" si="2"/>
        <v>76500</v>
      </c>
      <c r="I19" s="2"/>
      <c r="J19" s="78" t="s">
        <v>174</v>
      </c>
      <c r="K19" s="113"/>
      <c r="L19" s="146">
        <f>L24</f>
        <v>1500000</v>
      </c>
      <c r="M19" s="114"/>
      <c r="N19" s="6"/>
      <c r="O19" t="s">
        <v>714</v>
      </c>
      <c r="AE19" s="27" t="s">
        <v>197</v>
      </c>
      <c r="AF19" s="27" t="s">
        <v>198</v>
      </c>
      <c r="AG19" s="37" t="s">
        <v>199</v>
      </c>
    </row>
    <row r="20" spans="2:33" ht="15" customHeight="1">
      <c r="B20" s="92" t="s">
        <v>117</v>
      </c>
      <c r="C20" s="853">
        <v>30</v>
      </c>
      <c r="D20" s="228">
        <f t="shared" si="1"/>
        <v>9.375E-2</v>
      </c>
      <c r="E20" s="853">
        <v>1000</v>
      </c>
      <c r="F20" s="853">
        <v>1800</v>
      </c>
      <c r="G20" s="93">
        <f t="shared" si="3"/>
        <v>1.8</v>
      </c>
      <c r="H20" s="94">
        <f t="shared" si="2"/>
        <v>54000</v>
      </c>
      <c r="I20" s="2"/>
      <c r="J20" s="78" t="s">
        <v>253</v>
      </c>
      <c r="K20" s="113"/>
      <c r="L20" s="146">
        <f ca="1">SUM(L46:L47)</f>
        <v>5411277.2607729938</v>
      </c>
      <c r="M20" s="114"/>
      <c r="N20" s="6"/>
      <c r="O20" s="657" t="s">
        <v>715</v>
      </c>
      <c r="AE20"/>
      <c r="AF20"/>
      <c r="AG20"/>
    </row>
    <row r="21" spans="2:33" ht="15">
      <c r="B21" s="92" t="s">
        <v>118</v>
      </c>
      <c r="C21" s="853">
        <v>20</v>
      </c>
      <c r="D21" s="228">
        <f t="shared" si="1"/>
        <v>6.25E-2</v>
      </c>
      <c r="E21" s="853">
        <v>1120</v>
      </c>
      <c r="F21" s="853">
        <v>1850</v>
      </c>
      <c r="G21" s="93">
        <f t="shared" si="3"/>
        <v>1.6517857142857142</v>
      </c>
      <c r="H21" s="94">
        <f t="shared" si="2"/>
        <v>37000</v>
      </c>
      <c r="I21" s="2"/>
      <c r="J21" s="58" t="s">
        <v>19</v>
      </c>
      <c r="K21" s="60" t="s">
        <v>20</v>
      </c>
      <c r="L21" s="60" t="s">
        <v>20</v>
      </c>
      <c r="M21" s="61">
        <f ca="1">SUM(L22:L47)</f>
        <v>82815135.620772988</v>
      </c>
      <c r="N21" s="7"/>
      <c r="O21" t="s">
        <v>716</v>
      </c>
      <c r="S21" s="1">
        <f>550+38+39</f>
        <v>627</v>
      </c>
      <c r="AE21"/>
      <c r="AF21"/>
      <c r="AG21" s="39"/>
    </row>
    <row r="22" spans="2:33" ht="15">
      <c r="B22" s="95" t="s">
        <v>705</v>
      </c>
      <c r="C22" s="96">
        <v>21</v>
      </c>
      <c r="D22" s="229">
        <f t="shared" si="1"/>
        <v>6.5625000000000003E-2</v>
      </c>
      <c r="E22" s="96">
        <v>1250</v>
      </c>
      <c r="F22" s="96">
        <v>2000</v>
      </c>
      <c r="G22" s="97">
        <f t="shared" si="3"/>
        <v>1.6</v>
      </c>
      <c r="H22" s="98">
        <f t="shared" si="2"/>
        <v>42000</v>
      </c>
      <c r="I22" s="2"/>
      <c r="J22" s="75" t="s">
        <v>21</v>
      </c>
      <c r="K22" s="59"/>
      <c r="L22" s="809">
        <f>G45</f>
        <v>6400000</v>
      </c>
      <c r="M22" s="62"/>
      <c r="N22" s="7"/>
      <c r="AE22"/>
      <c r="AF22"/>
      <c r="AG22" s="41"/>
    </row>
    <row r="23" spans="2:33" ht="15">
      <c r="B23" s="99" t="s">
        <v>22</v>
      </c>
      <c r="C23" s="100">
        <f>SUM(C16:C22)</f>
        <v>320</v>
      </c>
      <c r="D23" s="142">
        <f t="shared" si="1"/>
        <v>1</v>
      </c>
      <c r="E23" s="101">
        <f>SUMPRODUCT($C$16:$C$22,E16:E22)</f>
        <v>277690</v>
      </c>
      <c r="F23" s="101">
        <f>SUMPRODUCT($C$16:$C$22,F16:F22)/$C$23</f>
        <v>1752.1875</v>
      </c>
      <c r="G23" s="102">
        <f>SUMPRODUCT($C$16:$C$22,G16:G22)/$C$23</f>
        <v>2.0643580117754725</v>
      </c>
      <c r="H23" s="103">
        <f>SUM(H16:H22)</f>
        <v>560700</v>
      </c>
      <c r="I23" s="2"/>
      <c r="J23" s="75" t="s">
        <v>23</v>
      </c>
      <c r="K23" s="59"/>
      <c r="L23" s="77">
        <v>54500000</v>
      </c>
      <c r="M23" s="63" t="str">
        <f>DOLLAR(L23/$E$23,0)&amp;" psf"</f>
        <v>$196 psf</v>
      </c>
      <c r="N23" s="699">
        <v>215000</v>
      </c>
      <c r="AE23"/>
      <c r="AF23"/>
      <c r="AG23" s="42"/>
    </row>
    <row r="24" spans="2:33" ht="15">
      <c r="B24" s="143" t="s">
        <v>368</v>
      </c>
      <c r="C24" s="144">
        <f>SUMPRODUCT(D16:D22,E16:E22)</f>
        <v>867.78125</v>
      </c>
      <c r="D24" s="141"/>
      <c r="F24" s="101"/>
      <c r="G24" s="511"/>
      <c r="H24" s="103"/>
      <c r="I24" s="2"/>
      <c r="J24" s="82" t="s">
        <v>174</v>
      </c>
      <c r="K24" s="221"/>
      <c r="L24" s="507">
        <v>1500000</v>
      </c>
      <c r="M24" s="223"/>
      <c r="N24" s="505"/>
      <c r="AE24"/>
      <c r="AF24"/>
      <c r="AG24" s="43"/>
    </row>
    <row r="25" spans="2:33" ht="15" customHeight="1">
      <c r="B25" s="903"/>
      <c r="C25" s="911"/>
      <c r="D25" s="911"/>
      <c r="E25" s="911"/>
      <c r="F25" s="912"/>
      <c r="G25" s="912"/>
      <c r="H25" s="104"/>
      <c r="I25" s="2"/>
      <c r="J25" s="75" t="s">
        <v>26</v>
      </c>
      <c r="K25" s="59"/>
      <c r="L25" s="60">
        <f>'Dev Budget'!C33</f>
        <v>1981447.56</v>
      </c>
      <c r="M25" s="64">
        <f>L25/L23</f>
        <v>3.6356835963302754E-2</v>
      </c>
      <c r="N25" s="7"/>
      <c r="O25" s="707"/>
      <c r="AE25"/>
      <c r="AF25"/>
      <c r="AG25" s="44"/>
    </row>
    <row r="26" spans="2:33">
      <c r="B26" s="903" t="s">
        <v>25</v>
      </c>
      <c r="C26" s="911"/>
      <c r="D26" s="911"/>
      <c r="E26" s="911"/>
      <c r="F26" s="912">
        <f>H23*12</f>
        <v>6728400</v>
      </c>
      <c r="G26" s="912"/>
      <c r="H26" s="104"/>
      <c r="I26" s="2"/>
      <c r="J26" s="75" t="s">
        <v>28</v>
      </c>
      <c r="K26" s="59"/>
      <c r="L26" s="60">
        <f>L23*2%+200000</f>
        <v>1290000</v>
      </c>
      <c r="M26" s="64">
        <f>L26/L23</f>
        <v>2.3669724770642202E-2</v>
      </c>
      <c r="O26" s="708"/>
    </row>
    <row r="27" spans="2:33" ht="15">
      <c r="B27" s="105" t="s">
        <v>27</v>
      </c>
      <c r="C27" s="106"/>
      <c r="D27" s="106"/>
      <c r="E27" s="107"/>
      <c r="F27" s="921">
        <f>C23*H27*12</f>
        <v>576000</v>
      </c>
      <c r="G27" s="921"/>
      <c r="H27" s="291">
        <v>150</v>
      </c>
      <c r="I27" s="2"/>
      <c r="J27" s="75" t="s">
        <v>30</v>
      </c>
      <c r="K27" s="59"/>
      <c r="L27" s="60">
        <f>L23*0.65%</f>
        <v>354250.00000000006</v>
      </c>
      <c r="M27" s="64">
        <f>L27/L23</f>
        <v>6.5000000000000014E-3</v>
      </c>
      <c r="N27" s="9"/>
    </row>
    <row r="28" spans="2:33">
      <c r="B28" s="134" t="s">
        <v>29</v>
      </c>
      <c r="C28" s="135"/>
      <c r="D28" s="135"/>
      <c r="E28" s="108">
        <v>7.0000000000000007E-2</v>
      </c>
      <c r="F28" s="908">
        <f>-(E28*SUM(F26:G27))</f>
        <v>-511308.00000000006</v>
      </c>
      <c r="G28" s="908"/>
      <c r="H28" s="109"/>
      <c r="I28" s="2"/>
      <c r="J28" s="698" t="s">
        <v>706</v>
      </c>
      <c r="K28" s="84" t="s">
        <v>20</v>
      </c>
      <c r="L28" s="506"/>
      <c r="M28" s="223" t="s">
        <v>20</v>
      </c>
      <c r="N28" s="504"/>
    </row>
    <row r="29" spans="2:33" ht="15">
      <c r="B29" s="134" t="s">
        <v>31</v>
      </c>
      <c r="C29" s="135"/>
      <c r="D29" s="135"/>
      <c r="E29" s="135"/>
      <c r="F29" s="922">
        <f>SUM(F26:G28)</f>
        <v>6793092</v>
      </c>
      <c r="G29" s="922"/>
      <c r="H29" s="104"/>
      <c r="I29" s="2"/>
      <c r="J29" s="268" t="s">
        <v>752</v>
      </c>
      <c r="K29" s="59"/>
      <c r="L29" s="77">
        <v>4300000</v>
      </c>
      <c r="M29" s="62"/>
      <c r="N29" s="9"/>
    </row>
    <row r="30" spans="2:33">
      <c r="B30" s="134" t="s">
        <v>32</v>
      </c>
      <c r="C30" s="135"/>
      <c r="D30" s="135"/>
      <c r="E30" s="857">
        <f>'HUD - CashFlow'!A27</f>
        <v>0.33654162493309375</v>
      </c>
      <c r="F30" s="908">
        <f>'HUD - CashFlow'!S35</f>
        <v>2286158.2199999997</v>
      </c>
      <c r="G30" s="908"/>
      <c r="H30" s="227" t="str">
        <f>DOLLAR((F30/C23),0)&amp;" pu"</f>
        <v>$7,144 pu</v>
      </c>
      <c r="I30" s="2"/>
      <c r="J30" s="268" t="s">
        <v>753</v>
      </c>
      <c r="K30" s="59"/>
      <c r="L30" s="77">
        <v>700000</v>
      </c>
      <c r="M30" s="62"/>
    </row>
    <row r="31" spans="2:33">
      <c r="B31" s="137" t="s">
        <v>33</v>
      </c>
      <c r="C31" s="138"/>
      <c r="D31" s="138"/>
      <c r="E31" s="138"/>
      <c r="F31" s="923">
        <f>F29-F30</f>
        <v>4506933.78</v>
      </c>
      <c r="G31" s="923"/>
      <c r="H31" s="104"/>
      <c r="I31" s="2"/>
      <c r="J31" s="268" t="s">
        <v>34</v>
      </c>
      <c r="K31" s="59"/>
      <c r="L31" s="77">
        <v>17500</v>
      </c>
      <c r="M31" s="62"/>
    </row>
    <row r="32" spans="2:33">
      <c r="B32" s="903" t="s">
        <v>35</v>
      </c>
      <c r="C32" s="911"/>
      <c r="D32" s="911"/>
      <c r="E32" s="911"/>
      <c r="F32" s="925">
        <f>F31*0.85</f>
        <v>3830893.713</v>
      </c>
      <c r="G32" s="925"/>
      <c r="H32" s="74" t="s">
        <v>36</v>
      </c>
      <c r="I32" s="2"/>
      <c r="J32" s="268" t="s">
        <v>610</v>
      </c>
      <c r="K32" s="59"/>
      <c r="L32" s="77">
        <v>50000</v>
      </c>
      <c r="M32" s="62"/>
    </row>
    <row r="33" spans="2:15">
      <c r="B33" s="903" t="s">
        <v>8</v>
      </c>
      <c r="C33" s="911"/>
      <c r="D33" s="911"/>
      <c r="E33" s="911"/>
      <c r="F33" s="926">
        <f>K11</f>
        <v>6.0363592069547521E-2</v>
      </c>
      <c r="G33" s="926"/>
      <c r="H33" s="104"/>
      <c r="I33" s="2"/>
      <c r="J33" s="268" t="s">
        <v>38</v>
      </c>
      <c r="K33" s="59"/>
      <c r="L33" s="77">
        <v>8000</v>
      </c>
      <c r="M33" s="62"/>
    </row>
    <row r="34" spans="2:15">
      <c r="B34" s="927" t="s">
        <v>2</v>
      </c>
      <c r="C34" s="928"/>
      <c r="D34" s="928"/>
      <c r="E34" s="928"/>
      <c r="F34" s="929">
        <f>ROUNDDOWN(F32/F33,-2)</f>
        <v>63463600</v>
      </c>
      <c r="G34" s="929"/>
      <c r="H34" s="930"/>
      <c r="I34" s="2"/>
      <c r="J34" s="75" t="s">
        <v>39</v>
      </c>
      <c r="K34" s="59"/>
      <c r="L34" s="60">
        <f ca="1">(F12*(K9/12)*24/2)</f>
        <v>3173180</v>
      </c>
      <c r="M34" s="65" t="s">
        <v>120</v>
      </c>
    </row>
    <row r="35" spans="2:15" ht="15">
      <c r="H35" s="10"/>
      <c r="I35" s="2"/>
      <c r="J35" s="75" t="s">
        <v>40</v>
      </c>
      <c r="K35" s="79">
        <f>'[3]92013 Pg 3'!F63</f>
        <v>5.0000000000000001E-3</v>
      </c>
      <c r="L35" s="60">
        <f ca="1">K35*$F$12</f>
        <v>317318</v>
      </c>
      <c r="M35" s="62"/>
    </row>
    <row r="36" spans="2:15" ht="19" thickBot="1">
      <c r="B36" s="56" t="s">
        <v>4</v>
      </c>
      <c r="C36" s="49"/>
      <c r="D36" s="49"/>
      <c r="E36" s="49"/>
      <c r="F36" s="49"/>
      <c r="G36" s="49"/>
      <c r="H36" s="57"/>
      <c r="I36" s="2"/>
      <c r="J36" s="75" t="s">
        <v>41</v>
      </c>
      <c r="K36" s="79">
        <v>3.0000000000000001E-3</v>
      </c>
      <c r="L36" s="60">
        <f ca="1">K36*$F$12</f>
        <v>190390.80000000002</v>
      </c>
      <c r="M36" s="62"/>
    </row>
    <row r="37" spans="2:15">
      <c r="B37" s="931" t="s">
        <v>42</v>
      </c>
      <c r="C37" s="932"/>
      <c r="D37" s="932"/>
      <c r="E37" s="932"/>
      <c r="F37" s="115"/>
      <c r="G37" s="910">
        <f ca="1">M21</f>
        <v>82815135.620772988</v>
      </c>
      <c r="H37" s="909"/>
      <c r="I37" s="2"/>
      <c r="J37" s="75" t="s">
        <v>43</v>
      </c>
      <c r="K37" s="79">
        <v>5.0000000000000001E-3</v>
      </c>
      <c r="L37" s="60">
        <f ca="1">K37*$F$12</f>
        <v>317318</v>
      </c>
      <c r="M37" s="62"/>
    </row>
    <row r="38" spans="2:15">
      <c r="B38" s="116" t="s">
        <v>44</v>
      </c>
      <c r="C38" s="117"/>
      <c r="D38" s="135"/>
      <c r="E38" s="117"/>
      <c r="F38" s="118"/>
      <c r="G38" s="912">
        <f ca="1">-SUM(F39:F43)</f>
        <v>-11811277.260772994</v>
      </c>
      <c r="H38" s="933"/>
      <c r="I38" s="2"/>
      <c r="J38" s="75" t="s">
        <v>45</v>
      </c>
      <c r="K38" s="80">
        <v>0.01</v>
      </c>
      <c r="L38" s="60">
        <f ca="1">K38*$F$12</f>
        <v>634636</v>
      </c>
      <c r="M38" s="62"/>
    </row>
    <row r="39" spans="2:15">
      <c r="B39" s="116" t="s">
        <v>46</v>
      </c>
      <c r="C39" s="59"/>
      <c r="D39" s="59"/>
      <c r="E39" s="59"/>
      <c r="F39" s="145">
        <f>L22</f>
        <v>6400000</v>
      </c>
      <c r="G39" s="136"/>
      <c r="H39" s="139"/>
      <c r="I39" s="2"/>
      <c r="J39" s="75" t="s">
        <v>47</v>
      </c>
      <c r="K39" s="81">
        <f ca="1">L39/L16</f>
        <v>5.5149723621099344E-4</v>
      </c>
      <c r="L39" s="77">
        <v>35000</v>
      </c>
      <c r="M39" s="65"/>
    </row>
    <row r="40" spans="2:15">
      <c r="B40" s="116" t="s">
        <v>24</v>
      </c>
      <c r="C40" s="59"/>
      <c r="D40" s="59"/>
      <c r="E40" s="59"/>
      <c r="F40" s="145" t="s">
        <v>252</v>
      </c>
      <c r="G40" s="912"/>
      <c r="H40" s="933"/>
      <c r="I40" s="2"/>
      <c r="J40" s="75" t="s">
        <v>49</v>
      </c>
      <c r="K40" s="81"/>
      <c r="L40" s="76">
        <v>0</v>
      </c>
      <c r="M40" s="66"/>
    </row>
    <row r="41" spans="2:15">
      <c r="B41" s="119" t="str">
        <f>J46</f>
        <v>Working Capital Escrow</v>
      </c>
      <c r="C41" s="117"/>
      <c r="D41" s="135"/>
      <c r="E41" s="117"/>
      <c r="F41" s="145">
        <f ca="1">L46</f>
        <v>2538544</v>
      </c>
      <c r="G41" s="136"/>
      <c r="H41" s="139"/>
      <c r="I41" s="2"/>
      <c r="J41" s="75" t="s">
        <v>50</v>
      </c>
      <c r="K41" s="79">
        <v>5.0000000000000001E-3</v>
      </c>
      <c r="L41" s="60">
        <f ca="1">L16*K41</f>
        <v>317318</v>
      </c>
      <c r="M41" s="65" t="s">
        <v>48</v>
      </c>
      <c r="N41" s="8"/>
    </row>
    <row r="42" spans="2:15">
      <c r="B42" s="119" t="str">
        <f>J47</f>
        <v>Operating Deficit Escrow</v>
      </c>
      <c r="C42" s="117"/>
      <c r="D42" s="135"/>
      <c r="E42" s="117"/>
      <c r="F42" s="145">
        <f ca="1">L47</f>
        <v>2872733.2607729943</v>
      </c>
      <c r="G42" s="136"/>
      <c r="H42" s="139"/>
      <c r="I42" s="2"/>
      <c r="J42" s="75" t="s">
        <v>51</v>
      </c>
      <c r="K42" s="59"/>
      <c r="L42" s="77">
        <v>50000</v>
      </c>
      <c r="M42" s="62"/>
    </row>
    <row r="43" spans="2:15">
      <c r="B43" s="116" t="s">
        <v>52</v>
      </c>
      <c r="C43" s="117"/>
      <c r="D43" s="135"/>
      <c r="E43" s="117"/>
      <c r="F43" s="117"/>
      <c r="G43" s="922">
        <f ca="1">SUM(G37:H42)</f>
        <v>71003858.359999999</v>
      </c>
      <c r="H43" s="924"/>
      <c r="I43" s="2"/>
      <c r="J43" s="75" t="s">
        <v>53</v>
      </c>
      <c r="K43" s="80"/>
      <c r="L43" s="77">
        <v>17500</v>
      </c>
      <c r="M43" s="62"/>
      <c r="N43" s="6"/>
    </row>
    <row r="44" spans="2:15">
      <c r="B44" s="116" t="s">
        <v>54</v>
      </c>
      <c r="C44" s="117"/>
      <c r="D44" s="135"/>
      <c r="E44" s="117"/>
      <c r="F44" s="120"/>
      <c r="G44" s="912">
        <f ca="1">G43*0.1</f>
        <v>7100385.8360000001</v>
      </c>
      <c r="H44" s="933"/>
      <c r="I44" s="2"/>
      <c r="J44" s="75" t="s">
        <v>55</v>
      </c>
      <c r="K44" s="59"/>
      <c r="L44" s="76">
        <v>1100000</v>
      </c>
      <c r="M44" s="65"/>
    </row>
    <row r="45" spans="2:15">
      <c r="B45" s="121" t="s">
        <v>370</v>
      </c>
      <c r="C45" s="122"/>
      <c r="D45" s="122"/>
      <c r="E45" s="122"/>
      <c r="F45" s="856">
        <v>20000</v>
      </c>
      <c r="G45" s="936">
        <f>F45*C23</f>
        <v>6400000</v>
      </c>
      <c r="H45" s="937"/>
      <c r="I45" s="2"/>
      <c r="J45" s="75" t="s">
        <v>56</v>
      </c>
      <c r="K45" s="59"/>
      <c r="L45" s="76">
        <v>150000</v>
      </c>
      <c r="M45" s="65"/>
    </row>
    <row r="46" spans="2:15">
      <c r="B46" s="123" t="s">
        <v>57</v>
      </c>
      <c r="C46" s="124"/>
      <c r="D46" s="124"/>
      <c r="E46" s="124"/>
      <c r="F46" s="125"/>
      <c r="G46" s="913">
        <f ca="1">SUM(G43:H45)</f>
        <v>84504244.195999995</v>
      </c>
      <c r="H46" s="938"/>
      <c r="I46" s="2"/>
      <c r="J46" s="82" t="s">
        <v>58</v>
      </c>
      <c r="K46" s="83">
        <v>0.04</v>
      </c>
      <c r="L46" s="84">
        <f ca="1">K46*$F$12</f>
        <v>2538544</v>
      </c>
      <c r="M46" s="67"/>
      <c r="O46" s="7"/>
    </row>
    <row r="47" spans="2:15" ht="15">
      <c r="B47" s="939" t="s">
        <v>59</v>
      </c>
      <c r="C47" s="940"/>
      <c r="D47" s="940"/>
      <c r="E47" s="940"/>
      <c r="F47" s="941">
        <f ca="1">ROUNDDOWN(G46*0.85,-2)</f>
        <v>71828600</v>
      </c>
      <c r="G47" s="941"/>
      <c r="H47" s="942"/>
      <c r="I47" s="2"/>
      <c r="J47" s="85" t="s">
        <v>60</v>
      </c>
      <c r="K47" s="86"/>
      <c r="L47" s="87">
        <f ca="1">K12/12*9</f>
        <v>2872733.2607729943</v>
      </c>
      <c r="M47" s="68" t="s">
        <v>119</v>
      </c>
      <c r="N47" s="6"/>
      <c r="O47" s="505"/>
    </row>
    <row r="48" spans="2:15">
      <c r="B48" s="11"/>
      <c r="C48" s="2"/>
      <c r="D48" s="2"/>
      <c r="E48" s="2"/>
      <c r="F48" s="2"/>
      <c r="G48" s="2"/>
      <c r="H48" s="2"/>
      <c r="I48" s="2"/>
      <c r="J48" s="2"/>
      <c r="K48" s="2"/>
      <c r="L48" s="2"/>
      <c r="M48" s="2"/>
    </row>
    <row r="49" spans="2:14" ht="15" customHeight="1" thickBot="1">
      <c r="B49" s="56" t="s">
        <v>6</v>
      </c>
      <c r="C49" s="49"/>
      <c r="D49" s="49"/>
      <c r="E49" s="49"/>
      <c r="F49" s="49"/>
      <c r="G49" s="49"/>
      <c r="H49" s="57"/>
      <c r="I49" s="2"/>
      <c r="J49" s="56" t="s">
        <v>492</v>
      </c>
      <c r="K49" s="49"/>
      <c r="L49" s="49"/>
      <c r="M49" s="49"/>
    </row>
    <row r="50" spans="2:14">
      <c r="B50" s="946" t="s">
        <v>62</v>
      </c>
      <c r="C50" s="948" t="s">
        <v>13</v>
      </c>
      <c r="D50" s="140"/>
      <c r="E50" s="950" t="s">
        <v>603</v>
      </c>
      <c r="F50" s="952" t="s">
        <v>63</v>
      </c>
      <c r="G50" s="954" t="s">
        <v>64</v>
      </c>
      <c r="H50" s="955"/>
      <c r="I50" s="2"/>
      <c r="J50" s="289" t="s">
        <v>33</v>
      </c>
      <c r="K50" s="218"/>
      <c r="L50" s="286">
        <f>F31</f>
        <v>4506933.78</v>
      </c>
      <c r="M50" s="219"/>
    </row>
    <row r="51" spans="2:14" ht="16.5" customHeight="1">
      <c r="B51" s="947"/>
      <c r="C51" s="949"/>
      <c r="D51" s="141"/>
      <c r="E51" s="951"/>
      <c r="F51" s="953"/>
      <c r="G51" s="956"/>
      <c r="H51" s="957"/>
      <c r="I51" s="12"/>
      <c r="J51" s="290" t="s">
        <v>376</v>
      </c>
      <c r="K51" s="220"/>
      <c r="L51" s="287">
        <f ca="1">AmSch!K36</f>
        <v>3829004.7262563845</v>
      </c>
      <c r="M51" s="217"/>
    </row>
    <row r="52" spans="2:14" ht="15" customHeight="1">
      <c r="B52" s="126" t="s">
        <v>65</v>
      </c>
      <c r="C52" s="118">
        <v>0</v>
      </c>
      <c r="D52" s="136"/>
      <c r="E52" s="127">
        <v>53400</v>
      </c>
      <c r="F52" s="128">
        <v>2.7</v>
      </c>
      <c r="G52" s="934">
        <f>C52*E52*F52</f>
        <v>0</v>
      </c>
      <c r="H52" s="935"/>
      <c r="J52" s="290" t="s">
        <v>374</v>
      </c>
      <c r="K52" s="220"/>
      <c r="L52" s="288">
        <f ca="1">L50-L51</f>
        <v>677929.05374361575</v>
      </c>
      <c r="M52" s="217"/>
    </row>
    <row r="53" spans="2:14" ht="14" customHeight="1">
      <c r="B53" s="126" t="s">
        <v>66</v>
      </c>
      <c r="C53" s="118">
        <f>C17+C18+C16</f>
        <v>204</v>
      </c>
      <c r="D53" s="136"/>
      <c r="E53" s="127">
        <v>60619</v>
      </c>
      <c r="F53" s="128">
        <v>2.7</v>
      </c>
      <c r="G53" s="934">
        <f>C53*E53*F53</f>
        <v>33388945.200000003</v>
      </c>
      <c r="H53" s="935"/>
      <c r="I53" s="2"/>
      <c r="J53" s="508" t="s">
        <v>582</v>
      </c>
      <c r="K53" s="509"/>
      <c r="L53" s="510">
        <f ca="1">SUM(L18:L19)+1000000-'HUD - CashFlow'!D39</f>
        <v>16226235.298202526</v>
      </c>
      <c r="M53" s="217"/>
    </row>
    <row r="54" spans="2:14" ht="15">
      <c r="B54" s="126" t="s">
        <v>67</v>
      </c>
      <c r="C54" s="118">
        <f>C19+C20+C21</f>
        <v>95</v>
      </c>
      <c r="D54" s="136"/>
      <c r="E54" s="127">
        <v>73274</v>
      </c>
      <c r="F54" s="128">
        <v>2.7</v>
      </c>
      <c r="G54" s="934">
        <f>C54*E54*F54</f>
        <v>18794781</v>
      </c>
      <c r="H54" s="935"/>
      <c r="I54" s="2"/>
      <c r="J54" s="290" t="s">
        <v>375</v>
      </c>
      <c r="K54" s="220"/>
      <c r="L54" s="543">
        <f ca="1">L52/L53</f>
        <v>4.1779811600458787E-2</v>
      </c>
      <c r="M54" s="217"/>
    </row>
    <row r="55" spans="2:14" ht="15">
      <c r="B55" s="126" t="s">
        <v>68</v>
      </c>
      <c r="C55" s="118">
        <f>C22</f>
        <v>21</v>
      </c>
      <c r="D55" s="136"/>
      <c r="E55" s="127">
        <v>91970</v>
      </c>
      <c r="F55" s="128">
        <v>2.7</v>
      </c>
      <c r="G55" s="934">
        <f>C55*E55*F55</f>
        <v>5214699</v>
      </c>
      <c r="H55" s="935"/>
      <c r="I55" s="2"/>
      <c r="J55" s="943" t="str">
        <f ca="1">CONCATENATE("- Equity In assumes using $1M contingency for construction + lease up deficit of " &amp; TEXT(ROUND(-'HUD - CashFlow'!D39,-4),"$0.00,,")&amp; "M")</f>
        <v>- Equity In assumes using $1M contingency for construction + lease up deficit of $1.29M</v>
      </c>
      <c r="K55" s="944"/>
      <c r="L55" s="944"/>
      <c r="M55" s="945"/>
      <c r="N55"/>
    </row>
    <row r="56" spans="2:14" ht="15">
      <c r="B56" s="126" t="s">
        <v>69</v>
      </c>
      <c r="C56" s="118">
        <v>0</v>
      </c>
      <c r="D56" s="136"/>
      <c r="E56" s="127">
        <v>103924</v>
      </c>
      <c r="F56" s="128">
        <v>2.7</v>
      </c>
      <c r="G56" s="934">
        <f>C56*E56*F56</f>
        <v>0</v>
      </c>
      <c r="H56" s="935"/>
      <c r="I56" s="2"/>
      <c r="J56" s="890" t="s">
        <v>547</v>
      </c>
      <c r="K56" s="897"/>
      <c r="L56" s="897"/>
      <c r="M56" s="898"/>
      <c r="N56"/>
    </row>
    <row r="57" spans="2:14" ht="15">
      <c r="B57" s="958" t="s">
        <v>70</v>
      </c>
      <c r="C57" s="959"/>
      <c r="D57" s="959"/>
      <c r="E57" s="959"/>
      <c r="F57" s="127"/>
      <c r="G57" s="934">
        <f>0.1*L23</f>
        <v>5450000</v>
      </c>
      <c r="H57" s="935"/>
      <c r="J57" s="899"/>
      <c r="K57" s="897"/>
      <c r="L57" s="897"/>
      <c r="M57" s="898"/>
      <c r="N57"/>
    </row>
    <row r="58" spans="2:14" ht="15" customHeight="1">
      <c r="B58" s="958" t="s">
        <v>71</v>
      </c>
      <c r="C58" s="959"/>
      <c r="D58" s="959"/>
      <c r="E58" s="959"/>
      <c r="F58" s="127"/>
      <c r="G58" s="934">
        <f>G45</f>
        <v>6400000</v>
      </c>
      <c r="H58" s="935"/>
      <c r="I58" s="2"/>
      <c r="J58" s="899"/>
      <c r="K58" s="897"/>
      <c r="L58" s="897"/>
      <c r="M58" s="898"/>
      <c r="N58"/>
    </row>
    <row r="59" spans="2:14" ht="15" customHeight="1">
      <c r="B59" s="939" t="s">
        <v>6</v>
      </c>
      <c r="C59" s="940"/>
      <c r="D59" s="940"/>
      <c r="E59" s="940"/>
      <c r="F59" s="941">
        <f>ROUNDDOWN(SUM(G52:H58),-2)</f>
        <v>69248400</v>
      </c>
      <c r="G59" s="941"/>
      <c r="H59" s="942"/>
      <c r="I59" s="2"/>
      <c r="J59" s="900"/>
      <c r="K59" s="901"/>
      <c r="L59" s="901"/>
      <c r="M59" s="902"/>
      <c r="N59"/>
    </row>
    <row r="60" spans="2:14" ht="15">
      <c r="J60"/>
      <c r="K60"/>
      <c r="L60"/>
      <c r="M60"/>
      <c r="N60"/>
    </row>
    <row r="61" spans="2:14">
      <c r="J61" s="505"/>
    </row>
    <row r="62" spans="2:14">
      <c r="J62" s="638"/>
    </row>
  </sheetData>
  <mergeCells count="57">
    <mergeCell ref="J55:M55"/>
    <mergeCell ref="B59:E59"/>
    <mergeCell ref="F59:H59"/>
    <mergeCell ref="B50:B51"/>
    <mergeCell ref="C50:C51"/>
    <mergeCell ref="E50:E51"/>
    <mergeCell ref="F50:F51"/>
    <mergeCell ref="G50:H51"/>
    <mergeCell ref="B57:E57"/>
    <mergeCell ref="G57:H57"/>
    <mergeCell ref="B58:E58"/>
    <mergeCell ref="G58:H58"/>
    <mergeCell ref="G52:H52"/>
    <mergeCell ref="G53:H53"/>
    <mergeCell ref="G54:H54"/>
    <mergeCell ref="G55:H55"/>
    <mergeCell ref="G56:H56"/>
    <mergeCell ref="G44:H44"/>
    <mergeCell ref="G45:H45"/>
    <mergeCell ref="G46:H46"/>
    <mergeCell ref="B47:E47"/>
    <mergeCell ref="F47:H47"/>
    <mergeCell ref="F29:G29"/>
    <mergeCell ref="F30:G30"/>
    <mergeCell ref="F31:G31"/>
    <mergeCell ref="G43:H43"/>
    <mergeCell ref="B32:E32"/>
    <mergeCell ref="F32:G32"/>
    <mergeCell ref="B33:E33"/>
    <mergeCell ref="F33:G33"/>
    <mergeCell ref="B34:E34"/>
    <mergeCell ref="F34:H34"/>
    <mergeCell ref="B37:E37"/>
    <mergeCell ref="G37:H37"/>
    <mergeCell ref="G38:H38"/>
    <mergeCell ref="G40:H40"/>
    <mergeCell ref="K12:L12"/>
    <mergeCell ref="B25:E25"/>
    <mergeCell ref="F25:G25"/>
    <mergeCell ref="F27:G27"/>
    <mergeCell ref="F28:G28"/>
    <mergeCell ref="J56:M59"/>
    <mergeCell ref="B8:E8"/>
    <mergeCell ref="F8:G8"/>
    <mergeCell ref="K8:L8"/>
    <mergeCell ref="F7:G7"/>
    <mergeCell ref="K7:L7"/>
    <mergeCell ref="B26:E26"/>
    <mergeCell ref="F26:G26"/>
    <mergeCell ref="B9:E9"/>
    <mergeCell ref="F9:G9"/>
    <mergeCell ref="K9:L9"/>
    <mergeCell ref="B10:E10"/>
    <mergeCell ref="K10:L10"/>
    <mergeCell ref="K11:L11"/>
    <mergeCell ref="B12:E12"/>
    <mergeCell ref="F12:H12"/>
  </mergeCells>
  <printOptions horizontalCentered="1"/>
  <pageMargins left="0.2" right="0.2" top="0.25" bottom="0.25" header="0.05" footer="0.05"/>
  <pageSetup paperSize="5" scale="83" orientation="portrait" horizontalDpi="1200" verticalDpi="1200" r:id="rId1"/>
  <ignoredErrors>
    <ignoredError sqref="S11 S1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A330F-3B8B-473E-9A3D-5C4AE42A7404}">
  <sheetPr>
    <pageSetUpPr fitToPage="1"/>
  </sheetPr>
  <dimension ref="A2:XFD76"/>
  <sheetViews>
    <sheetView showGridLines="0" zoomScale="125" workbookViewId="0">
      <selection activeCell="R47" sqref="R47"/>
    </sheetView>
  </sheetViews>
  <sheetFormatPr baseColWidth="10" defaultColWidth="9.1640625" defaultRowHeight="13"/>
  <cols>
    <col min="1" max="1" width="5.83203125" style="150" customWidth="1"/>
    <col min="2" max="2" width="36.1640625" style="150" customWidth="1"/>
    <col min="3" max="3" width="12.5" style="150" customWidth="1"/>
    <col min="4" max="4" width="14.33203125" style="151" customWidth="1"/>
    <col min="5" max="5" width="15.6640625" style="151" customWidth="1"/>
    <col min="6" max="6" width="12.5" style="151" customWidth="1"/>
    <col min="7" max="7" width="12.33203125" style="151" customWidth="1"/>
    <col min="8" max="8" width="12.5" style="151" customWidth="1"/>
    <col min="9" max="9" width="12.6640625" style="151" customWidth="1"/>
    <col min="10" max="10" width="12.33203125" style="151" customWidth="1"/>
    <col min="11" max="11" width="12.5" style="151" customWidth="1"/>
    <col min="12" max="12" width="13.5" style="151" customWidth="1"/>
    <col min="13" max="14" width="12.6640625" style="151" customWidth="1"/>
    <col min="15" max="15" width="11.6640625" style="151" customWidth="1"/>
    <col min="16" max="16" width="12.1640625" style="150" customWidth="1"/>
    <col min="17" max="17" width="26" style="150" customWidth="1"/>
    <col min="18" max="18" width="14" style="150" customWidth="1"/>
    <col min="19" max="19" width="12.6640625" style="150" customWidth="1"/>
    <col min="20" max="20" width="13.1640625" style="150" customWidth="1"/>
    <col min="21" max="21" width="9.33203125" style="150" bestFit="1" customWidth="1"/>
    <col min="22" max="22" width="11.1640625" style="150" customWidth="1"/>
    <col min="23" max="23" width="10.1640625" style="150" bestFit="1" customWidth="1"/>
    <col min="24" max="24" width="9.1640625" style="150"/>
    <col min="25" max="25" width="11.1640625" style="150" customWidth="1"/>
    <col min="26" max="26" width="17.1640625" style="150" customWidth="1"/>
    <col min="27" max="27" width="18.6640625" style="150" customWidth="1"/>
    <col min="28" max="16384" width="9.1640625" style="150"/>
  </cols>
  <sheetData>
    <row r="2" spans="1:35" ht="14" thickBot="1">
      <c r="B2" s="235" t="str">
        <f>R5</f>
        <v>8011 KREFELD DR</v>
      </c>
      <c r="C2" s="235"/>
      <c r="D2" s="150"/>
      <c r="E2" s="59"/>
      <c r="F2" s="59"/>
      <c r="G2" s="59"/>
      <c r="H2" s="59"/>
      <c r="I2" s="59"/>
      <c r="J2" s="59"/>
      <c r="K2" s="59"/>
      <c r="L2" s="59"/>
      <c r="M2" s="59"/>
      <c r="N2" s="20" t="s">
        <v>176</v>
      </c>
    </row>
    <row r="3" spans="1:35" ht="17" customHeight="1" thickBot="1">
      <c r="B3" s="170"/>
      <c r="C3" s="170"/>
      <c r="D3" s="171"/>
      <c r="E3" s="172"/>
      <c r="F3" s="172"/>
      <c r="G3" s="172"/>
      <c r="H3" s="173"/>
      <c r="I3" s="173"/>
      <c r="J3" s="173"/>
      <c r="K3" s="173"/>
      <c r="L3" s="173"/>
      <c r="M3" s="173"/>
      <c r="N3" s="24">
        <f ca="1">TODAY()</f>
        <v>44838</v>
      </c>
      <c r="Q3" s="433" t="s">
        <v>173</v>
      </c>
      <c r="R3" s="434"/>
      <c r="S3" s="434"/>
      <c r="T3" s="434"/>
      <c r="U3" s="435"/>
      <c r="Y3" s="410" t="s">
        <v>479</v>
      </c>
      <c r="Z3" s="409"/>
      <c r="AA3" s="409"/>
      <c r="AB3" s="409"/>
      <c r="AC3" s="409"/>
      <c r="AD3" s="409"/>
      <c r="AE3" s="409"/>
      <c r="AF3" s="409"/>
      <c r="AG3" s="409"/>
      <c r="AH3" s="409"/>
      <c r="AI3" s="409"/>
    </row>
    <row r="4" spans="1:35" ht="18">
      <c r="B4" s="26" t="s">
        <v>382</v>
      </c>
      <c r="C4" s="26"/>
      <c r="D4" s="174"/>
      <c r="E4" s="175"/>
      <c r="Y4" s="409"/>
      <c r="Z4" s="409"/>
      <c r="AA4" s="409"/>
      <c r="AB4" s="409"/>
      <c r="AC4" s="409"/>
      <c r="AD4" s="409"/>
      <c r="AE4" s="409"/>
      <c r="AF4" s="409"/>
      <c r="AG4" s="409"/>
      <c r="AH4" s="409"/>
      <c r="AI4" s="409"/>
    </row>
    <row r="5" spans="1:35" ht="14">
      <c r="B5" s="174"/>
      <c r="C5" s="174"/>
      <c r="D5" s="174"/>
      <c r="E5" s="175"/>
      <c r="Q5" s="173" t="s">
        <v>372</v>
      </c>
      <c r="R5" s="423" t="s">
        <v>754</v>
      </c>
      <c r="S5" s="424"/>
      <c r="Y5" s="440" t="s">
        <v>480</v>
      </c>
      <c r="Z5" s="440"/>
      <c r="AA5" s="440"/>
      <c r="AB5" s="411"/>
      <c r="AC5" s="412" t="s">
        <v>481</v>
      </c>
      <c r="AD5" s="412"/>
      <c r="AE5" s="412"/>
      <c r="AF5" s="412"/>
      <c r="AG5" s="412"/>
      <c r="AH5" s="412"/>
      <c r="AI5" s="412"/>
    </row>
    <row r="6" spans="1:35" ht="14">
      <c r="B6" s="176"/>
      <c r="C6" s="176"/>
      <c r="O6" s="150"/>
      <c r="Q6" s="173" t="s">
        <v>114</v>
      </c>
      <c r="R6" s="425" t="s">
        <v>755</v>
      </c>
      <c r="S6" s="426"/>
      <c r="T6" s="177"/>
      <c r="Y6" s="150" t="s">
        <v>482</v>
      </c>
      <c r="AA6" s="441">
        <f>R9</f>
        <v>44682</v>
      </c>
      <c r="AB6" s="409"/>
      <c r="AC6" s="413" t="s">
        <v>483</v>
      </c>
      <c r="AD6" s="413"/>
      <c r="AE6" s="413"/>
      <c r="AF6" s="413"/>
      <c r="AG6" s="413"/>
      <c r="AH6" s="413"/>
      <c r="AI6" s="413"/>
    </row>
    <row r="7" spans="1:35" ht="14">
      <c r="B7" s="178" t="s">
        <v>99</v>
      </c>
      <c r="C7" s="179">
        <v>0</v>
      </c>
      <c r="D7" s="179">
        <v>1</v>
      </c>
      <c r="E7" s="179">
        <f>D7+1</f>
        <v>2</v>
      </c>
      <c r="F7" s="179">
        <f t="shared" ref="F7:N7" si="0">E7+1</f>
        <v>3</v>
      </c>
      <c r="G7" s="179">
        <f t="shared" si="0"/>
        <v>4</v>
      </c>
      <c r="H7" s="179">
        <f t="shared" si="0"/>
        <v>5</v>
      </c>
      <c r="I7" s="179">
        <f t="shared" si="0"/>
        <v>6</v>
      </c>
      <c r="J7" s="179">
        <f t="shared" si="0"/>
        <v>7</v>
      </c>
      <c r="K7" s="179">
        <f t="shared" si="0"/>
        <v>8</v>
      </c>
      <c r="L7" s="179">
        <f t="shared" si="0"/>
        <v>9</v>
      </c>
      <c r="M7" s="179">
        <f t="shared" si="0"/>
        <v>10</v>
      </c>
      <c r="N7" s="179">
        <f t="shared" si="0"/>
        <v>11</v>
      </c>
      <c r="O7" s="150"/>
      <c r="Q7" s="173" t="s">
        <v>115</v>
      </c>
      <c r="R7" s="425" t="s">
        <v>756</v>
      </c>
      <c r="S7" s="426"/>
      <c r="T7" s="177"/>
      <c r="Y7" s="150" t="s">
        <v>484</v>
      </c>
      <c r="AA7" s="441">
        <f>R10</f>
        <v>45413</v>
      </c>
      <c r="AB7" s="409"/>
      <c r="AC7" s="413" t="s">
        <v>485</v>
      </c>
      <c r="AD7" s="413"/>
      <c r="AE7" s="413"/>
      <c r="AF7" s="413"/>
      <c r="AG7" s="413"/>
      <c r="AH7" s="413"/>
      <c r="AI7" s="413"/>
    </row>
    <row r="8" spans="1:35" ht="14">
      <c r="A8" s="177"/>
      <c r="B8" s="178" t="s">
        <v>100</v>
      </c>
      <c r="C8" s="497">
        <f>D8-365</f>
        <v>45048</v>
      </c>
      <c r="D8" s="497">
        <f>R10</f>
        <v>45413</v>
      </c>
      <c r="E8" s="497">
        <f>D8+365</f>
        <v>45778</v>
      </c>
      <c r="F8" s="497">
        <f t="shared" ref="F8:N8" si="1">E8+365</f>
        <v>46143</v>
      </c>
      <c r="G8" s="497">
        <f t="shared" si="1"/>
        <v>46508</v>
      </c>
      <c r="H8" s="497">
        <f t="shared" si="1"/>
        <v>46873</v>
      </c>
      <c r="I8" s="497">
        <f t="shared" si="1"/>
        <v>47238</v>
      </c>
      <c r="J8" s="497">
        <f t="shared" si="1"/>
        <v>47603</v>
      </c>
      <c r="K8" s="497">
        <f t="shared" si="1"/>
        <v>47968</v>
      </c>
      <c r="L8" s="497">
        <f t="shared" si="1"/>
        <v>48333</v>
      </c>
      <c r="M8" s="497">
        <f t="shared" si="1"/>
        <v>48698</v>
      </c>
      <c r="N8" s="497">
        <f t="shared" si="1"/>
        <v>49063</v>
      </c>
      <c r="O8" s="150"/>
      <c r="AA8" s="441"/>
      <c r="AB8" s="409"/>
      <c r="AC8" s="413" t="s">
        <v>486</v>
      </c>
      <c r="AD8" s="413"/>
      <c r="AE8" s="413"/>
      <c r="AF8" s="413"/>
      <c r="AG8" s="413"/>
      <c r="AH8" s="413"/>
      <c r="AI8" s="413"/>
    </row>
    <row r="9" spans="1:35" ht="14">
      <c r="A9" s="177"/>
      <c r="B9" s="174"/>
      <c r="C9" s="174"/>
      <c r="D9" s="551" t="s">
        <v>477</v>
      </c>
      <c r="E9" s="551" t="s">
        <v>476</v>
      </c>
      <c r="F9" s="224"/>
      <c r="G9" s="224"/>
      <c r="H9" s="224"/>
      <c r="I9" s="224"/>
      <c r="J9" s="224"/>
      <c r="K9" s="224"/>
      <c r="L9" s="224"/>
      <c r="M9" s="224"/>
      <c r="N9" s="224"/>
      <c r="O9" s="150"/>
      <c r="Q9" s="173" t="s">
        <v>491</v>
      </c>
      <c r="R9" s="422">
        <v>44682</v>
      </c>
      <c r="Y9" s="150" t="s">
        <v>487</v>
      </c>
      <c r="AA9" s="441">
        <f>[4]Dashboard!$I$11</f>
        <v>44985</v>
      </c>
      <c r="AB9" s="409"/>
      <c r="AC9" s="409"/>
      <c r="AD9" s="409"/>
      <c r="AE9" s="409"/>
      <c r="AF9" s="409"/>
      <c r="AG9" s="409"/>
      <c r="AH9" s="409"/>
      <c r="AI9" s="409"/>
    </row>
    <row r="10" spans="1:35" ht="14">
      <c r="A10" s="177"/>
      <c r="B10" s="176" t="s">
        <v>78</v>
      </c>
      <c r="C10" s="176"/>
      <c r="D10" s="540"/>
      <c r="E10" s="175"/>
      <c r="F10" s="175"/>
      <c r="G10" s="175"/>
      <c r="H10" s="175"/>
      <c r="I10" s="175"/>
      <c r="J10" s="175"/>
      <c r="K10" s="175"/>
      <c r="L10" s="175"/>
      <c r="M10" s="175"/>
      <c r="N10" s="175"/>
      <c r="O10" s="150"/>
      <c r="Q10" s="173" t="s">
        <v>490</v>
      </c>
      <c r="R10" s="422">
        <v>45413</v>
      </c>
      <c r="Y10" s="150" t="s">
        <v>488</v>
      </c>
      <c r="AA10" s="441">
        <f>[4]Dashboard!$I$12</f>
        <v>45596</v>
      </c>
      <c r="AB10" s="409"/>
      <c r="AC10" s="409"/>
      <c r="AD10" s="409"/>
      <c r="AE10" s="409"/>
      <c r="AF10" s="409"/>
      <c r="AG10" s="409"/>
      <c r="AH10" s="409"/>
      <c r="AI10" s="409"/>
    </row>
    <row r="11" spans="1:35" ht="14">
      <c r="A11" s="177"/>
      <c r="B11" s="177" t="s">
        <v>25</v>
      </c>
      <c r="C11" s="177"/>
      <c r="D11" s="175">
        <f>E11*$AA$32</f>
        <v>3867077.8125000005</v>
      </c>
      <c r="E11" s="175">
        <f>'HUD - CashFlow'!S19</f>
        <v>6728400</v>
      </c>
      <c r="F11" s="175">
        <f>E11*(1+$R$12)</f>
        <v>6930252</v>
      </c>
      <c r="G11" s="175">
        <f t="shared" ref="G11:N11" si="2">F11*(1+$R$12)</f>
        <v>7138159.5600000005</v>
      </c>
      <c r="H11" s="175">
        <f t="shared" si="2"/>
        <v>7352304.3468000004</v>
      </c>
      <c r="I11" s="175">
        <f t="shared" si="2"/>
        <v>7572873.4772040006</v>
      </c>
      <c r="J11" s="175">
        <f t="shared" si="2"/>
        <v>7800059.6815201212</v>
      </c>
      <c r="K11" s="175">
        <f t="shared" si="2"/>
        <v>8034061.4719657246</v>
      </c>
      <c r="L11" s="175">
        <f t="shared" si="2"/>
        <v>8275083.3161246963</v>
      </c>
      <c r="M11" s="175">
        <f t="shared" si="2"/>
        <v>8523335.8156084381</v>
      </c>
      <c r="N11" s="175">
        <f t="shared" si="2"/>
        <v>8779035.8900766913</v>
      </c>
      <c r="O11" s="150"/>
      <c r="R11" s="420"/>
      <c r="AB11" s="409"/>
      <c r="AC11" s="409"/>
      <c r="AD11" s="409"/>
      <c r="AE11" s="409"/>
      <c r="AF11" s="409"/>
      <c r="AG11" s="409"/>
      <c r="AH11" s="409"/>
      <c r="AI11" s="409"/>
    </row>
    <row r="12" spans="1:35" ht="14">
      <c r="A12" s="177"/>
      <c r="B12" s="177" t="s">
        <v>27</v>
      </c>
      <c r="C12" s="177"/>
      <c r="D12" s="175">
        <f>E12*$AA$32</f>
        <v>331050.00000000006</v>
      </c>
      <c r="E12" s="175">
        <f>'HUD - CashFlow'!S20</f>
        <v>576000</v>
      </c>
      <c r="F12" s="175">
        <f t="shared" ref="F12:N12" si="3">E12*(1+$R$12)</f>
        <v>593280</v>
      </c>
      <c r="G12" s="175">
        <f t="shared" si="3"/>
        <v>611078.40000000002</v>
      </c>
      <c r="H12" s="175">
        <f t="shared" si="3"/>
        <v>629410.75200000009</v>
      </c>
      <c r="I12" s="175">
        <f t="shared" si="3"/>
        <v>648293.0745600001</v>
      </c>
      <c r="J12" s="175">
        <f t="shared" si="3"/>
        <v>667741.86679680017</v>
      </c>
      <c r="K12" s="175">
        <f t="shared" si="3"/>
        <v>687774.12280070421</v>
      </c>
      <c r="L12" s="175">
        <f t="shared" si="3"/>
        <v>708407.34648472536</v>
      </c>
      <c r="M12" s="175">
        <f t="shared" si="3"/>
        <v>729659.56687926711</v>
      </c>
      <c r="N12" s="175">
        <f t="shared" si="3"/>
        <v>751549.35388564516</v>
      </c>
      <c r="O12" s="150"/>
      <c r="Q12" s="419" t="s">
        <v>97</v>
      </c>
      <c r="R12" s="421">
        <v>0.03</v>
      </c>
      <c r="Y12" s="150" t="s">
        <v>489</v>
      </c>
      <c r="AA12" s="442">
        <f>'HUD - Snapshot'!C23</f>
        <v>320</v>
      </c>
      <c r="AB12" s="409"/>
      <c r="AC12" s="409"/>
      <c r="AD12" s="409"/>
      <c r="AE12" s="409"/>
      <c r="AF12" s="409"/>
      <c r="AG12" s="409"/>
      <c r="AH12" s="409"/>
      <c r="AI12" s="409"/>
    </row>
    <row r="13" spans="1:35" ht="14">
      <c r="A13" s="177"/>
      <c r="B13" s="404" t="str">
        <f>"Vacancy ("&amp;'HUD - CashFlow'!R21*100&amp;"%)"</f>
        <v>Vacancy (7%)</v>
      </c>
      <c r="C13" s="404"/>
      <c r="D13" s="405">
        <f>-R21*(SUM(D11:D12))</f>
        <v>-293868.94687500008</v>
      </c>
      <c r="E13" s="405">
        <f>'HUD - CashFlow'!S21</f>
        <v>-511308.00000000006</v>
      </c>
      <c r="F13" s="405">
        <f t="shared" ref="F13:N13" si="4">E13*(1+$R$12)</f>
        <v>-526647.24000000011</v>
      </c>
      <c r="G13" s="405">
        <f t="shared" si="4"/>
        <v>-542446.65720000013</v>
      </c>
      <c r="H13" s="405">
        <f t="shared" si="4"/>
        <v>-558720.05691600021</v>
      </c>
      <c r="I13" s="405">
        <f t="shared" si="4"/>
        <v>-575481.65862348024</v>
      </c>
      <c r="J13" s="405">
        <f t="shared" si="4"/>
        <v>-592746.10838218464</v>
      </c>
      <c r="K13" s="405">
        <f t="shared" si="4"/>
        <v>-610528.49163365015</v>
      </c>
      <c r="L13" s="405">
        <f t="shared" si="4"/>
        <v>-628844.34638265963</v>
      </c>
      <c r="M13" s="405">
        <f t="shared" si="4"/>
        <v>-647709.6767741394</v>
      </c>
      <c r="N13" s="405">
        <f t="shared" si="4"/>
        <v>-667140.96707736363</v>
      </c>
      <c r="O13" s="150"/>
      <c r="Q13" s="419" t="s">
        <v>98</v>
      </c>
      <c r="R13" s="421">
        <v>0.03</v>
      </c>
      <c r="AA13" s="539"/>
      <c r="AB13" s="409"/>
      <c r="AC13" s="409"/>
      <c r="AD13" s="409"/>
      <c r="AE13" s="409"/>
      <c r="AF13" s="409"/>
      <c r="AG13" s="409"/>
      <c r="AH13" s="409"/>
      <c r="AI13" s="409"/>
    </row>
    <row r="14" spans="1:35" s="173" customFormat="1" ht="14">
      <c r="A14" s="174"/>
      <c r="B14" s="174" t="s">
        <v>31</v>
      </c>
      <c r="C14" s="174"/>
      <c r="D14" s="225">
        <f>SUM(D11:D13)</f>
        <v>3904258.865625001</v>
      </c>
      <c r="E14" s="225">
        <f>SUM(E11:E13)</f>
        <v>6793092</v>
      </c>
      <c r="F14" s="225">
        <f t="shared" ref="F14:N14" si="5">SUM(F11:F13)</f>
        <v>6996884.7599999998</v>
      </c>
      <c r="G14" s="225">
        <f t="shared" si="5"/>
        <v>7206791.3028000006</v>
      </c>
      <c r="H14" s="225">
        <f t="shared" si="5"/>
        <v>7422995.0418840004</v>
      </c>
      <c r="I14" s="225">
        <f t="shared" si="5"/>
        <v>7645684.89314052</v>
      </c>
      <c r="J14" s="225">
        <f t="shared" si="5"/>
        <v>7875055.439934737</v>
      </c>
      <c r="K14" s="225">
        <f t="shared" si="5"/>
        <v>8111307.1031327788</v>
      </c>
      <c r="L14" s="225">
        <f t="shared" si="5"/>
        <v>8354646.3162267609</v>
      </c>
      <c r="M14" s="225">
        <f t="shared" si="5"/>
        <v>8605285.7057135664</v>
      </c>
      <c r="N14" s="225">
        <f t="shared" si="5"/>
        <v>8863444.276884973</v>
      </c>
      <c r="O14" s="150"/>
      <c r="Q14" s="419"/>
      <c r="Y14" s="150"/>
      <c r="Z14" s="150"/>
      <c r="AA14" s="150"/>
      <c r="AB14" s="409"/>
      <c r="AC14" s="409"/>
      <c r="AD14" s="409"/>
      <c r="AE14" s="409"/>
      <c r="AF14" s="409"/>
      <c r="AG14" s="409"/>
      <c r="AH14" s="409"/>
      <c r="AI14" s="409"/>
    </row>
    <row r="15" spans="1:35" ht="14">
      <c r="A15" s="177"/>
      <c r="B15" s="177"/>
      <c r="C15" s="177"/>
      <c r="D15" s="175"/>
      <c r="E15" s="175"/>
      <c r="F15" s="175"/>
      <c r="G15" s="175"/>
      <c r="H15" s="175"/>
      <c r="I15" s="175"/>
      <c r="J15" s="175"/>
      <c r="K15" s="175"/>
      <c r="L15" s="175"/>
      <c r="M15" s="175"/>
      <c r="N15" s="175"/>
      <c r="O15" s="150"/>
      <c r="R15" s="177"/>
      <c r="AA15" s="443"/>
      <c r="AB15" s="409"/>
      <c r="AC15" s="409"/>
      <c r="AD15" s="409"/>
      <c r="AE15" s="409"/>
      <c r="AF15" s="409"/>
      <c r="AG15" s="409"/>
      <c r="AH15" s="409"/>
      <c r="AI15" s="409"/>
    </row>
    <row r="16" spans="1:35" ht="15" thickBot="1">
      <c r="A16" s="177"/>
      <c r="B16" s="176" t="s">
        <v>83</v>
      </c>
      <c r="C16" s="176"/>
      <c r="D16" s="175"/>
      <c r="E16" s="175"/>
      <c r="F16" s="175"/>
      <c r="G16" s="175"/>
      <c r="H16" s="175"/>
      <c r="I16" s="175"/>
      <c r="J16" s="175"/>
      <c r="K16" s="175"/>
      <c r="L16" s="175"/>
      <c r="M16" s="175"/>
      <c r="N16" s="175"/>
      <c r="O16" s="150"/>
      <c r="AB16" s="409"/>
      <c r="AC16" s="409"/>
      <c r="AD16" s="409"/>
      <c r="AE16" s="409"/>
      <c r="AF16" s="409"/>
      <c r="AG16" s="409"/>
      <c r="AH16" s="409"/>
      <c r="AI16" s="409"/>
    </row>
    <row r="17" spans="1:42" ht="16" thickBot="1">
      <c r="A17" s="177"/>
      <c r="B17" s="177" t="s">
        <v>85</v>
      </c>
      <c r="C17" s="177"/>
      <c r="D17" s="175">
        <f>U25*$D$14</f>
        <v>45979.166666666679</v>
      </c>
      <c r="E17" s="175">
        <f>'HUD - CashFlow'!S25</f>
        <v>80000</v>
      </c>
      <c r="F17" s="175">
        <f t="shared" ref="F17:N17" si="6">E17*(1+$R$13)</f>
        <v>82400</v>
      </c>
      <c r="G17" s="175">
        <f t="shared" si="6"/>
        <v>84872</v>
      </c>
      <c r="H17" s="175">
        <f t="shared" si="6"/>
        <v>87418.16</v>
      </c>
      <c r="I17" s="175">
        <f t="shared" si="6"/>
        <v>90040.704800000007</v>
      </c>
      <c r="J17" s="175">
        <f t="shared" si="6"/>
        <v>92741.925944000002</v>
      </c>
      <c r="K17" s="175">
        <f t="shared" si="6"/>
        <v>95524.183722319998</v>
      </c>
      <c r="L17" s="175">
        <f t="shared" si="6"/>
        <v>98389.909233989601</v>
      </c>
      <c r="M17" s="175">
        <f t="shared" si="6"/>
        <v>101341.60651100929</v>
      </c>
      <c r="N17" s="175">
        <f t="shared" si="6"/>
        <v>104381.85470633957</v>
      </c>
      <c r="O17" s="150"/>
      <c r="Q17" s="430" t="str">
        <f>"Lender Income and Expense Proforma - Stabilized Year 2"</f>
        <v>Lender Income and Expense Proforma - Stabilized Year 2</v>
      </c>
      <c r="R17" s="431"/>
      <c r="S17" s="431"/>
      <c r="T17" s="431"/>
      <c r="U17" s="432"/>
      <c r="AB17" s="409"/>
      <c r="AC17" s="409"/>
      <c r="AD17" s="409"/>
      <c r="AE17" s="409"/>
      <c r="AF17" s="409"/>
      <c r="AG17" s="409"/>
      <c r="AH17" s="409"/>
      <c r="AI17"/>
      <c r="AJ17"/>
      <c r="AK17"/>
      <c r="AL17"/>
      <c r="AM17"/>
      <c r="AN17"/>
      <c r="AO17"/>
      <c r="AP17"/>
    </row>
    <row r="18" spans="1:42" ht="15">
      <c r="A18" s="177"/>
      <c r="B18" s="177" t="s">
        <v>86</v>
      </c>
      <c r="C18" s="177"/>
      <c r="D18" s="175">
        <f t="shared" ref="D18:D26" si="7">U26*$D$14</f>
        <v>136649.06029687505</v>
      </c>
      <c r="E18" s="175">
        <f>'HUD - CashFlow'!S26</f>
        <v>237758.22000000003</v>
      </c>
      <c r="F18" s="175">
        <f t="shared" ref="F18:N18" si="8">E18*(1+$R$13)</f>
        <v>244890.96660000004</v>
      </c>
      <c r="G18" s="175">
        <f t="shared" si="8"/>
        <v>252237.69559800005</v>
      </c>
      <c r="H18" s="175">
        <f t="shared" si="8"/>
        <v>259804.82646594004</v>
      </c>
      <c r="I18" s="175">
        <f t="shared" si="8"/>
        <v>267598.97125991824</v>
      </c>
      <c r="J18" s="175">
        <f t="shared" si="8"/>
        <v>275626.94039771578</v>
      </c>
      <c r="K18" s="175">
        <f t="shared" si="8"/>
        <v>283895.74860964727</v>
      </c>
      <c r="L18" s="175">
        <f t="shared" si="8"/>
        <v>292412.62106793671</v>
      </c>
      <c r="M18" s="175">
        <f t="shared" si="8"/>
        <v>301184.99969997484</v>
      </c>
      <c r="N18" s="175">
        <f t="shared" si="8"/>
        <v>310220.54969097412</v>
      </c>
      <c r="O18" s="150"/>
      <c r="Q18" s="181" t="s">
        <v>78</v>
      </c>
      <c r="R18" s="182"/>
      <c r="S18" s="183" t="s">
        <v>79</v>
      </c>
      <c r="T18" s="184" t="s">
        <v>80</v>
      </c>
      <c r="U18" s="185" t="s">
        <v>81</v>
      </c>
      <c r="W18" s="173"/>
      <c r="Y18" s="896">
        <f>YEAR(AA9)</f>
        <v>2023</v>
      </c>
      <c r="Z18" s="896"/>
      <c r="AA18" s="896"/>
      <c r="AB18" s="411"/>
      <c r="AI18"/>
      <c r="AJ18"/>
      <c r="AK18"/>
      <c r="AL18"/>
      <c r="AM18"/>
      <c r="AN18"/>
      <c r="AO18"/>
      <c r="AP18"/>
    </row>
    <row r="19" spans="1:42" ht="15">
      <c r="A19" s="177"/>
      <c r="B19" s="177" t="s">
        <v>87</v>
      </c>
      <c r="C19" s="177"/>
      <c r="D19" s="175">
        <f t="shared" si="7"/>
        <v>68049.166666666686</v>
      </c>
      <c r="E19" s="175">
        <f>'HUD - CashFlow'!S27</f>
        <v>118400</v>
      </c>
      <c r="F19" s="175">
        <f t="shared" ref="F19:N19" si="9">E19*(1+$R$13)</f>
        <v>121952</v>
      </c>
      <c r="G19" s="175">
        <f t="shared" si="9"/>
        <v>125610.56</v>
      </c>
      <c r="H19" s="175">
        <f t="shared" si="9"/>
        <v>129378.8768</v>
      </c>
      <c r="I19" s="175">
        <f t="shared" si="9"/>
        <v>133260.24310399999</v>
      </c>
      <c r="J19" s="175">
        <f t="shared" si="9"/>
        <v>137258.05039712001</v>
      </c>
      <c r="K19" s="175">
        <f t="shared" si="9"/>
        <v>141375.79190903361</v>
      </c>
      <c r="L19" s="175">
        <f t="shared" si="9"/>
        <v>145617.06566630461</v>
      </c>
      <c r="M19" s="175">
        <f t="shared" si="9"/>
        <v>149985.57763629375</v>
      </c>
      <c r="N19" s="175">
        <f t="shared" si="9"/>
        <v>154485.14496538255</v>
      </c>
      <c r="O19" s="150"/>
      <c r="Q19" s="186" t="s">
        <v>25</v>
      </c>
      <c r="R19" s="182"/>
      <c r="S19" s="151">
        <f>V52*12</f>
        <v>6728400</v>
      </c>
      <c r="T19" s="152">
        <f>S19/$R$52/12</f>
        <v>1752.1875</v>
      </c>
      <c r="U19" s="187">
        <f>S19/$S$22</f>
        <v>0.99047679613348383</v>
      </c>
      <c r="Y19" s="444" t="s">
        <v>109</v>
      </c>
      <c r="Z19" s="444" t="s">
        <v>584</v>
      </c>
      <c r="AA19" s="444" t="s">
        <v>478</v>
      </c>
      <c r="AB19" s="409"/>
      <c r="AI19"/>
      <c r="AJ19"/>
      <c r="AK19"/>
      <c r="AL19"/>
      <c r="AM19"/>
      <c r="AN19"/>
      <c r="AO19"/>
      <c r="AP19"/>
    </row>
    <row r="20" spans="1:42" ht="15">
      <c r="A20" s="177"/>
      <c r="B20" s="177" t="s">
        <v>88</v>
      </c>
      <c r="C20" s="177"/>
      <c r="D20" s="175">
        <f t="shared" si="7"/>
        <v>0</v>
      </c>
      <c r="E20" s="175">
        <f>'HUD - CashFlow'!S28</f>
        <v>0</v>
      </c>
      <c r="F20" s="175">
        <f t="shared" ref="F20:N20" si="10">E20*(1+$R$13)</f>
        <v>0</v>
      </c>
      <c r="G20" s="175">
        <f t="shared" si="10"/>
        <v>0</v>
      </c>
      <c r="H20" s="175">
        <f t="shared" si="10"/>
        <v>0</v>
      </c>
      <c r="I20" s="175">
        <f t="shared" si="10"/>
        <v>0</v>
      </c>
      <c r="J20" s="175">
        <f t="shared" si="10"/>
        <v>0</v>
      </c>
      <c r="K20" s="175">
        <f t="shared" si="10"/>
        <v>0</v>
      </c>
      <c r="L20" s="175">
        <f t="shared" si="10"/>
        <v>0</v>
      </c>
      <c r="M20" s="175">
        <f t="shared" si="10"/>
        <v>0</v>
      </c>
      <c r="N20" s="175">
        <f t="shared" si="10"/>
        <v>0</v>
      </c>
      <c r="O20" s="150"/>
      <c r="Q20" s="186" t="s">
        <v>27</v>
      </c>
      <c r="R20" s="188">
        <f>S20/S22</f>
        <v>8.4792021070817236E-2</v>
      </c>
      <c r="S20" s="151">
        <f>'HUD - Snapshot'!F27</f>
        <v>576000</v>
      </c>
      <c r="T20" s="152">
        <f>S20/$R$52/12</f>
        <v>150</v>
      </c>
      <c r="U20" s="187">
        <f>S20/$S$22</f>
        <v>8.4792021070817236E-2</v>
      </c>
      <c r="Y20" s="445">
        <f>EOMONTH(DATE(Y18,1,1),0)</f>
        <v>44957</v>
      </c>
      <c r="Z20" s="571">
        <v>27</v>
      </c>
      <c r="AA20" s="446">
        <f>Z20/AA12</f>
        <v>8.4375000000000006E-2</v>
      </c>
      <c r="AB20" s="409"/>
      <c r="AI20"/>
      <c r="AJ20"/>
      <c r="AK20"/>
      <c r="AL20"/>
      <c r="AM20"/>
      <c r="AN20"/>
      <c r="AO20"/>
      <c r="AP20"/>
    </row>
    <row r="21" spans="1:42" ht="17">
      <c r="A21" s="177"/>
      <c r="B21" s="177" t="s">
        <v>89</v>
      </c>
      <c r="C21" s="177"/>
      <c r="D21" s="175">
        <f t="shared" si="7"/>
        <v>36783.333333333343</v>
      </c>
      <c r="E21" s="175">
        <f>'HUD - CashFlow'!S29</f>
        <v>64000</v>
      </c>
      <c r="F21" s="175">
        <f t="shared" ref="F21:N21" si="11">E21*(1+$R$13)</f>
        <v>65920</v>
      </c>
      <c r="G21" s="175">
        <f t="shared" si="11"/>
        <v>67897.600000000006</v>
      </c>
      <c r="H21" s="175">
        <f t="shared" si="11"/>
        <v>69934.528000000006</v>
      </c>
      <c r="I21" s="175">
        <f t="shared" si="11"/>
        <v>72032.563840000003</v>
      </c>
      <c r="J21" s="175">
        <f t="shared" si="11"/>
        <v>74193.540755200011</v>
      </c>
      <c r="K21" s="175">
        <f t="shared" si="11"/>
        <v>76419.34697785601</v>
      </c>
      <c r="L21" s="175">
        <f t="shared" si="11"/>
        <v>78711.927387191696</v>
      </c>
      <c r="M21" s="175">
        <f t="shared" si="11"/>
        <v>81073.285208807443</v>
      </c>
      <c r="N21" s="175">
        <f t="shared" si="11"/>
        <v>83505.483765071665</v>
      </c>
      <c r="O21" s="150"/>
      <c r="Q21" s="186" t="s">
        <v>82</v>
      </c>
      <c r="R21" s="188">
        <v>7.0000000000000007E-2</v>
      </c>
      <c r="S21" s="189">
        <f>-SUM(S19:S20)*R21</f>
        <v>-511308.00000000006</v>
      </c>
      <c r="T21" s="190">
        <f>S21/$R$52/12</f>
        <v>-133.15312500000002</v>
      </c>
      <c r="U21" s="191">
        <f>S21/$S$22</f>
        <v>-7.5268817204301078E-2</v>
      </c>
      <c r="Y21" s="445">
        <f>EOMONTH(Y20,1)</f>
        <v>44985</v>
      </c>
      <c r="Z21" s="571">
        <v>25</v>
      </c>
      <c r="AA21" s="447">
        <f>SUM($Z$20:Z21)/$AA$12</f>
        <v>0.16250000000000001</v>
      </c>
      <c r="AB21" s="409"/>
      <c r="AI21"/>
      <c r="AJ21"/>
      <c r="AK21"/>
      <c r="AL21"/>
      <c r="AM21"/>
      <c r="AN21"/>
      <c r="AO21"/>
      <c r="AP21"/>
    </row>
    <row r="22" spans="1:42" ht="15">
      <c r="A22" s="177"/>
      <c r="B22" s="177" t="s">
        <v>90</v>
      </c>
      <c r="C22" s="177"/>
      <c r="D22" s="175">
        <f t="shared" si="7"/>
        <v>45979.166666666679</v>
      </c>
      <c r="E22" s="175">
        <f>'HUD - CashFlow'!S30</f>
        <v>80000</v>
      </c>
      <c r="F22" s="175">
        <f t="shared" ref="F22:N22" si="12">E22*(1+$R$13)</f>
        <v>82400</v>
      </c>
      <c r="G22" s="175">
        <f t="shared" si="12"/>
        <v>84872</v>
      </c>
      <c r="H22" s="175">
        <f t="shared" si="12"/>
        <v>87418.16</v>
      </c>
      <c r="I22" s="175">
        <f t="shared" si="12"/>
        <v>90040.704800000007</v>
      </c>
      <c r="J22" s="175">
        <f t="shared" si="12"/>
        <v>92741.925944000002</v>
      </c>
      <c r="K22" s="175">
        <f t="shared" si="12"/>
        <v>95524.183722319998</v>
      </c>
      <c r="L22" s="175">
        <f t="shared" si="12"/>
        <v>98389.909233989601</v>
      </c>
      <c r="M22" s="175">
        <f t="shared" si="12"/>
        <v>101341.60651100929</v>
      </c>
      <c r="N22" s="175">
        <f t="shared" si="12"/>
        <v>104381.85470633957</v>
      </c>
      <c r="O22" s="150"/>
      <c r="Q22" s="180" t="s">
        <v>31</v>
      </c>
      <c r="R22" s="193"/>
      <c r="S22" s="192">
        <f>SUM(S19:S21)</f>
        <v>6793092</v>
      </c>
      <c r="T22" s="194">
        <f>S22/$R$52/12</f>
        <v>1769.034375</v>
      </c>
      <c r="U22" s="195">
        <f>S22/$S$22</f>
        <v>1</v>
      </c>
      <c r="V22" s="173"/>
      <c r="Y22" s="445">
        <f t="shared" ref="Y22:Y31" si="13">EOMONTH(Y21,1)</f>
        <v>45016</v>
      </c>
      <c r="Z22" s="571">
        <v>20</v>
      </c>
      <c r="AA22" s="447">
        <f>SUM($Z$20:Z22)/$AA$12</f>
        <v>0.22500000000000001</v>
      </c>
      <c r="AB22" s="409"/>
      <c r="AI22"/>
      <c r="AJ22"/>
      <c r="AK22"/>
      <c r="AL22"/>
      <c r="AM22"/>
      <c r="AN22"/>
      <c r="AO22"/>
      <c r="AP22"/>
    </row>
    <row r="23" spans="1:42" ht="15">
      <c r="A23" s="177"/>
      <c r="B23" s="177" t="s">
        <v>91</v>
      </c>
      <c r="C23" s="177"/>
      <c r="D23" s="175">
        <f t="shared" si="7"/>
        <v>248287.50000000006</v>
      </c>
      <c r="E23" s="175">
        <f>'HUD - CashFlow'!S31</f>
        <v>432000</v>
      </c>
      <c r="F23" s="175">
        <f t="shared" ref="F23:N23" si="14">E23*(1+$R$13)</f>
        <v>444960</v>
      </c>
      <c r="G23" s="175">
        <f t="shared" si="14"/>
        <v>458308.8</v>
      </c>
      <c r="H23" s="175">
        <f t="shared" si="14"/>
        <v>472058.06400000001</v>
      </c>
      <c r="I23" s="175">
        <f t="shared" si="14"/>
        <v>486219.80592000001</v>
      </c>
      <c r="J23" s="175">
        <f t="shared" si="14"/>
        <v>500806.40009760001</v>
      </c>
      <c r="K23" s="175">
        <f t="shared" si="14"/>
        <v>515830.59210052801</v>
      </c>
      <c r="L23" s="175">
        <f t="shared" si="14"/>
        <v>531305.50986354391</v>
      </c>
      <c r="M23" s="175">
        <f t="shared" si="14"/>
        <v>547244.67515945027</v>
      </c>
      <c r="N23" s="175">
        <f t="shared" si="14"/>
        <v>563662.01541423379</v>
      </c>
      <c r="O23" s="150"/>
      <c r="Q23" s="186"/>
      <c r="R23" s="182"/>
      <c r="S23" s="192"/>
      <c r="T23" s="152"/>
      <c r="U23" s="196"/>
      <c r="Y23" s="445">
        <f t="shared" si="13"/>
        <v>45046</v>
      </c>
      <c r="Z23" s="571">
        <v>28</v>
      </c>
      <c r="AA23" s="447">
        <f>SUM($Z$20:Z23)/$AA$12</f>
        <v>0.3125</v>
      </c>
      <c r="AB23" s="409"/>
      <c r="AI23"/>
      <c r="AJ23"/>
      <c r="AK23"/>
      <c r="AL23"/>
      <c r="AM23"/>
      <c r="AN23"/>
      <c r="AO23"/>
      <c r="AP23"/>
    </row>
    <row r="24" spans="1:42" ht="15">
      <c r="A24" s="177"/>
      <c r="B24" s="177" t="s">
        <v>92</v>
      </c>
      <c r="C24" s="177"/>
      <c r="D24" s="175">
        <f t="shared" si="7"/>
        <v>82762.500000000015</v>
      </c>
      <c r="E24" s="175">
        <f>'HUD - CashFlow'!S32</f>
        <v>144000</v>
      </c>
      <c r="F24" s="175">
        <f t="shared" ref="F24:N24" si="15">E24*(1+$R$13)</f>
        <v>148320</v>
      </c>
      <c r="G24" s="175">
        <f t="shared" si="15"/>
        <v>152769.60000000001</v>
      </c>
      <c r="H24" s="175">
        <f t="shared" si="15"/>
        <v>157352.68800000002</v>
      </c>
      <c r="I24" s="175">
        <f t="shared" si="15"/>
        <v>162073.26864000002</v>
      </c>
      <c r="J24" s="175">
        <f t="shared" si="15"/>
        <v>166935.46669920004</v>
      </c>
      <c r="K24" s="175">
        <f t="shared" si="15"/>
        <v>171943.53070017605</v>
      </c>
      <c r="L24" s="175">
        <f t="shared" si="15"/>
        <v>177101.83662118134</v>
      </c>
      <c r="M24" s="175">
        <f t="shared" si="15"/>
        <v>182414.89171981678</v>
      </c>
      <c r="N24" s="175">
        <f t="shared" si="15"/>
        <v>187887.33847141129</v>
      </c>
      <c r="O24" s="150"/>
      <c r="Q24" s="181" t="s">
        <v>83</v>
      </c>
      <c r="R24" s="182"/>
      <c r="S24" s="197" t="s">
        <v>79</v>
      </c>
      <c r="T24" s="197" t="s">
        <v>84</v>
      </c>
      <c r="U24" s="198" t="s">
        <v>81</v>
      </c>
      <c r="Y24" s="445">
        <f t="shared" si="13"/>
        <v>45077</v>
      </c>
      <c r="Z24" s="571">
        <v>36</v>
      </c>
      <c r="AA24" s="447">
        <f>SUM($Z$20:Z24)/$AA$12</f>
        <v>0.42499999999999999</v>
      </c>
      <c r="AB24" s="409"/>
      <c r="AI24"/>
      <c r="AJ24"/>
      <c r="AK24"/>
      <c r="AL24"/>
      <c r="AM24"/>
      <c r="AN24"/>
      <c r="AO24"/>
      <c r="AP24"/>
    </row>
    <row r="25" spans="1:42" ht="15">
      <c r="A25" s="177"/>
      <c r="B25" s="177" t="s">
        <v>94</v>
      </c>
      <c r="C25" s="177"/>
      <c r="D25" s="175">
        <f t="shared" si="7"/>
        <v>45979.166666666679</v>
      </c>
      <c r="E25" s="175">
        <f>'HUD - CashFlow'!S33</f>
        <v>80000</v>
      </c>
      <c r="F25" s="175">
        <f t="shared" ref="F25:N25" si="16">E25*(1+$R$13)</f>
        <v>82400</v>
      </c>
      <c r="G25" s="175">
        <f t="shared" si="16"/>
        <v>84872</v>
      </c>
      <c r="H25" s="175">
        <f t="shared" si="16"/>
        <v>87418.16</v>
      </c>
      <c r="I25" s="175">
        <f t="shared" si="16"/>
        <v>90040.704800000007</v>
      </c>
      <c r="J25" s="175">
        <f t="shared" si="16"/>
        <v>92741.925944000002</v>
      </c>
      <c r="K25" s="175">
        <f t="shared" si="16"/>
        <v>95524.183722319998</v>
      </c>
      <c r="L25" s="175">
        <f t="shared" si="16"/>
        <v>98389.909233989601</v>
      </c>
      <c r="M25" s="175">
        <f t="shared" si="16"/>
        <v>101341.60651100929</v>
      </c>
      <c r="N25" s="175">
        <f t="shared" si="16"/>
        <v>104381.85470633957</v>
      </c>
      <c r="O25" s="150"/>
      <c r="Q25" s="186" t="s">
        <v>85</v>
      </c>
      <c r="R25" s="182"/>
      <c r="S25" s="199">
        <f>250*R52</f>
        <v>80000</v>
      </c>
      <c r="T25" s="152">
        <f t="shared" ref="T25:T35" si="17">S25/$R$52</f>
        <v>250</v>
      </c>
      <c r="U25" s="187">
        <f t="shared" ref="U25:U35" si="18">S25/$S$22</f>
        <v>1.1776669593169061E-2</v>
      </c>
      <c r="Y25" s="445">
        <f t="shared" si="13"/>
        <v>45107</v>
      </c>
      <c r="Z25" s="571">
        <v>36</v>
      </c>
      <c r="AA25" s="447">
        <f>SUM($Z$20:Z25)/$AA$12</f>
        <v>0.53749999999999998</v>
      </c>
      <c r="AB25" s="409"/>
      <c r="AI25"/>
      <c r="AJ25"/>
      <c r="AK25"/>
      <c r="AL25"/>
      <c r="AM25"/>
      <c r="AN25"/>
      <c r="AO25"/>
      <c r="AP25"/>
    </row>
    <row r="26" spans="1:42" ht="15">
      <c r="A26" s="177"/>
      <c r="B26" s="404" t="s">
        <v>95</v>
      </c>
      <c r="C26" s="404"/>
      <c r="D26" s="175">
        <f t="shared" si="7"/>
        <v>603476.56250000012</v>
      </c>
      <c r="E26" s="405">
        <f>'HUD - CashFlow'!S34</f>
        <v>1050000</v>
      </c>
      <c r="F26" s="405">
        <f t="shared" ref="F26:N26" si="19">E26*(1+$R$13)</f>
        <v>1081500</v>
      </c>
      <c r="G26" s="405">
        <f t="shared" si="19"/>
        <v>1113945</v>
      </c>
      <c r="H26" s="405">
        <f t="shared" si="19"/>
        <v>1147363.3500000001</v>
      </c>
      <c r="I26" s="405">
        <f t="shared" si="19"/>
        <v>1181784.2505000001</v>
      </c>
      <c r="J26" s="405">
        <f t="shared" si="19"/>
        <v>1217237.778015</v>
      </c>
      <c r="K26" s="405">
        <f t="shared" si="19"/>
        <v>1253754.9113554501</v>
      </c>
      <c r="L26" s="405">
        <f t="shared" si="19"/>
        <v>1291367.5586961135</v>
      </c>
      <c r="M26" s="405">
        <f t="shared" si="19"/>
        <v>1330108.5854569969</v>
      </c>
      <c r="N26" s="405">
        <f t="shared" si="19"/>
        <v>1370011.8430207069</v>
      </c>
      <c r="O26" s="150"/>
      <c r="Q26" s="186" t="s">
        <v>86</v>
      </c>
      <c r="R26" s="182"/>
      <c r="S26" s="199">
        <f>S22*0.035</f>
        <v>237758.22000000003</v>
      </c>
      <c r="T26" s="152">
        <f t="shared" si="17"/>
        <v>742.99443750000012</v>
      </c>
      <c r="U26" s="187">
        <f t="shared" si="18"/>
        <v>3.5000000000000003E-2</v>
      </c>
      <c r="Y26" s="445">
        <f t="shared" si="13"/>
        <v>45138</v>
      </c>
      <c r="Z26" s="571">
        <v>36</v>
      </c>
      <c r="AA26" s="447">
        <f>SUM($Z$20:Z26)/$AA$12</f>
        <v>0.65</v>
      </c>
      <c r="AB26" s="409"/>
      <c r="AI26"/>
      <c r="AJ26"/>
      <c r="AK26"/>
      <c r="AL26"/>
      <c r="AM26"/>
      <c r="AN26"/>
      <c r="AO26"/>
      <c r="AP26"/>
    </row>
    <row r="27" spans="1:42" ht="15">
      <c r="A27" s="574">
        <f>E27/E14</f>
        <v>0.33654162493309375</v>
      </c>
      <c r="B27" s="226" t="s">
        <v>517</v>
      </c>
      <c r="C27" s="226"/>
      <c r="D27" s="541">
        <f t="shared" ref="D27:N27" si="20">SUM(D17:D26)</f>
        <v>1313945.6227968752</v>
      </c>
      <c r="E27" s="225">
        <f t="shared" si="20"/>
        <v>2286158.2199999997</v>
      </c>
      <c r="F27" s="225">
        <f t="shared" si="20"/>
        <v>2354742.9665999999</v>
      </c>
      <c r="G27" s="225">
        <f t="shared" si="20"/>
        <v>2425385.2555980003</v>
      </c>
      <c r="H27" s="225">
        <f t="shared" si="20"/>
        <v>2498146.8132659402</v>
      </c>
      <c r="I27" s="225">
        <f t="shared" si="20"/>
        <v>2573091.2176639182</v>
      </c>
      <c r="J27" s="225">
        <f t="shared" si="20"/>
        <v>2650283.9541938361</v>
      </c>
      <c r="K27" s="225">
        <f t="shared" si="20"/>
        <v>2729792.472819651</v>
      </c>
      <c r="L27" s="225">
        <f t="shared" si="20"/>
        <v>2811686.2470042408</v>
      </c>
      <c r="M27" s="225">
        <f t="shared" si="20"/>
        <v>2896036.8344143676</v>
      </c>
      <c r="N27" s="225">
        <f t="shared" si="20"/>
        <v>2982917.939446799</v>
      </c>
      <c r="O27" s="150"/>
      <c r="Q27" s="186" t="s">
        <v>87</v>
      </c>
      <c r="R27" s="182"/>
      <c r="S27" s="199">
        <f>370*R52</f>
        <v>118400</v>
      </c>
      <c r="T27" s="152">
        <f t="shared" si="17"/>
        <v>370</v>
      </c>
      <c r="U27" s="187">
        <f t="shared" si="18"/>
        <v>1.742947099789021E-2</v>
      </c>
      <c r="Y27" s="445">
        <f t="shared" si="13"/>
        <v>45169</v>
      </c>
      <c r="Z27" s="571">
        <v>34</v>
      </c>
      <c r="AA27" s="447">
        <f>SUM($Z$20:Z27)/$AA$12</f>
        <v>0.75624999999999998</v>
      </c>
      <c r="AB27" s="409"/>
      <c r="AI27"/>
      <c r="AJ27"/>
      <c r="AK27"/>
      <c r="AL27"/>
      <c r="AM27"/>
      <c r="AN27"/>
      <c r="AO27"/>
      <c r="AP27"/>
    </row>
    <row r="28" spans="1:42" ht="15">
      <c r="A28" s="177"/>
      <c r="O28" s="150"/>
      <c r="Q28" s="186" t="s">
        <v>88</v>
      </c>
      <c r="R28" s="200"/>
      <c r="S28" s="199">
        <v>0</v>
      </c>
      <c r="T28" s="152">
        <f t="shared" si="17"/>
        <v>0</v>
      </c>
      <c r="U28" s="187">
        <f t="shared" si="18"/>
        <v>0</v>
      </c>
      <c r="Y28" s="445">
        <f t="shared" si="13"/>
        <v>45199</v>
      </c>
      <c r="Z28" s="571">
        <v>36</v>
      </c>
      <c r="AA28" s="447">
        <f>SUM($Z$20:Z28)/$AA$12</f>
        <v>0.86875000000000002</v>
      </c>
      <c r="AB28" s="409"/>
      <c r="AI28"/>
      <c r="AJ28"/>
      <c r="AK28"/>
      <c r="AL28"/>
      <c r="AM28"/>
      <c r="AN28"/>
      <c r="AO28"/>
      <c r="AP28"/>
    </row>
    <row r="29" spans="1:42" ht="15">
      <c r="A29" s="177"/>
      <c r="B29" s="226" t="s">
        <v>519</v>
      </c>
      <c r="C29" s="226"/>
      <c r="D29" s="192">
        <f>D14-D27</f>
        <v>2590313.2428281261</v>
      </c>
      <c r="E29" s="192">
        <f t="shared" ref="E29:N29" si="21">E14-E27</f>
        <v>4506933.78</v>
      </c>
      <c r="F29" s="192">
        <f t="shared" si="21"/>
        <v>4642141.7933999998</v>
      </c>
      <c r="G29" s="192">
        <f t="shared" si="21"/>
        <v>4781406.0472020004</v>
      </c>
      <c r="H29" s="192">
        <f t="shared" si="21"/>
        <v>4924848.2286180602</v>
      </c>
      <c r="I29" s="192">
        <f t="shared" si="21"/>
        <v>5072593.6754766013</v>
      </c>
      <c r="J29" s="192">
        <f t="shared" si="21"/>
        <v>5224771.485740901</v>
      </c>
      <c r="K29" s="192">
        <f t="shared" si="21"/>
        <v>5381514.6303131282</v>
      </c>
      <c r="L29" s="192">
        <f t="shared" si="21"/>
        <v>5542960.0692225201</v>
      </c>
      <c r="M29" s="192">
        <f t="shared" si="21"/>
        <v>5709248.8712991988</v>
      </c>
      <c r="N29" s="192">
        <f t="shared" si="21"/>
        <v>5880526.3374381736</v>
      </c>
      <c r="O29" s="150"/>
      <c r="Q29" s="186" t="s">
        <v>89</v>
      </c>
      <c r="R29" s="200"/>
      <c r="S29" s="199">
        <f>200*R52</f>
        <v>64000</v>
      </c>
      <c r="T29" s="152">
        <f t="shared" si="17"/>
        <v>200</v>
      </c>
      <c r="U29" s="187">
        <f t="shared" si="18"/>
        <v>9.4213356745352483E-3</v>
      </c>
      <c r="Y29" s="445">
        <f t="shared" si="13"/>
        <v>45230</v>
      </c>
      <c r="Z29" s="571">
        <v>18</v>
      </c>
      <c r="AA29" s="447">
        <f>SUM($Z$20:Z29)/$AA$12</f>
        <v>0.92500000000000004</v>
      </c>
      <c r="AB29" s="409"/>
      <c r="AI29"/>
      <c r="AJ29"/>
      <c r="AK29"/>
      <c r="AL29"/>
      <c r="AM29"/>
      <c r="AN29"/>
      <c r="AO29"/>
      <c r="AP29"/>
    </row>
    <row r="30" spans="1:42" ht="15">
      <c r="A30" s="177"/>
      <c r="B30" s="404" t="s">
        <v>472</v>
      </c>
      <c r="C30" s="404"/>
      <c r="D30" s="175">
        <f>U37*$D$14</f>
        <v>45979.166666666679</v>
      </c>
      <c r="E30" s="405">
        <f>'HUD - CashFlow'!S37</f>
        <v>80000</v>
      </c>
      <c r="F30" s="405">
        <f t="shared" ref="F30:N30" si="22">E30*(1+$R$13)</f>
        <v>82400</v>
      </c>
      <c r="G30" s="405">
        <f t="shared" si="22"/>
        <v>84872</v>
      </c>
      <c r="H30" s="405">
        <f t="shared" si="22"/>
        <v>87418.16</v>
      </c>
      <c r="I30" s="405">
        <f t="shared" si="22"/>
        <v>90040.704800000007</v>
      </c>
      <c r="J30" s="405">
        <f t="shared" si="22"/>
        <v>92741.925944000002</v>
      </c>
      <c r="K30" s="405">
        <f t="shared" si="22"/>
        <v>95524.183722319998</v>
      </c>
      <c r="L30" s="405">
        <f t="shared" si="22"/>
        <v>98389.909233989601</v>
      </c>
      <c r="M30" s="405">
        <f t="shared" si="22"/>
        <v>101341.60651100929</v>
      </c>
      <c r="N30" s="405">
        <f t="shared" si="22"/>
        <v>104381.85470633957</v>
      </c>
      <c r="O30" s="150"/>
      <c r="Q30" s="186" t="s">
        <v>90</v>
      </c>
      <c r="R30" s="200"/>
      <c r="S30" s="199">
        <f>250*R52</f>
        <v>80000</v>
      </c>
      <c r="T30" s="152">
        <f t="shared" si="17"/>
        <v>250</v>
      </c>
      <c r="U30" s="187">
        <f t="shared" si="18"/>
        <v>1.1776669593169061E-2</v>
      </c>
      <c r="Y30" s="445">
        <f t="shared" si="13"/>
        <v>45260</v>
      </c>
      <c r="Z30" s="571">
        <v>10</v>
      </c>
      <c r="AA30" s="447">
        <f>SUM($Z$20:Z30)/$AA$12</f>
        <v>0.95625000000000004</v>
      </c>
      <c r="AB30" s="409"/>
      <c r="AI30"/>
      <c r="AJ30"/>
      <c r="AK30"/>
      <c r="AL30"/>
      <c r="AM30"/>
      <c r="AN30"/>
      <c r="AO30"/>
      <c r="AP30"/>
    </row>
    <row r="31" spans="1:42" ht="15">
      <c r="A31" s="177"/>
      <c r="B31" s="455" t="s">
        <v>518</v>
      </c>
      <c r="C31" s="455"/>
      <c r="D31" s="542">
        <f>D29-D30</f>
        <v>2544334.0761614596</v>
      </c>
      <c r="E31" s="542">
        <f t="shared" ref="E31:N31" si="23">E29-E30</f>
        <v>4426933.78</v>
      </c>
      <c r="F31" s="542">
        <f t="shared" si="23"/>
        <v>4559741.7933999998</v>
      </c>
      <c r="G31" s="542">
        <f t="shared" si="23"/>
        <v>4696534.0472020004</v>
      </c>
      <c r="H31" s="542">
        <f t="shared" si="23"/>
        <v>4837430.0686180601</v>
      </c>
      <c r="I31" s="542">
        <f t="shared" si="23"/>
        <v>4982552.9706766009</v>
      </c>
      <c r="J31" s="542">
        <f t="shared" si="23"/>
        <v>5132029.5597969014</v>
      </c>
      <c r="K31" s="542">
        <f t="shared" si="23"/>
        <v>5285990.4465908082</v>
      </c>
      <c r="L31" s="542">
        <f t="shared" si="23"/>
        <v>5444570.1599885309</v>
      </c>
      <c r="M31" s="542">
        <f t="shared" si="23"/>
        <v>5607907.2647881899</v>
      </c>
      <c r="N31" s="542">
        <f t="shared" si="23"/>
        <v>5776144.4827318341</v>
      </c>
      <c r="O31" s="150"/>
      <c r="Q31" s="186" t="s">
        <v>91</v>
      </c>
      <c r="R31" s="182"/>
      <c r="S31" s="199">
        <f>1350*R52</f>
        <v>432000</v>
      </c>
      <c r="T31" s="152">
        <f t="shared" si="17"/>
        <v>1350</v>
      </c>
      <c r="U31" s="187">
        <f t="shared" si="18"/>
        <v>6.3594015803112927E-2</v>
      </c>
      <c r="Y31" s="448">
        <f t="shared" si="13"/>
        <v>45291</v>
      </c>
      <c r="Z31" s="571">
        <v>12</v>
      </c>
      <c r="AA31" s="550">
        <f>SUM($Z$20:Z31)/$AA$12</f>
        <v>0.99375000000000002</v>
      </c>
      <c r="AB31" s="409"/>
      <c r="AI31"/>
      <c r="AJ31"/>
      <c r="AK31"/>
      <c r="AL31"/>
      <c r="AM31"/>
      <c r="AN31"/>
      <c r="AO31"/>
      <c r="AP31"/>
    </row>
    <row r="32" spans="1:42" ht="15">
      <c r="A32" s="177"/>
      <c r="O32" s="150"/>
      <c r="Q32" s="186" t="s">
        <v>92</v>
      </c>
      <c r="R32" s="182"/>
      <c r="S32" s="199">
        <f>450*R52</f>
        <v>144000</v>
      </c>
      <c r="T32" s="152">
        <f t="shared" si="17"/>
        <v>450</v>
      </c>
      <c r="U32" s="187">
        <f t="shared" si="18"/>
        <v>2.1198005267704309E-2</v>
      </c>
      <c r="Z32" s="449" t="s">
        <v>583</v>
      </c>
      <c r="AA32" s="450">
        <f>AVERAGE(AA20:AA31)</f>
        <v>0.57473958333333341</v>
      </c>
      <c r="AB32" s="414"/>
      <c r="AI32"/>
      <c r="AJ32"/>
      <c r="AK32"/>
      <c r="AL32"/>
      <c r="AM32"/>
      <c r="AN32"/>
      <c r="AO32"/>
      <c r="AP32"/>
    </row>
    <row r="33" spans="1:42" ht="15">
      <c r="A33" s="177"/>
      <c r="B33" s="299" t="s">
        <v>473</v>
      </c>
      <c r="C33" s="299"/>
      <c r="O33" s="150"/>
      <c r="Q33" s="186" t="s">
        <v>94</v>
      </c>
      <c r="R33" s="182"/>
      <c r="S33" s="199">
        <f>250*R52</f>
        <v>80000</v>
      </c>
      <c r="T33" s="152">
        <f t="shared" si="17"/>
        <v>250</v>
      </c>
      <c r="U33" s="187">
        <f t="shared" si="18"/>
        <v>1.1776669593169061E-2</v>
      </c>
      <c r="AI33"/>
      <c r="AJ33"/>
      <c r="AK33"/>
      <c r="AL33"/>
      <c r="AM33"/>
      <c r="AN33"/>
      <c r="AO33"/>
      <c r="AP33"/>
    </row>
    <row r="34" spans="1:42" ht="14" customHeight="1">
      <c r="A34" s="177"/>
      <c r="B34" s="406" t="s">
        <v>101</v>
      </c>
      <c r="C34" s="406"/>
      <c r="D34" s="175">
        <f ca="1">AmSch!$L24</f>
        <v>3161583.0539811295</v>
      </c>
      <c r="E34" s="175">
        <f ca="1">AmSch!$L36</f>
        <v>3135457.2918289816</v>
      </c>
      <c r="F34" s="175">
        <f ca="1">AmSch!$L48</f>
        <v>3107994.8861015234</v>
      </c>
      <c r="G34" s="175">
        <f ca="1">AmSch!$L60</f>
        <v>3079127.4515766506</v>
      </c>
      <c r="H34" s="175">
        <f ca="1">AmSch!$L72</f>
        <v>3048783.1043145084</v>
      </c>
      <c r="I34" s="175">
        <f ca="1">AmSch!$L84</f>
        <v>3016886.2826564522</v>
      </c>
      <c r="J34" s="175">
        <f ca="1">AmSch!$L96</f>
        <v>2983357.5590659743</v>
      </c>
      <c r="K34" s="175">
        <f ca="1">AmSch!$L108</f>
        <v>2948113.4423430562</v>
      </c>
      <c r="L34" s="175">
        <f ca="1">AmSch!$L120</f>
        <v>2911066.1697194274</v>
      </c>
      <c r="M34" s="175">
        <f ca="1">AmSch!$L132</f>
        <v>2872123.4883170319</v>
      </c>
      <c r="N34" s="175">
        <f ca="1">AmSch!$L144</f>
        <v>2831188.4254254876</v>
      </c>
      <c r="O34" s="150"/>
      <c r="Q34" s="637" t="s">
        <v>95</v>
      </c>
      <c r="R34" s="436"/>
      <c r="S34" s="437">
        <f>3000*350</f>
        <v>1050000</v>
      </c>
      <c r="T34" s="438">
        <f t="shared" si="17"/>
        <v>3281.25</v>
      </c>
      <c r="U34" s="439">
        <f t="shared" si="18"/>
        <v>0.15456878841034391</v>
      </c>
      <c r="W34" s="152"/>
      <c r="AI34"/>
      <c r="AJ34"/>
      <c r="AK34"/>
      <c r="AL34"/>
      <c r="AM34"/>
      <c r="AN34"/>
      <c r="AO34"/>
      <c r="AP34"/>
    </row>
    <row r="35" spans="1:42">
      <c r="A35" s="177"/>
      <c r="B35" s="406" t="s">
        <v>7</v>
      </c>
      <c r="C35" s="406"/>
      <c r="D35" s="175">
        <f ca="1">AmSch!$N24</f>
        <v>158079.15269905652</v>
      </c>
      <c r="E35" s="175">
        <f ca="1">AmSch!$N36</f>
        <v>156772.86459144912</v>
      </c>
      <c r="F35" s="175">
        <f ca="1">AmSch!$N48</f>
        <v>155399.74430507622</v>
      </c>
      <c r="G35" s="175">
        <f ca="1">AmSch!$N60</f>
        <v>153956.3725788325</v>
      </c>
      <c r="H35" s="175">
        <f ca="1">AmSch!$N72</f>
        <v>152439.15521572539</v>
      </c>
      <c r="I35" s="175">
        <f ca="1">AmSch!$N84</f>
        <v>150844.31413282259</v>
      </c>
      <c r="J35" s="175">
        <f ca="1">AmSch!$N96</f>
        <v>149167.87795329874</v>
      </c>
      <c r="K35" s="175">
        <f ca="1">AmSch!$N108</f>
        <v>147405.6721171528</v>
      </c>
      <c r="L35" s="175">
        <f ca="1">AmSch!$N120</f>
        <v>145553.30848597139</v>
      </c>
      <c r="M35" s="175">
        <f ca="1">AmSch!$N132</f>
        <v>143606.17441585165</v>
      </c>
      <c r="N35" s="175">
        <f ca="1">AmSch!$N144</f>
        <v>141559.42127127439</v>
      </c>
      <c r="O35" s="150"/>
      <c r="Q35" s="180" t="s">
        <v>96</v>
      </c>
      <c r="R35" s="182"/>
      <c r="S35" s="192">
        <f>SUM(S25:S34)</f>
        <v>2286158.2199999997</v>
      </c>
      <c r="T35" s="194">
        <f t="shared" si="17"/>
        <v>7144.2444374999995</v>
      </c>
      <c r="U35" s="201">
        <f t="shared" si="18"/>
        <v>0.33654162493309375</v>
      </c>
    </row>
    <row r="36" spans="1:42">
      <c r="A36" s="177"/>
      <c r="B36" s="404" t="s">
        <v>474</v>
      </c>
      <c r="C36" s="404"/>
      <c r="D36" s="405">
        <f ca="1">AmSch!$M24</f>
        <v>510648.80768380588</v>
      </c>
      <c r="E36" s="405">
        <f ca="1">AmSch!$M36</f>
        <v>536774.569835954</v>
      </c>
      <c r="F36" s="405">
        <f ca="1">AmSch!$M48</f>
        <v>564236.97556341207</v>
      </c>
      <c r="G36" s="405">
        <f ca="1">AmSch!$M60</f>
        <v>593104.41008828557</v>
      </c>
      <c r="H36" s="405">
        <f ca="1">AmSch!$M72</f>
        <v>623448.7573504278</v>
      </c>
      <c r="I36" s="405">
        <f ca="1">AmSch!$M84</f>
        <v>655345.57900848414</v>
      </c>
      <c r="J36" s="405">
        <f ca="1">AmSch!$M96</f>
        <v>688874.30259896163</v>
      </c>
      <c r="K36" s="405">
        <f ca="1">AmSch!$M108</f>
        <v>724118.41932187974</v>
      </c>
      <c r="L36" s="405">
        <f ca="1">AmSch!$M120</f>
        <v>761165.69194550812</v>
      </c>
      <c r="M36" s="405">
        <f ca="1">AmSch!$M132</f>
        <v>800108.37334790349</v>
      </c>
      <c r="N36" s="405">
        <f ca="1">AmSch!$M144</f>
        <v>841043.43623944838</v>
      </c>
      <c r="O36" s="150"/>
      <c r="Q36" s="180"/>
      <c r="R36" s="182"/>
      <c r="S36" s="192"/>
      <c r="T36" s="194"/>
      <c r="U36" s="195"/>
    </row>
    <row r="37" spans="1:42" ht="14" thickBot="1">
      <c r="A37" s="177"/>
      <c r="B37" s="226" t="s">
        <v>376</v>
      </c>
      <c r="C37" s="226"/>
      <c r="D37" s="225">
        <f ca="1">SUM(D34:D36)</f>
        <v>3830311.014363992</v>
      </c>
      <c r="E37" s="225">
        <f t="shared" ref="E37:N37" ca="1" si="24">SUM(E34:E36)</f>
        <v>3829004.7262563845</v>
      </c>
      <c r="F37" s="225">
        <f t="shared" ca="1" si="24"/>
        <v>3827631.6059700116</v>
      </c>
      <c r="G37" s="225">
        <f t="shared" ca="1" si="24"/>
        <v>3826188.2342437683</v>
      </c>
      <c r="H37" s="225">
        <f t="shared" ca="1" si="24"/>
        <v>3824671.0168806612</v>
      </c>
      <c r="I37" s="225">
        <f t="shared" ca="1" si="24"/>
        <v>3823076.1757977591</v>
      </c>
      <c r="J37" s="225">
        <f t="shared" ca="1" si="24"/>
        <v>3821399.7396182348</v>
      </c>
      <c r="K37" s="225">
        <f t="shared" ca="1" si="24"/>
        <v>3819637.5337820887</v>
      </c>
      <c r="L37" s="225">
        <f t="shared" ca="1" si="24"/>
        <v>3817785.1701509068</v>
      </c>
      <c r="M37" s="225">
        <f t="shared" ca="1" si="24"/>
        <v>3815838.036080787</v>
      </c>
      <c r="N37" s="225">
        <f t="shared" ca="1" si="24"/>
        <v>3813791.2829362103</v>
      </c>
      <c r="O37" s="150"/>
      <c r="Q37" s="186" t="s">
        <v>93</v>
      </c>
      <c r="R37" s="182"/>
      <c r="S37" s="199">
        <f>250*R52</f>
        <v>80000</v>
      </c>
      <c r="T37" s="152">
        <f>S37/$R$52</f>
        <v>250</v>
      </c>
      <c r="U37" s="187">
        <f>S37/$S$22</f>
        <v>1.1776669593169061E-2</v>
      </c>
    </row>
    <row r="38" spans="1:42" ht="14" thickBot="1">
      <c r="A38" s="177"/>
      <c r="B38" s="177"/>
      <c r="C38" s="177"/>
      <c r="D38" s="175"/>
      <c r="E38" s="175"/>
      <c r="F38" s="175"/>
      <c r="G38" s="175"/>
      <c r="H38" s="175"/>
      <c r="I38" s="175"/>
      <c r="J38" s="175"/>
      <c r="K38" s="175"/>
      <c r="L38" s="175"/>
      <c r="M38" s="175"/>
      <c r="N38" s="175"/>
      <c r="O38" s="150"/>
      <c r="Q38" s="202" t="s">
        <v>33</v>
      </c>
      <c r="R38" s="203"/>
      <c r="S38" s="204">
        <f>S22-S35-S37</f>
        <v>4426933.78</v>
      </c>
      <c r="T38" s="205">
        <f>S38/$R$52</f>
        <v>13834.168062500001</v>
      </c>
      <c r="U38" s="206">
        <f>S38/$S$22</f>
        <v>0.65168170547373716</v>
      </c>
    </row>
    <row r="39" spans="1:42" ht="14" thickBot="1">
      <c r="A39" s="177"/>
      <c r="B39" s="407" t="s">
        <v>475</v>
      </c>
      <c r="C39" s="407"/>
      <c r="D39" s="408">
        <f ca="1">D31-D37</f>
        <v>-1285976.9382025325</v>
      </c>
      <c r="E39" s="408">
        <f ca="1">E31-E37</f>
        <v>597929.05374361575</v>
      </c>
      <c r="F39" s="408">
        <f t="shared" ref="F39:N39" ca="1" si="25">F31-F37</f>
        <v>732110.18742998829</v>
      </c>
      <c r="G39" s="408">
        <f t="shared" ca="1" si="25"/>
        <v>870345.81295823213</v>
      </c>
      <c r="H39" s="408">
        <f t="shared" ca="1" si="25"/>
        <v>1012759.0517373988</v>
      </c>
      <c r="I39" s="408">
        <f t="shared" ca="1" si="25"/>
        <v>1159476.7948788418</v>
      </c>
      <c r="J39" s="408">
        <f t="shared" ca="1" si="25"/>
        <v>1310629.8201786666</v>
      </c>
      <c r="K39" s="408">
        <f t="shared" ca="1" si="25"/>
        <v>1466352.9128087196</v>
      </c>
      <c r="L39" s="408">
        <f t="shared" ca="1" si="25"/>
        <v>1626784.9898376241</v>
      </c>
      <c r="M39" s="408">
        <f t="shared" ca="1" si="25"/>
        <v>1792069.2287074029</v>
      </c>
      <c r="N39" s="408">
        <f t="shared" ca="1" si="25"/>
        <v>1962353.1997956238</v>
      </c>
      <c r="O39" s="150"/>
    </row>
    <row r="40" spans="1:42" ht="14" thickTop="1">
      <c r="A40" s="177"/>
      <c r="B40" s="404" t="s">
        <v>661</v>
      </c>
      <c r="C40" s="404"/>
      <c r="D40" s="405"/>
      <c r="E40" s="405">
        <v>396000</v>
      </c>
      <c r="F40" s="405">
        <v>396000</v>
      </c>
      <c r="G40" s="405">
        <v>396000</v>
      </c>
      <c r="H40" s="405">
        <v>396000</v>
      </c>
      <c r="I40" s="405">
        <v>396000</v>
      </c>
      <c r="J40" s="405">
        <v>396000</v>
      </c>
      <c r="K40" s="405">
        <v>396000</v>
      </c>
      <c r="L40" s="405">
        <v>396000</v>
      </c>
      <c r="M40" s="405">
        <v>396000</v>
      </c>
      <c r="N40" s="405">
        <v>396000</v>
      </c>
      <c r="O40" s="150"/>
      <c r="Q40" s="150" t="s">
        <v>601</v>
      </c>
    </row>
    <row r="41" spans="1:42">
      <c r="A41" s="177"/>
      <c r="B41" s="150" t="s">
        <v>662</v>
      </c>
      <c r="C41" s="199"/>
      <c r="E41" s="151">
        <f ca="1">E39-E40</f>
        <v>201929.05374361575</v>
      </c>
      <c r="F41" s="151">
        <f t="shared" ref="F41:N41" ca="1" si="26">F39-F40</f>
        <v>336110.18742998829</v>
      </c>
      <c r="G41" s="151">
        <f t="shared" ca="1" si="26"/>
        <v>474345.81295823213</v>
      </c>
      <c r="H41" s="151">
        <f t="shared" ca="1" si="26"/>
        <v>616759.05173739884</v>
      </c>
      <c r="I41" s="151">
        <f t="shared" ca="1" si="26"/>
        <v>763476.79487884184</v>
      </c>
      <c r="J41" s="151">
        <f t="shared" ca="1" si="26"/>
        <v>914629.82017866662</v>
      </c>
      <c r="K41" s="151">
        <f t="shared" ca="1" si="26"/>
        <v>1070352.9128087196</v>
      </c>
      <c r="L41" s="151">
        <f t="shared" ca="1" si="26"/>
        <v>1230784.9898376241</v>
      </c>
      <c r="M41" s="151">
        <f t="shared" ca="1" si="26"/>
        <v>1396069.2287074029</v>
      </c>
      <c r="N41" s="151">
        <f t="shared" ca="1" si="26"/>
        <v>1566353.1997956238</v>
      </c>
      <c r="O41" s="150"/>
    </row>
    <row r="42" spans="1:42">
      <c r="A42" s="177"/>
      <c r="O42" s="150"/>
    </row>
    <row r="43" spans="1:42" ht="14" thickBot="1">
      <c r="A43" s="177"/>
      <c r="B43" s="150" t="s">
        <v>520</v>
      </c>
      <c r="D43" s="454">
        <f ca="1">D29/'HUD - Snapshot'!$M$21</f>
        <v>3.1278258779768066E-2</v>
      </c>
      <c r="E43" s="454">
        <f ca="1">E29/'HUD - Snapshot'!$M$21</f>
        <v>5.442161926339345E-2</v>
      </c>
      <c r="F43" s="454">
        <f ca="1">F29/'HUD - Snapshot'!$M$21</f>
        <v>5.6054267841295247E-2</v>
      </c>
      <c r="G43" s="454">
        <f ca="1">G29/'HUD - Snapshot'!$M$21</f>
        <v>5.7735895876534112E-2</v>
      </c>
      <c r="H43" s="454">
        <f ca="1">H29/'HUD - Snapshot'!$M$21</f>
        <v>5.9467972752830132E-2</v>
      </c>
      <c r="I43" s="454">
        <f ca="1">I29/'HUD - Snapshot'!$M$21</f>
        <v>6.1252011935415032E-2</v>
      </c>
      <c r="J43" s="454">
        <f ca="1">J29/'HUD - Snapshot'!$M$21</f>
        <v>6.3089572293477503E-2</v>
      </c>
      <c r="K43" s="454">
        <f ca="1">K29/'HUD - Snapshot'!$M$21</f>
        <v>6.4982259462281824E-2</v>
      </c>
      <c r="L43" s="454">
        <f ca="1">L29/'HUD - Snapshot'!$M$21</f>
        <v>6.6931727246150263E-2</v>
      </c>
      <c r="M43" s="454">
        <f ca="1">M29/'HUD - Snapshot'!$M$21</f>
        <v>6.8939679063534806E-2</v>
      </c>
      <c r="N43" s="454">
        <f ca="1">N29/'HUD - Snapshot'!$M$21</f>
        <v>7.1007869435440837E-2</v>
      </c>
      <c r="O43" s="150"/>
      <c r="Q43" s="150" t="s">
        <v>302</v>
      </c>
    </row>
    <row r="44" spans="1:42">
      <c r="A44" s="177"/>
      <c r="B44" s="150" t="s">
        <v>375</v>
      </c>
      <c r="D44" s="454">
        <f ca="1">D39/'HUD - Snapshot'!$L$53</f>
        <v>-7.9252945280843271E-2</v>
      </c>
      <c r="E44" s="454">
        <f ca="1">E39/'HUD - Snapshot'!$L$53</f>
        <v>3.6849524412471191E-2</v>
      </c>
      <c r="F44" s="454">
        <f ca="1">F39/'HUD - Snapshot'!$L$53</f>
        <v>4.5118918466015859E-2</v>
      </c>
      <c r="G44" s="454">
        <f ca="1">G39/'HUD - Snapshot'!$L$53</f>
        <v>5.3638185134332751E-2</v>
      </c>
      <c r="H44" s="454">
        <f ca="1">H39/'HUD - Snapshot'!$L$53</f>
        <v>6.2414912216242055E-2</v>
      </c>
      <c r="I44" s="454">
        <f ca="1">I39/'HUD - Snapshot'!$L$53</f>
        <v>7.1456919832000948E-2</v>
      </c>
      <c r="J44" s="454">
        <f ca="1">J39/'HUD - Snapshot'!$L$53</f>
        <v>8.0772267632767084E-2</v>
      </c>
      <c r="K44" s="454">
        <f ca="1">K39/'HUD - Snapshot'!$L$53</f>
        <v>9.0369262238614023E-2</v>
      </c>
      <c r="L44" s="454">
        <f ca="1">L39/'HUD - Snapshot'!$L$53</f>
        <v>0.10025646491258712</v>
      </c>
      <c r="M44" s="454">
        <f ca="1">M39/'HUD - Snapshot'!$L$53</f>
        <v>0.11044269947853652</v>
      </c>
      <c r="N44" s="454">
        <f ca="1">N39/'HUD - Snapshot'!$L$53</f>
        <v>0.12093706049073534</v>
      </c>
      <c r="O44" s="150"/>
      <c r="Q44" s="427" t="s">
        <v>72</v>
      </c>
      <c r="R44" s="428" t="s">
        <v>73</v>
      </c>
      <c r="S44" s="428" t="s">
        <v>74</v>
      </c>
      <c r="T44" s="428" t="s">
        <v>75</v>
      </c>
      <c r="U44" s="428" t="s">
        <v>76</v>
      </c>
      <c r="V44" s="429" t="s">
        <v>77</v>
      </c>
    </row>
    <row r="45" spans="1:42">
      <c r="A45" s="177"/>
      <c r="O45" s="150"/>
      <c r="Q45" s="207" t="str">
        <f>'HUD - Snapshot'!B16</f>
        <v>1BR/1BA</v>
      </c>
      <c r="R45" s="208">
        <f>'HUD - Snapshot'!C16</f>
        <v>52</v>
      </c>
      <c r="S45" s="209">
        <f>'HUD - Snapshot'!E16</f>
        <v>710</v>
      </c>
      <c r="T45" s="209">
        <f>'HUD - Snapshot'!F16</f>
        <v>1700</v>
      </c>
      <c r="U45" s="210">
        <f t="shared" ref="U45:U51" si="27">T45/S45</f>
        <v>2.3943661971830985</v>
      </c>
      <c r="V45" s="211">
        <f t="shared" ref="V45:V52" si="28">R45*T45</f>
        <v>88400</v>
      </c>
    </row>
    <row r="46" spans="1:42">
      <c r="A46" s="177"/>
      <c r="B46" s="150" t="s">
        <v>524</v>
      </c>
      <c r="D46" s="151">
        <f ca="1">AmSch!D24</f>
        <v>62952951.192316182</v>
      </c>
      <c r="E46" s="151">
        <f ca="1">AmSch!D36</f>
        <v>62416176.622480229</v>
      </c>
      <c r="F46" s="151">
        <f ca="1">AmSch!D48</f>
        <v>61851939.646916814</v>
      </c>
      <c r="G46" s="151">
        <f ca="1">AmSch!D60</f>
        <v>61258835.236828536</v>
      </c>
      <c r="H46" s="151">
        <f ca="1">AmSch!D72</f>
        <v>60635386.479478106</v>
      </c>
      <c r="I46" s="151">
        <f ca="1">AmSch!D84</f>
        <v>59980040.900469616</v>
      </c>
      <c r="J46" s="151">
        <f ca="1">AmSch!D96</f>
        <v>59291166.597870655</v>
      </c>
      <c r="K46" s="151">
        <f ca="1">AmSch!D108</f>
        <v>58567048.178548776</v>
      </c>
      <c r="L46" s="151">
        <f ca="1">AmSch!D120</f>
        <v>57805882.48660326</v>
      </c>
      <c r="M46" s="151">
        <f ca="1">AmSch!D132</f>
        <v>57005774.113255352</v>
      </c>
      <c r="N46" s="151">
        <f ca="1">AmSch!D144</f>
        <v>56164730.677015908</v>
      </c>
      <c r="O46" s="150"/>
      <c r="Q46" s="207" t="str">
        <f>'HUD - Snapshot'!B17</f>
        <v>1BR/1BA</v>
      </c>
      <c r="R46" s="208">
        <f>'HUD - Snapshot'!C17</f>
        <v>97</v>
      </c>
      <c r="S46" s="209">
        <f>'HUD - Snapshot'!E17</f>
        <v>760</v>
      </c>
      <c r="T46" s="209">
        <f>'HUD - Snapshot'!F17</f>
        <v>1700</v>
      </c>
      <c r="U46" s="210">
        <f t="shared" si="27"/>
        <v>2.236842105263158</v>
      </c>
      <c r="V46" s="211">
        <f t="shared" si="28"/>
        <v>164900</v>
      </c>
    </row>
    <row r="47" spans="1:42">
      <c r="A47" s="177"/>
      <c r="O47" s="150"/>
      <c r="Q47" s="207" t="str">
        <f>'HUD - Snapshot'!B18</f>
        <v>1BR/1BA</v>
      </c>
      <c r="R47" s="208">
        <f>'HUD - Snapshot'!C18</f>
        <v>55</v>
      </c>
      <c r="S47" s="209">
        <f>'HUD - Snapshot'!E18</f>
        <v>830</v>
      </c>
      <c r="T47" s="209">
        <f>'HUD - Snapshot'!F18</f>
        <v>1780</v>
      </c>
      <c r="U47" s="210">
        <f t="shared" si="27"/>
        <v>2.1445783132530121</v>
      </c>
      <c r="V47" s="211">
        <f t="shared" si="28"/>
        <v>97900</v>
      </c>
    </row>
    <row r="48" spans="1:42">
      <c r="A48" s="177"/>
      <c r="B48" s="490" t="s">
        <v>523</v>
      </c>
      <c r="C48" s="492">
        <v>0.05</v>
      </c>
      <c r="D48" s="166">
        <f t="shared" ref="D48:N48" si="29">ROUNDDOWN(D29/$C$48,-3)</f>
        <v>51806000</v>
      </c>
      <c r="E48" s="166">
        <f t="shared" si="29"/>
        <v>90138000</v>
      </c>
      <c r="F48" s="166">
        <f t="shared" si="29"/>
        <v>92842000</v>
      </c>
      <c r="G48" s="166">
        <f t="shared" si="29"/>
        <v>95628000</v>
      </c>
      <c r="H48" s="166">
        <f t="shared" si="29"/>
        <v>98496000</v>
      </c>
      <c r="I48" s="166">
        <f t="shared" si="29"/>
        <v>101451000</v>
      </c>
      <c r="J48" s="166">
        <f t="shared" si="29"/>
        <v>104495000</v>
      </c>
      <c r="K48" s="166">
        <f t="shared" si="29"/>
        <v>107630000</v>
      </c>
      <c r="L48" s="166">
        <f t="shared" si="29"/>
        <v>110859000</v>
      </c>
      <c r="M48" s="166">
        <f t="shared" si="29"/>
        <v>114184000</v>
      </c>
      <c r="N48" s="166">
        <f t="shared" si="29"/>
        <v>117610000</v>
      </c>
      <c r="O48" s="150"/>
      <c r="Q48" s="207" t="str">
        <f>'HUD - Snapshot'!B19</f>
        <v>2BR/2BA</v>
      </c>
      <c r="R48" s="208">
        <f>'HUD - Snapshot'!C19</f>
        <v>45</v>
      </c>
      <c r="S48" s="209">
        <f>'HUD - Snapshot'!E19</f>
        <v>950</v>
      </c>
      <c r="T48" s="209">
        <f>'HUD - Snapshot'!F19</f>
        <v>1700</v>
      </c>
      <c r="U48" s="210">
        <f t="shared" si="27"/>
        <v>1.7894736842105263</v>
      </c>
      <c r="V48" s="211">
        <f t="shared" si="28"/>
        <v>76500</v>
      </c>
    </row>
    <row r="49" spans="1:22 16384:16384">
      <c r="A49" s="177"/>
      <c r="B49" s="493" t="s">
        <v>521</v>
      </c>
      <c r="C49" s="494">
        <v>0.05</v>
      </c>
      <c r="D49" s="495">
        <f t="shared" ref="D49:N49" si="30">$C$49*D48</f>
        <v>2590300</v>
      </c>
      <c r="E49" s="495">
        <f t="shared" si="30"/>
        <v>4506900</v>
      </c>
      <c r="F49" s="495">
        <f t="shared" si="30"/>
        <v>4642100</v>
      </c>
      <c r="G49" s="495">
        <f t="shared" si="30"/>
        <v>4781400</v>
      </c>
      <c r="H49" s="495">
        <f t="shared" si="30"/>
        <v>4924800</v>
      </c>
      <c r="I49" s="495">
        <f t="shared" si="30"/>
        <v>5072550</v>
      </c>
      <c r="J49" s="495">
        <f t="shared" si="30"/>
        <v>5224750</v>
      </c>
      <c r="K49" s="495">
        <f t="shared" si="30"/>
        <v>5381500</v>
      </c>
      <c r="L49" s="495">
        <f t="shared" si="30"/>
        <v>5542950</v>
      </c>
      <c r="M49" s="495">
        <f t="shared" si="30"/>
        <v>5709200</v>
      </c>
      <c r="N49" s="495">
        <f t="shared" si="30"/>
        <v>5880500</v>
      </c>
      <c r="O49" s="150"/>
      <c r="Q49" s="207" t="str">
        <f>'HUD - Snapshot'!B20</f>
        <v>2BR/2BA</v>
      </c>
      <c r="R49" s="208">
        <f>'HUD - Snapshot'!C20</f>
        <v>30</v>
      </c>
      <c r="S49" s="209">
        <f>'HUD - Snapshot'!E20</f>
        <v>1000</v>
      </c>
      <c r="T49" s="209">
        <f>'HUD - Snapshot'!F20</f>
        <v>1800</v>
      </c>
      <c r="U49" s="210">
        <f t="shared" si="27"/>
        <v>1.8</v>
      </c>
      <c r="V49" s="211">
        <f t="shared" si="28"/>
        <v>54000</v>
      </c>
    </row>
    <row r="50" spans="1:22 16384:16384">
      <c r="B50" s="491" t="s">
        <v>522</v>
      </c>
      <c r="C50" s="491"/>
      <c r="D50" s="166">
        <f>D48-D49</f>
        <v>49215700</v>
      </c>
      <c r="E50" s="166">
        <f>E48-E49</f>
        <v>85631100</v>
      </c>
      <c r="F50" s="166">
        <f t="shared" ref="F50:M50" si="31">F48-F49</f>
        <v>88199900</v>
      </c>
      <c r="G50" s="166">
        <f t="shared" si="31"/>
        <v>90846600</v>
      </c>
      <c r="H50" s="166">
        <f t="shared" si="31"/>
        <v>93571200</v>
      </c>
      <c r="I50" s="166">
        <f t="shared" si="31"/>
        <v>96378450</v>
      </c>
      <c r="J50" s="166">
        <f t="shared" si="31"/>
        <v>99270250</v>
      </c>
      <c r="K50" s="166">
        <f t="shared" si="31"/>
        <v>102248500</v>
      </c>
      <c r="L50" s="166">
        <f t="shared" si="31"/>
        <v>105316050</v>
      </c>
      <c r="M50" s="166">
        <f t="shared" si="31"/>
        <v>108474800</v>
      </c>
      <c r="N50" s="166">
        <f>N48-N49</f>
        <v>111729500</v>
      </c>
      <c r="O50" s="150"/>
      <c r="Q50" s="207" t="str">
        <f>'HUD - Snapshot'!B21</f>
        <v>3BR/2BA</v>
      </c>
      <c r="R50" s="208">
        <f>'HUD - Snapshot'!C21</f>
        <v>20</v>
      </c>
      <c r="S50" s="209">
        <f>'HUD - Snapshot'!E21</f>
        <v>1120</v>
      </c>
      <c r="T50" s="209">
        <f>'HUD - Snapshot'!F21</f>
        <v>1850</v>
      </c>
      <c r="U50" s="210">
        <f t="shared" si="27"/>
        <v>1.6517857142857142</v>
      </c>
      <c r="V50" s="211">
        <f t="shared" si="28"/>
        <v>37000</v>
      </c>
    </row>
    <row r="51" spans="1:22 16384:16384" ht="14" thickBot="1">
      <c r="Q51" s="207" t="str">
        <f>'HUD - Snapshot'!B22</f>
        <v>3BR/2BA T</v>
      </c>
      <c r="R51" s="208">
        <f>'HUD - Snapshot'!C22</f>
        <v>21</v>
      </c>
      <c r="S51" s="209">
        <f>'HUD - Snapshot'!E22</f>
        <v>1250</v>
      </c>
      <c r="T51" s="209">
        <f>'HUD - Snapshot'!F22</f>
        <v>2000</v>
      </c>
      <c r="U51" s="210">
        <f t="shared" si="27"/>
        <v>1.6</v>
      </c>
      <c r="V51" s="211">
        <f t="shared" si="28"/>
        <v>42000</v>
      </c>
    </row>
    <row r="52" spans="1:22 16384:16384" ht="14" thickBot="1">
      <c r="B52" s="491" t="s">
        <v>578</v>
      </c>
      <c r="C52" s="491"/>
      <c r="E52" s="151">
        <f ca="1">E50-SUM(E46)</f>
        <v>23214923.377519771</v>
      </c>
      <c r="F52" s="151">
        <f t="shared" ref="F52:N52" ca="1" si="32">F50-SUM(F46)</f>
        <v>26347960.353083186</v>
      </c>
      <c r="G52" s="151">
        <f t="shared" ca="1" si="32"/>
        <v>29587764.763171464</v>
      </c>
      <c r="H52" s="151">
        <f t="shared" ca="1" si="32"/>
        <v>32935813.520521894</v>
      </c>
      <c r="I52" s="151">
        <f t="shared" ca="1" si="32"/>
        <v>36398409.099530384</v>
      </c>
      <c r="J52" s="151">
        <f t="shared" ca="1" si="32"/>
        <v>39979083.402129345</v>
      </c>
      <c r="K52" s="151">
        <f t="shared" ca="1" si="32"/>
        <v>43681451.821451224</v>
      </c>
      <c r="L52" s="151">
        <f t="shared" ca="1" si="32"/>
        <v>47510167.51339674</v>
      </c>
      <c r="M52" s="151">
        <f t="shared" ca="1" si="32"/>
        <v>51469025.886744648</v>
      </c>
      <c r="N52" s="151">
        <f t="shared" ca="1" si="32"/>
        <v>55564769.322984092</v>
      </c>
      <c r="Q52" s="212" t="s">
        <v>22</v>
      </c>
      <c r="R52" s="213">
        <f>SUM(R45:R51)</f>
        <v>320</v>
      </c>
      <c r="S52" s="214">
        <f>SUMPRODUCT($R$45:$R$51,S45:S51)</f>
        <v>277690</v>
      </c>
      <c r="T52" s="214">
        <f>SUMPRODUCT($R$45:$R$51,T45:T51)/$R$52</f>
        <v>1752.1875</v>
      </c>
      <c r="U52" s="215">
        <f>SUMPRODUCT($R$45:$R$51,U45:U51)/$R$52</f>
        <v>2.0643580117754725</v>
      </c>
      <c r="V52" s="216">
        <f t="shared" si="28"/>
        <v>560700</v>
      </c>
    </row>
    <row r="54" spans="1:22 16384:16384">
      <c r="Q54" s="151"/>
    </row>
    <row r="55" spans="1:22 16384:16384" ht="14">
      <c r="B55" s="565" t="s">
        <v>580</v>
      </c>
      <c r="C55" s="566"/>
      <c r="D55" s="566"/>
      <c r="E55" s="566"/>
      <c r="F55" s="566"/>
      <c r="G55" s="566"/>
      <c r="H55" s="566"/>
      <c r="I55" s="566"/>
      <c r="J55" s="566"/>
      <c r="K55" s="566"/>
      <c r="L55" s="566"/>
      <c r="M55" s="566"/>
      <c r="N55" s="570" t="s">
        <v>579</v>
      </c>
      <c r="Q55" s="151"/>
    </row>
    <row r="56" spans="1:22 16384:16384">
      <c r="B56" s="382" t="s">
        <v>527</v>
      </c>
      <c r="C56" s="175">
        <f ca="1">-'HUD - Snapshot'!L53-D56</f>
        <v>-14940258.359999994</v>
      </c>
      <c r="D56" s="496">
        <f t="shared" ref="D56:M56" ca="1" si="33">D39</f>
        <v>-1285976.9382025325</v>
      </c>
      <c r="E56" s="496">
        <f t="shared" ca="1" si="33"/>
        <v>597929.05374361575</v>
      </c>
      <c r="F56" s="496">
        <f t="shared" ca="1" si="33"/>
        <v>732110.18742998829</v>
      </c>
      <c r="G56" s="496">
        <f t="shared" ca="1" si="33"/>
        <v>870345.81295823213</v>
      </c>
      <c r="H56" s="496">
        <f t="shared" ca="1" si="33"/>
        <v>1012759.0517373988</v>
      </c>
      <c r="I56" s="496">
        <f t="shared" ca="1" si="33"/>
        <v>1159476.7948788418</v>
      </c>
      <c r="J56" s="496">
        <f t="shared" ca="1" si="33"/>
        <v>1310629.8201786666</v>
      </c>
      <c r="K56" s="496">
        <f t="shared" ca="1" si="33"/>
        <v>1466352.9128087196</v>
      </c>
      <c r="L56" s="496">
        <f t="shared" ca="1" si="33"/>
        <v>1626784.9898376241</v>
      </c>
      <c r="M56" s="496">
        <f t="shared" ca="1" si="33"/>
        <v>1792069.2287074029</v>
      </c>
      <c r="N56" s="544">
        <f ca="1">N39+N52</f>
        <v>57527122.522779718</v>
      </c>
      <c r="Q56" s="151"/>
    </row>
    <row r="57" spans="1:22 16384:16384" ht="15">
      <c r="B57" s="545" t="s">
        <v>525</v>
      </c>
      <c r="C57" s="498">
        <f ca="1">XIRR(C56:N56,C8:N8)</f>
        <v>0.15453898310661321</v>
      </c>
      <c r="D57" s="175"/>
      <c r="E57" s="166"/>
      <c r="F57" s="166"/>
      <c r="G57" s="166"/>
      <c r="H57" s="166"/>
      <c r="I57" s="166"/>
      <c r="J57" s="166"/>
      <c r="K57" s="166"/>
      <c r="L57" s="166"/>
      <c r="M57" s="166"/>
      <c r="N57" s="546"/>
      <c r="Q57"/>
      <c r="R57"/>
      <c r="S57"/>
      <c r="T57"/>
      <c r="U57"/>
      <c r="V57"/>
    </row>
    <row r="58" spans="1:22 16384:16384" ht="15">
      <c r="B58" s="547" t="s">
        <v>526</v>
      </c>
      <c r="C58" s="548">
        <f ca="1">SUM(E56:N56)/-SUM(C56:D56)</f>
        <v>4.1966345935217362</v>
      </c>
      <c r="D58" s="405"/>
      <c r="E58" s="405"/>
      <c r="F58" s="405"/>
      <c r="G58" s="405"/>
      <c r="H58" s="405"/>
      <c r="I58" s="405"/>
      <c r="J58" s="405"/>
      <c r="K58" s="405"/>
      <c r="L58" s="405"/>
      <c r="M58" s="405"/>
      <c r="N58" s="549"/>
      <c r="Q58"/>
      <c r="R58"/>
      <c r="S58"/>
      <c r="T58"/>
      <c r="U58"/>
      <c r="V58"/>
    </row>
    <row r="59" spans="1:22 16384:16384" ht="15">
      <c r="Q59"/>
      <c r="R59"/>
      <c r="S59"/>
      <c r="T59"/>
      <c r="U59"/>
      <c r="V59"/>
    </row>
    <row r="60" spans="1:22 16384:16384" ht="15">
      <c r="Q60"/>
      <c r="R60"/>
      <c r="S60"/>
      <c r="T60"/>
      <c r="U60"/>
      <c r="V60"/>
    </row>
    <row r="61" spans="1:22 16384:16384" ht="15">
      <c r="B61" s="567" t="s">
        <v>585</v>
      </c>
      <c r="C61" s="568"/>
      <c r="D61" s="569"/>
      <c r="E61" s="569"/>
      <c r="F61" s="569"/>
      <c r="G61" s="569"/>
      <c r="H61" s="569"/>
      <c r="I61" s="569"/>
      <c r="J61" s="569"/>
      <c r="K61" s="569"/>
      <c r="L61" s="569"/>
      <c r="M61" s="569"/>
      <c r="N61" s="569"/>
      <c r="Q61"/>
      <c r="R61"/>
      <c r="S61"/>
      <c r="T61"/>
      <c r="U61"/>
      <c r="V61"/>
    </row>
    <row r="62" spans="1:22 16384:16384" ht="15">
      <c r="B62" s="179" t="s">
        <v>99</v>
      </c>
      <c r="C62" s="179">
        <v>0</v>
      </c>
      <c r="D62" s="179">
        <f t="shared" ref="D62:N62" si="34">C62+1</f>
        <v>1</v>
      </c>
      <c r="E62" s="179">
        <f t="shared" si="34"/>
        <v>2</v>
      </c>
      <c r="F62" s="179">
        <f t="shared" si="34"/>
        <v>3</v>
      </c>
      <c r="G62" s="179">
        <f t="shared" si="34"/>
        <v>4</v>
      </c>
      <c r="H62" s="179">
        <f t="shared" si="34"/>
        <v>5</v>
      </c>
      <c r="I62" s="179">
        <f t="shared" si="34"/>
        <v>6</v>
      </c>
      <c r="J62" s="179">
        <f t="shared" si="34"/>
        <v>7</v>
      </c>
      <c r="K62" s="179">
        <f t="shared" si="34"/>
        <v>8</v>
      </c>
      <c r="L62" s="179">
        <f t="shared" si="34"/>
        <v>9</v>
      </c>
      <c r="M62" s="179">
        <f t="shared" si="34"/>
        <v>10</v>
      </c>
      <c r="N62" s="179">
        <f t="shared" si="34"/>
        <v>11</v>
      </c>
      <c r="Q62"/>
      <c r="R62"/>
      <c r="S62"/>
      <c r="T62"/>
      <c r="U62"/>
      <c r="V62"/>
    </row>
    <row r="63" spans="1:22 16384:16384" ht="15">
      <c r="B63" s="559">
        <v>0</v>
      </c>
      <c r="C63" s="556">
        <f ca="1">C56</f>
        <v>-14940258.359999994</v>
      </c>
      <c r="D63" s="557">
        <f ca="1">C63</f>
        <v>-14940258.359999994</v>
      </c>
      <c r="E63" s="557">
        <f t="shared" ref="E63:N64" ca="1" si="35">D63</f>
        <v>-14940258.359999994</v>
      </c>
      <c r="F63" s="557">
        <f t="shared" ca="1" si="35"/>
        <v>-14940258.359999994</v>
      </c>
      <c r="G63" s="557">
        <f t="shared" ca="1" si="35"/>
        <v>-14940258.359999994</v>
      </c>
      <c r="H63" s="557">
        <f t="shared" ca="1" si="35"/>
        <v>-14940258.359999994</v>
      </c>
      <c r="I63" s="557">
        <f t="shared" ca="1" si="35"/>
        <v>-14940258.359999994</v>
      </c>
      <c r="J63" s="557">
        <f t="shared" ca="1" si="35"/>
        <v>-14940258.359999994</v>
      </c>
      <c r="K63" s="557">
        <f t="shared" ca="1" si="35"/>
        <v>-14940258.359999994</v>
      </c>
      <c r="L63" s="557">
        <f t="shared" ca="1" si="35"/>
        <v>-14940258.359999994</v>
      </c>
      <c r="M63" s="557">
        <f t="shared" ca="1" si="35"/>
        <v>-14940258.359999994</v>
      </c>
      <c r="N63" s="557">
        <f t="shared" ca="1" si="35"/>
        <v>-14940258.359999994</v>
      </c>
      <c r="Q63"/>
      <c r="R63"/>
      <c r="S63"/>
      <c r="T63"/>
      <c r="U63"/>
      <c r="V63"/>
    </row>
    <row r="64" spans="1:22 16384:16384" ht="15">
      <c r="B64" s="559">
        <f>B63+1</f>
        <v>1</v>
      </c>
      <c r="C64" s="554"/>
      <c r="D64" s="557">
        <f ca="1">D56</f>
        <v>-1285976.9382025325</v>
      </c>
      <c r="E64" s="557">
        <f t="shared" ca="1" si="35"/>
        <v>-1285976.9382025325</v>
      </c>
      <c r="F64" s="557">
        <f t="shared" ca="1" si="35"/>
        <v>-1285976.9382025325</v>
      </c>
      <c r="G64" s="557">
        <f t="shared" ca="1" si="35"/>
        <v>-1285976.9382025325</v>
      </c>
      <c r="H64" s="557">
        <f t="shared" ca="1" si="35"/>
        <v>-1285976.9382025325</v>
      </c>
      <c r="I64" s="557">
        <f t="shared" ca="1" si="35"/>
        <v>-1285976.9382025325</v>
      </c>
      <c r="J64" s="557">
        <f t="shared" ca="1" si="35"/>
        <v>-1285976.9382025325</v>
      </c>
      <c r="K64" s="557">
        <f t="shared" ca="1" si="35"/>
        <v>-1285976.9382025325</v>
      </c>
      <c r="L64" s="557">
        <f t="shared" ca="1" si="35"/>
        <v>-1285976.9382025325</v>
      </c>
      <c r="M64" s="557">
        <f t="shared" ca="1" si="35"/>
        <v>-1285976.9382025325</v>
      </c>
      <c r="N64" s="557">
        <f t="shared" ca="1" si="35"/>
        <v>-1285976.9382025325</v>
      </c>
      <c r="Q64"/>
      <c r="R64"/>
      <c r="S64"/>
      <c r="T64"/>
      <c r="U64"/>
      <c r="V64"/>
      <c r="XFD64" s="151">
        <f>XFC64+1</f>
        <v>1</v>
      </c>
    </row>
    <row r="65" spans="2:22" ht="15">
      <c r="B65" s="559">
        <f t="shared" ref="B65:B74" si="36">B64+1</f>
        <v>2</v>
      </c>
      <c r="C65" s="554"/>
      <c r="D65" s="557"/>
      <c r="E65" s="557">
        <f ca="1">E56+E52</f>
        <v>23812852.431263387</v>
      </c>
      <c r="F65" s="557">
        <f t="shared" ref="F65:N65" ca="1" si="37">$E$56</f>
        <v>597929.05374361575</v>
      </c>
      <c r="G65" s="557">
        <f t="shared" ca="1" si="37"/>
        <v>597929.05374361575</v>
      </c>
      <c r="H65" s="557">
        <f t="shared" ca="1" si="37"/>
        <v>597929.05374361575</v>
      </c>
      <c r="I65" s="557">
        <f t="shared" ca="1" si="37"/>
        <v>597929.05374361575</v>
      </c>
      <c r="J65" s="557">
        <f t="shared" ca="1" si="37"/>
        <v>597929.05374361575</v>
      </c>
      <c r="K65" s="557">
        <f t="shared" ca="1" si="37"/>
        <v>597929.05374361575</v>
      </c>
      <c r="L65" s="557">
        <f t="shared" ca="1" si="37"/>
        <v>597929.05374361575</v>
      </c>
      <c r="M65" s="557">
        <f t="shared" ca="1" si="37"/>
        <v>597929.05374361575</v>
      </c>
      <c r="N65" s="557">
        <f t="shared" ca="1" si="37"/>
        <v>597929.05374361575</v>
      </c>
      <c r="Q65"/>
      <c r="R65"/>
      <c r="S65"/>
      <c r="T65"/>
      <c r="U65"/>
      <c r="V65"/>
    </row>
    <row r="66" spans="2:22" ht="15">
      <c r="B66" s="559">
        <f t="shared" si="36"/>
        <v>3</v>
      </c>
      <c r="C66" s="554"/>
      <c r="D66" s="557"/>
      <c r="E66" s="557"/>
      <c r="F66" s="557">
        <f ca="1">F56+F52</f>
        <v>27080070.540513173</v>
      </c>
      <c r="G66" s="557">
        <f t="shared" ref="G66:N66" ca="1" si="38">$F$56</f>
        <v>732110.18742998829</v>
      </c>
      <c r="H66" s="557">
        <f t="shared" ca="1" si="38"/>
        <v>732110.18742998829</v>
      </c>
      <c r="I66" s="557">
        <f t="shared" ca="1" si="38"/>
        <v>732110.18742998829</v>
      </c>
      <c r="J66" s="557">
        <f t="shared" ca="1" si="38"/>
        <v>732110.18742998829</v>
      </c>
      <c r="K66" s="557">
        <f t="shared" ca="1" si="38"/>
        <v>732110.18742998829</v>
      </c>
      <c r="L66" s="557">
        <f t="shared" ca="1" si="38"/>
        <v>732110.18742998829</v>
      </c>
      <c r="M66" s="557">
        <f t="shared" ca="1" si="38"/>
        <v>732110.18742998829</v>
      </c>
      <c r="N66" s="557">
        <f t="shared" ca="1" si="38"/>
        <v>732110.18742998829</v>
      </c>
      <c r="Q66"/>
      <c r="R66"/>
      <c r="S66"/>
      <c r="T66"/>
      <c r="U66"/>
      <c r="V66"/>
    </row>
    <row r="67" spans="2:22" ht="15">
      <c r="B67" s="559">
        <f t="shared" si="36"/>
        <v>4</v>
      </c>
      <c r="C67" s="554"/>
      <c r="D67" s="557"/>
      <c r="E67" s="557"/>
      <c r="F67" s="557"/>
      <c r="G67" s="557">
        <f ca="1">G56+G52</f>
        <v>30458110.576129697</v>
      </c>
      <c r="H67" s="557">
        <f t="shared" ref="H67:N67" ca="1" si="39">$G$56</f>
        <v>870345.81295823213</v>
      </c>
      <c r="I67" s="557">
        <f t="shared" ca="1" si="39"/>
        <v>870345.81295823213</v>
      </c>
      <c r="J67" s="557">
        <f t="shared" ca="1" si="39"/>
        <v>870345.81295823213</v>
      </c>
      <c r="K67" s="557">
        <f t="shared" ca="1" si="39"/>
        <v>870345.81295823213</v>
      </c>
      <c r="L67" s="557">
        <f t="shared" ca="1" si="39"/>
        <v>870345.81295823213</v>
      </c>
      <c r="M67" s="557">
        <f t="shared" ca="1" si="39"/>
        <v>870345.81295823213</v>
      </c>
      <c r="N67" s="557">
        <f t="shared" ca="1" si="39"/>
        <v>870345.81295823213</v>
      </c>
      <c r="Q67"/>
      <c r="R67"/>
      <c r="S67"/>
      <c r="T67"/>
      <c r="U67"/>
      <c r="V67"/>
    </row>
    <row r="68" spans="2:22" ht="15">
      <c r="B68" s="559">
        <f t="shared" si="36"/>
        <v>5</v>
      </c>
      <c r="C68" s="554"/>
      <c r="D68" s="557"/>
      <c r="E68" s="557"/>
      <c r="F68" s="557"/>
      <c r="G68" s="557"/>
      <c r="H68" s="557">
        <f ca="1">H56+H52</f>
        <v>33948572.572259292</v>
      </c>
      <c r="I68" s="557">
        <f t="shared" ref="I68:N68" ca="1" si="40">$H$56</f>
        <v>1012759.0517373988</v>
      </c>
      <c r="J68" s="557">
        <f t="shared" ca="1" si="40"/>
        <v>1012759.0517373988</v>
      </c>
      <c r="K68" s="557">
        <f t="shared" ca="1" si="40"/>
        <v>1012759.0517373988</v>
      </c>
      <c r="L68" s="557">
        <f t="shared" ca="1" si="40"/>
        <v>1012759.0517373988</v>
      </c>
      <c r="M68" s="557">
        <f t="shared" ca="1" si="40"/>
        <v>1012759.0517373988</v>
      </c>
      <c r="N68" s="557">
        <f t="shared" ca="1" si="40"/>
        <v>1012759.0517373988</v>
      </c>
      <c r="Q68"/>
      <c r="R68"/>
      <c r="S68"/>
      <c r="T68"/>
      <c r="U68"/>
      <c r="V68"/>
    </row>
    <row r="69" spans="2:22" ht="15">
      <c r="B69" s="559">
        <f t="shared" si="36"/>
        <v>6</v>
      </c>
      <c r="C69" s="554"/>
      <c r="D69" s="557"/>
      <c r="E69" s="557"/>
      <c r="F69" s="557"/>
      <c r="G69" s="557"/>
      <c r="H69" s="557"/>
      <c r="I69" s="557">
        <f ca="1">I56+I52</f>
        <v>37557885.894409224</v>
      </c>
      <c r="J69" s="557">
        <f ca="1">$I$56</f>
        <v>1159476.7948788418</v>
      </c>
      <c r="K69" s="557">
        <f ca="1">$I$56</f>
        <v>1159476.7948788418</v>
      </c>
      <c r="L69" s="557">
        <f ca="1">$I$56</f>
        <v>1159476.7948788418</v>
      </c>
      <c r="M69" s="557">
        <f ca="1">$I$56</f>
        <v>1159476.7948788418</v>
      </c>
      <c r="N69" s="557">
        <f ca="1">$I$56</f>
        <v>1159476.7948788418</v>
      </c>
      <c r="Q69"/>
      <c r="R69"/>
      <c r="S69"/>
      <c r="T69"/>
      <c r="U69"/>
      <c r="V69"/>
    </row>
    <row r="70" spans="2:22" ht="15">
      <c r="B70" s="559">
        <f t="shared" si="36"/>
        <v>7</v>
      </c>
      <c r="C70" s="554"/>
      <c r="D70" s="557"/>
      <c r="E70" s="557"/>
      <c r="F70" s="557"/>
      <c r="G70" s="557"/>
      <c r="H70" s="557"/>
      <c r="I70" s="557"/>
      <c r="J70" s="557">
        <f ca="1">J56+J52</f>
        <v>41289713.22230801</v>
      </c>
      <c r="K70" s="557">
        <f ca="1">$J$56</f>
        <v>1310629.8201786666</v>
      </c>
      <c r="L70" s="557">
        <f ca="1">$J$56</f>
        <v>1310629.8201786666</v>
      </c>
      <c r="M70" s="557">
        <f ca="1">$J$56</f>
        <v>1310629.8201786666</v>
      </c>
      <c r="N70" s="557">
        <f ca="1">$J$56</f>
        <v>1310629.8201786666</v>
      </c>
      <c r="Q70"/>
      <c r="R70"/>
      <c r="S70"/>
      <c r="T70"/>
      <c r="U70"/>
      <c r="V70"/>
    </row>
    <row r="71" spans="2:22">
      <c r="B71" s="559">
        <f t="shared" si="36"/>
        <v>8</v>
      </c>
      <c r="C71" s="554"/>
      <c r="D71" s="557"/>
      <c r="E71" s="557"/>
      <c r="F71" s="557"/>
      <c r="G71" s="557"/>
      <c r="H71" s="557"/>
      <c r="I71" s="557"/>
      <c r="J71" s="557"/>
      <c r="K71" s="557">
        <f ca="1">K56+K52</f>
        <v>45147804.734259941</v>
      </c>
      <c r="L71" s="557">
        <f ca="1">$K$56</f>
        <v>1466352.9128087196</v>
      </c>
      <c r="M71" s="557">
        <f ca="1">$K$56</f>
        <v>1466352.9128087196</v>
      </c>
      <c r="N71" s="557">
        <f ca="1">$K$56</f>
        <v>1466352.9128087196</v>
      </c>
    </row>
    <row r="72" spans="2:22">
      <c r="B72" s="559">
        <f t="shared" si="36"/>
        <v>9</v>
      </c>
      <c r="C72" s="554"/>
      <c r="D72" s="557"/>
      <c r="E72" s="557"/>
      <c r="F72" s="557"/>
      <c r="G72" s="557"/>
      <c r="H72" s="557"/>
      <c r="I72" s="557"/>
      <c r="J72" s="557"/>
      <c r="K72" s="557"/>
      <c r="L72" s="557">
        <f ca="1">L56+L52</f>
        <v>49136952.503234364</v>
      </c>
      <c r="M72" s="557">
        <f ca="1">$L$56</f>
        <v>1626784.9898376241</v>
      </c>
      <c r="N72" s="557">
        <f ca="1">$L$56</f>
        <v>1626784.9898376241</v>
      </c>
    </row>
    <row r="73" spans="2:22">
      <c r="B73" s="559">
        <f t="shared" si="36"/>
        <v>10</v>
      </c>
      <c r="C73" s="554"/>
      <c r="D73" s="557"/>
      <c r="E73" s="557"/>
      <c r="F73" s="557"/>
      <c r="G73" s="557"/>
      <c r="H73" s="557"/>
      <c r="I73" s="557"/>
      <c r="J73" s="557"/>
      <c r="K73" s="557"/>
      <c r="L73" s="557"/>
      <c r="M73" s="557">
        <f ca="1">M56+M52</f>
        <v>53261095.115452051</v>
      </c>
      <c r="N73" s="557">
        <f ca="1">$M$56</f>
        <v>1792069.2287074029</v>
      </c>
    </row>
    <row r="74" spans="2:22">
      <c r="B74" s="560">
        <f t="shared" si="36"/>
        <v>11</v>
      </c>
      <c r="C74" s="555"/>
      <c r="D74" s="558"/>
      <c r="E74" s="558"/>
      <c r="F74" s="558"/>
      <c r="G74" s="558"/>
      <c r="H74" s="558"/>
      <c r="I74" s="558"/>
      <c r="J74" s="558"/>
      <c r="K74" s="558"/>
      <c r="L74" s="558"/>
      <c r="M74" s="558"/>
      <c r="N74" s="558">
        <f ca="1">N39+N52</f>
        <v>57527122.522779718</v>
      </c>
    </row>
    <row r="75" spans="2:22">
      <c r="B75" s="561" t="s">
        <v>525</v>
      </c>
      <c r="C75" s="561"/>
      <c r="D75" s="562"/>
      <c r="E75" s="563">
        <f ca="1">IRR(E63:E74)</f>
        <v>0.22018228641753312</v>
      </c>
      <c r="F75" s="563">
        <f t="shared" ref="F75:N75" ca="1" si="41">IRR(F63:F74)</f>
        <v>0.20192164795497458</v>
      </c>
      <c r="G75" s="563">
        <f t="shared" ca="1" si="41"/>
        <v>0.19046780675641695</v>
      </c>
      <c r="H75" s="563">
        <f t="shared" ca="1" si="41"/>
        <v>0.18204749433081835</v>
      </c>
      <c r="I75" s="563">
        <f t="shared" ca="1" si="41"/>
        <v>0.17538988441739978</v>
      </c>
      <c r="J75" s="563">
        <f t="shared" ca="1" si="41"/>
        <v>0.16989305700134993</v>
      </c>
      <c r="K75" s="563">
        <f t="shared" ca="1" si="41"/>
        <v>0.16522850151073154</v>
      </c>
      <c r="L75" s="563">
        <f t="shared" ca="1" si="41"/>
        <v>0.16119715747743424</v>
      </c>
      <c r="M75" s="563">
        <f t="shared" ca="1" si="41"/>
        <v>0.15766410594039937</v>
      </c>
      <c r="N75" s="563">
        <f t="shared" ca="1" si="41"/>
        <v>0.15453898454603143</v>
      </c>
    </row>
    <row r="76" spans="2:22">
      <c r="B76" s="561" t="s">
        <v>526</v>
      </c>
      <c r="C76" s="561"/>
      <c r="D76" s="562"/>
      <c r="E76" s="564">
        <f ca="1">SUMIF(E63:E74,"&gt;0")/-SUMIF(E63:E74,"&lt;0")</f>
        <v>1.4675525156412144</v>
      </c>
      <c r="F76" s="564">
        <f t="shared" ref="F76:N76" ca="1" si="42">SUMIF(F63:F74,"&gt;0")/-SUMIF(F63:F74,"&lt;0")</f>
        <v>1.7057560848586266</v>
      </c>
      <c r="G76" s="564">
        <f t="shared" ca="1" si="42"/>
        <v>1.9590588471760086</v>
      </c>
      <c r="H76" s="564">
        <f t="shared" ca="1" si="42"/>
        <v>2.2278092830562835</v>
      </c>
      <c r="I76" s="564">
        <f t="shared" ca="1" si="42"/>
        <v>2.5126610856428848</v>
      </c>
      <c r="J76" s="564">
        <f t="shared" ca="1" si="42"/>
        <v>2.8141052612564028</v>
      </c>
      <c r="K76" s="564">
        <f t="shared" ca="1" si="42"/>
        <v>3.1326462682824237</v>
      </c>
      <c r="L76" s="564">
        <f t="shared" ca="1" si="42"/>
        <v>3.4688610822255868</v>
      </c>
      <c r="M76" s="564">
        <f t="shared" ca="1" si="42"/>
        <v>3.8232826406688059</v>
      </c>
      <c r="N76" s="564">
        <f t="shared" ca="1" si="42"/>
        <v>4.1966345935217362</v>
      </c>
    </row>
  </sheetData>
  <mergeCells count="1">
    <mergeCell ref="Y18:AA18"/>
  </mergeCells>
  <pageMargins left="0.2" right="0.2" top="0.25" bottom="0.25" header="0.3" footer="0.3"/>
  <pageSetup paperSize="5" scale="64" orientation="landscape" horizontalDpi="1200" verticalDpi="1200" r:id="rId1"/>
  <ignoredErrors>
    <ignoredError sqref="AA21 AA22:AA30"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C7E30-A787-4D40-B93E-7C18B02753C8}">
  <dimension ref="A2:AU780"/>
  <sheetViews>
    <sheetView showGridLines="0" topLeftCell="A2" zoomScale="125" workbookViewId="0">
      <selection activeCell="O18" sqref="O18"/>
    </sheetView>
  </sheetViews>
  <sheetFormatPr baseColWidth="10" defaultColWidth="8.83203125" defaultRowHeight="14"/>
  <cols>
    <col min="1" max="1" width="6.6640625" style="16" customWidth="1"/>
    <col min="2" max="2" width="4.1640625" style="16" customWidth="1"/>
    <col min="3" max="3" width="15.5" style="16" customWidth="1"/>
    <col min="4" max="4" width="14.6640625" style="147" bestFit="1" customWidth="1"/>
    <col min="5" max="5" width="12.6640625" style="147" bestFit="1" customWidth="1"/>
    <col min="6" max="6" width="14.5" style="147" customWidth="1"/>
    <col min="7" max="7" width="12.1640625" style="147" bestFit="1" customWidth="1"/>
    <col min="8" max="8" width="11.1640625" style="147" bestFit="1" customWidth="1"/>
    <col min="9" max="9" width="16" style="147" customWidth="1"/>
    <col min="10" max="10" width="1.5" style="161" customWidth="1"/>
    <col min="11" max="11" width="11.33203125" style="16" customWidth="1"/>
    <col min="12" max="12" width="13.33203125" style="16" customWidth="1"/>
    <col min="13" max="13" width="13.5" style="16" customWidth="1"/>
    <col min="14" max="16384" width="8.83203125" style="16"/>
  </cols>
  <sheetData>
    <row r="2" spans="2:44">
      <c r="B2" s="235" t="str">
        <f>'HUD - CashFlow'!R5</f>
        <v>8011 KREFELD DR</v>
      </c>
      <c r="N2" s="20" t="s">
        <v>176</v>
      </c>
    </row>
    <row r="3" spans="2:44" ht="15">
      <c r="N3" s="24">
        <f ca="1">TODAY()</f>
        <v>44838</v>
      </c>
      <c r="Q3"/>
      <c r="R3"/>
      <c r="S3"/>
      <c r="T3"/>
      <c r="U3"/>
      <c r="V3"/>
      <c r="W3"/>
      <c r="X3"/>
      <c r="Y3"/>
      <c r="Z3"/>
      <c r="AA3"/>
      <c r="AB3"/>
      <c r="AC3"/>
      <c r="AD3"/>
      <c r="AE3"/>
      <c r="AF3"/>
      <c r="AG3"/>
      <c r="AH3"/>
      <c r="AI3"/>
      <c r="AJ3"/>
      <c r="AK3"/>
      <c r="AL3"/>
      <c r="AM3"/>
      <c r="AN3"/>
      <c r="AO3"/>
      <c r="AP3"/>
      <c r="AQ3"/>
    </row>
    <row r="4" spans="2:44" ht="18">
      <c r="B4" s="26" t="s">
        <v>728</v>
      </c>
      <c r="Q4"/>
      <c r="R4"/>
      <c r="S4"/>
      <c r="T4"/>
      <c r="U4"/>
      <c r="V4"/>
      <c r="W4"/>
      <c r="X4"/>
      <c r="Y4"/>
      <c r="Z4"/>
      <c r="AA4"/>
      <c r="AB4"/>
      <c r="AC4"/>
      <c r="AD4"/>
      <c r="AE4"/>
      <c r="AF4"/>
      <c r="AG4"/>
      <c r="AH4"/>
      <c r="AI4"/>
      <c r="AJ4"/>
      <c r="AK4"/>
      <c r="AL4"/>
      <c r="AM4"/>
      <c r="AN4"/>
      <c r="AO4"/>
      <c r="AP4"/>
      <c r="AQ4"/>
    </row>
    <row r="5" spans="2:44" ht="15">
      <c r="L5" s="20"/>
      <c r="Q5"/>
      <c r="R5"/>
      <c r="S5"/>
      <c r="T5"/>
      <c r="U5"/>
      <c r="V5"/>
      <c r="W5"/>
      <c r="X5"/>
      <c r="Y5"/>
      <c r="Z5"/>
      <c r="AA5"/>
      <c r="AB5"/>
      <c r="AC5"/>
      <c r="AD5"/>
      <c r="AE5"/>
      <c r="AF5"/>
      <c r="AG5"/>
      <c r="AH5"/>
      <c r="AI5"/>
      <c r="AJ5"/>
      <c r="AK5"/>
      <c r="AL5"/>
      <c r="AM5"/>
      <c r="AN5"/>
      <c r="AO5"/>
      <c r="AP5"/>
      <c r="AQ5"/>
    </row>
    <row r="6" spans="2:44" ht="15">
      <c r="C6" s="230" t="s">
        <v>106</v>
      </c>
      <c r="D6" s="231">
        <f ca="1">'HUD - Snapshot'!K7</f>
        <v>63463600</v>
      </c>
      <c r="E6" s="232"/>
      <c r="F6" s="232"/>
      <c r="L6" s="24"/>
      <c r="Q6"/>
      <c r="R6"/>
      <c r="S6"/>
      <c r="T6"/>
      <c r="U6"/>
      <c r="V6"/>
      <c r="W6"/>
      <c r="X6"/>
      <c r="Y6"/>
      <c r="Z6"/>
      <c r="AA6"/>
      <c r="AB6"/>
      <c r="AC6"/>
      <c r="AD6"/>
      <c r="AE6"/>
      <c r="AF6"/>
      <c r="AG6"/>
      <c r="AH6"/>
      <c r="AI6"/>
      <c r="AJ6"/>
      <c r="AK6"/>
      <c r="AL6"/>
      <c r="AM6"/>
      <c r="AN6"/>
      <c r="AO6"/>
      <c r="AP6"/>
      <c r="AQ6"/>
    </row>
    <row r="7" spans="2:44" ht="15">
      <c r="C7" s="230" t="s">
        <v>108</v>
      </c>
      <c r="D7" s="231">
        <f>'HUD - Snapshot'!K8</f>
        <v>480</v>
      </c>
      <c r="E7" s="232"/>
      <c r="F7" s="232"/>
      <c r="Q7"/>
      <c r="R7"/>
      <c r="S7"/>
      <c r="T7"/>
      <c r="U7"/>
      <c r="V7"/>
      <c r="W7"/>
      <c r="X7"/>
      <c r="Y7"/>
      <c r="Z7"/>
      <c r="AA7"/>
      <c r="AB7"/>
      <c r="AC7"/>
      <c r="AD7"/>
      <c r="AE7"/>
      <c r="AF7"/>
      <c r="AG7"/>
      <c r="AH7"/>
      <c r="AI7"/>
      <c r="AJ7"/>
      <c r="AK7"/>
      <c r="AL7"/>
      <c r="AM7"/>
      <c r="AN7"/>
      <c r="AO7"/>
      <c r="AP7"/>
      <c r="AQ7"/>
    </row>
    <row r="8" spans="2:44" ht="15">
      <c r="C8" s="230" t="s">
        <v>107</v>
      </c>
      <c r="D8" s="292">
        <f>'HUD - Snapshot'!K9</f>
        <v>0.05</v>
      </c>
      <c r="E8" s="233">
        <v>2.5000000000000001E-3</v>
      </c>
      <c r="F8" s="234" t="s">
        <v>175</v>
      </c>
      <c r="Q8"/>
      <c r="R8"/>
      <c r="S8"/>
      <c r="T8"/>
      <c r="U8"/>
      <c r="V8"/>
      <c r="W8"/>
      <c r="X8"/>
      <c r="Y8"/>
      <c r="Z8"/>
      <c r="AA8"/>
      <c r="AB8"/>
      <c r="AC8"/>
      <c r="AD8"/>
      <c r="AE8"/>
      <c r="AF8"/>
      <c r="AG8"/>
      <c r="AH8"/>
      <c r="AI8"/>
      <c r="AJ8"/>
      <c r="AK8"/>
      <c r="AL8"/>
      <c r="AM8"/>
      <c r="AN8"/>
      <c r="AO8"/>
      <c r="AP8"/>
      <c r="AQ8"/>
    </row>
    <row r="9" spans="2:44" ht="15">
      <c r="C9" s="230" t="s">
        <v>113</v>
      </c>
      <c r="D9" s="231">
        <f ca="1">-PMT(D8/12,D7,D6)</f>
        <v>306019.32180541131</v>
      </c>
      <c r="E9" s="553"/>
      <c r="F9" s="232"/>
      <c r="Q9"/>
      <c r="R9"/>
      <c r="S9"/>
      <c r="T9"/>
      <c r="U9"/>
      <c r="V9"/>
      <c r="W9"/>
      <c r="X9"/>
      <c r="Y9"/>
      <c r="Z9"/>
      <c r="AA9"/>
      <c r="AB9"/>
      <c r="AC9"/>
      <c r="AD9"/>
      <c r="AE9"/>
      <c r="AF9"/>
      <c r="AG9"/>
      <c r="AH9"/>
      <c r="AI9"/>
      <c r="AJ9"/>
      <c r="AK9"/>
      <c r="AL9"/>
      <c r="AM9"/>
      <c r="AN9"/>
      <c r="AO9"/>
      <c r="AP9"/>
      <c r="AQ9"/>
    </row>
    <row r="10" spans="2:44" ht="15">
      <c r="J10" s="164"/>
      <c r="Q10"/>
      <c r="R10"/>
      <c r="S10"/>
      <c r="T10"/>
      <c r="U10"/>
      <c r="V10"/>
      <c r="W10"/>
      <c r="X10"/>
      <c r="Y10"/>
      <c r="Z10"/>
      <c r="AA10"/>
      <c r="AB10"/>
      <c r="AC10"/>
      <c r="AD10"/>
      <c r="AE10"/>
      <c r="AF10"/>
      <c r="AG10"/>
      <c r="AH10"/>
      <c r="AI10"/>
      <c r="AJ10"/>
      <c r="AK10"/>
      <c r="AL10"/>
      <c r="AM10"/>
      <c r="AN10"/>
      <c r="AO10"/>
      <c r="AP10"/>
      <c r="AQ10"/>
      <c r="AR10" s="41" t="s">
        <v>378</v>
      </c>
    </row>
    <row r="11" spans="2:44" ht="15">
      <c r="B11" s="41" t="s">
        <v>103</v>
      </c>
      <c r="C11" s="41" t="s">
        <v>109</v>
      </c>
      <c r="D11" s="41" t="s">
        <v>102</v>
      </c>
      <c r="E11" s="41" t="s">
        <v>113</v>
      </c>
      <c r="F11" s="41" t="s">
        <v>104</v>
      </c>
      <c r="G11" s="41" t="s">
        <v>105</v>
      </c>
      <c r="H11" s="41" t="s">
        <v>7</v>
      </c>
      <c r="I11" s="41" t="s">
        <v>112</v>
      </c>
      <c r="J11" s="165"/>
      <c r="K11" s="41" t="s">
        <v>110</v>
      </c>
      <c r="L11" s="41" t="s">
        <v>111</v>
      </c>
      <c r="M11" s="41" t="s">
        <v>377</v>
      </c>
      <c r="N11" s="41" t="s">
        <v>378</v>
      </c>
      <c r="Q11"/>
      <c r="R11"/>
      <c r="S11"/>
      <c r="T11"/>
      <c r="U11"/>
      <c r="V11"/>
      <c r="W11"/>
      <c r="X11"/>
      <c r="Y11"/>
      <c r="Z11"/>
      <c r="AA11"/>
      <c r="AB11"/>
      <c r="AC11"/>
      <c r="AD11"/>
      <c r="AE11"/>
      <c r="AF11"/>
      <c r="AG11"/>
      <c r="AH11"/>
      <c r="AI11"/>
      <c r="AJ11"/>
      <c r="AK11"/>
      <c r="AL11"/>
      <c r="AM11"/>
      <c r="AN11"/>
      <c r="AO11"/>
      <c r="AP11"/>
      <c r="AQ11"/>
      <c r="AR11" s="150"/>
    </row>
    <row r="12" spans="2:44" s="150" customFormat="1" ht="15">
      <c r="B12" s="150">
        <v>0</v>
      </c>
      <c r="D12" s="151">
        <f ca="1">D6</f>
        <v>63463600</v>
      </c>
      <c r="E12" s="151"/>
      <c r="F12" s="151"/>
      <c r="G12" s="151"/>
      <c r="H12" s="151"/>
      <c r="I12" s="151"/>
      <c r="J12" s="166"/>
      <c r="K12" s="152"/>
      <c r="L12" s="152"/>
      <c r="Q12"/>
      <c r="R12"/>
      <c r="S12"/>
      <c r="T12"/>
      <c r="U12"/>
      <c r="V12"/>
      <c r="W12"/>
      <c r="X12"/>
      <c r="Y12"/>
      <c r="Z12"/>
      <c r="AA12"/>
      <c r="AB12"/>
      <c r="AC12"/>
      <c r="AD12"/>
      <c r="AE12"/>
      <c r="AF12"/>
      <c r="AG12"/>
      <c r="AH12"/>
      <c r="AI12"/>
      <c r="AJ12"/>
      <c r="AK12"/>
      <c r="AL12"/>
      <c r="AM12"/>
      <c r="AN12"/>
      <c r="AO12"/>
      <c r="AP12"/>
      <c r="AQ12"/>
    </row>
    <row r="13" spans="2:44" s="150" customFormat="1" ht="15">
      <c r="B13" s="150">
        <v>1</v>
      </c>
      <c r="C13" s="153">
        <v>44562</v>
      </c>
      <c r="D13" s="151">
        <f t="shared" ref="D13:D76" ca="1" si="0">D12-G13</f>
        <v>63422012.344861254</v>
      </c>
      <c r="E13" s="151">
        <f t="shared" ref="E13:E76" ca="1" si="1">$D$9</f>
        <v>306019.32180541131</v>
      </c>
      <c r="F13" s="151">
        <f t="shared" ref="F13:F76" ca="1" si="2">$D$8/12*D12</f>
        <v>264431.66666666669</v>
      </c>
      <c r="G13" s="151">
        <f t="shared" ref="G13:G76" ca="1" si="3">E13-F13</f>
        <v>41587.655138744623</v>
      </c>
      <c r="H13" s="151">
        <f ca="1">'HUD - Snapshot'!$K$10/12*D12</f>
        <v>13221.583333333334</v>
      </c>
      <c r="I13" s="151">
        <f t="shared" ref="I13:I76" ca="1" si="4">SUM(F13:H13)</f>
        <v>319240.90513874462</v>
      </c>
      <c r="J13" s="166"/>
      <c r="K13" s="152"/>
      <c r="L13" s="152"/>
      <c r="M13" s="154"/>
      <c r="Q13"/>
      <c r="R13"/>
      <c r="S13"/>
      <c r="T13"/>
      <c r="U13"/>
      <c r="V13"/>
      <c r="W13"/>
      <c r="X13"/>
      <c r="Y13"/>
      <c r="Z13"/>
      <c r="AA13"/>
      <c r="AB13"/>
      <c r="AC13"/>
      <c r="AD13"/>
      <c r="AE13"/>
      <c r="AF13"/>
      <c r="AG13"/>
      <c r="AH13"/>
      <c r="AI13"/>
      <c r="AJ13"/>
      <c r="AK13"/>
      <c r="AL13"/>
      <c r="AM13"/>
      <c r="AN13"/>
      <c r="AO13"/>
      <c r="AP13"/>
      <c r="AQ13"/>
    </row>
    <row r="14" spans="2:44" s="150" customFormat="1" ht="15">
      <c r="B14" s="150">
        <v>2</v>
      </c>
      <c r="C14" s="153">
        <v>44593</v>
      </c>
      <c r="D14" s="151">
        <f t="shared" ca="1" si="0"/>
        <v>63380251.407826096</v>
      </c>
      <c r="E14" s="151">
        <f t="shared" ca="1" si="1"/>
        <v>306019.32180541131</v>
      </c>
      <c r="F14" s="151">
        <f t="shared" ca="1" si="2"/>
        <v>264258.38477025524</v>
      </c>
      <c r="G14" s="151">
        <f t="shared" ca="1" si="3"/>
        <v>41760.937035156065</v>
      </c>
      <c r="H14" s="151">
        <f ca="1">'HUD - Snapshot'!$K$10/12*D13</f>
        <v>13212.919238512763</v>
      </c>
      <c r="I14" s="151">
        <f t="shared" ca="1" si="4"/>
        <v>319232.24104392406</v>
      </c>
      <c r="J14" s="162"/>
      <c r="K14" s="152"/>
      <c r="L14" s="152"/>
      <c r="Q14"/>
      <c r="R14"/>
      <c r="S14"/>
      <c r="T14"/>
      <c r="U14"/>
      <c r="V14"/>
      <c r="W14"/>
      <c r="X14"/>
      <c r="Y14"/>
      <c r="Z14"/>
      <c r="AA14"/>
      <c r="AB14"/>
      <c r="AC14"/>
      <c r="AD14"/>
      <c r="AE14"/>
      <c r="AF14"/>
      <c r="AG14"/>
      <c r="AH14"/>
      <c r="AI14"/>
      <c r="AJ14"/>
      <c r="AK14"/>
      <c r="AL14"/>
      <c r="AM14"/>
      <c r="AN14"/>
      <c r="AO14"/>
      <c r="AP14"/>
      <c r="AQ14"/>
    </row>
    <row r="15" spans="2:44" s="150" customFormat="1" ht="15">
      <c r="B15" s="150">
        <v>3</v>
      </c>
      <c r="C15" s="153">
        <v>44621</v>
      </c>
      <c r="D15" s="151">
        <f t="shared" ca="1" si="0"/>
        <v>63338316.466886625</v>
      </c>
      <c r="E15" s="151">
        <f t="shared" ca="1" si="1"/>
        <v>306019.32180541131</v>
      </c>
      <c r="F15" s="151">
        <f t="shared" ca="1" si="2"/>
        <v>264084.38086594205</v>
      </c>
      <c r="G15" s="151">
        <f t="shared" ca="1" si="3"/>
        <v>41934.940939469263</v>
      </c>
      <c r="H15" s="151">
        <f ca="1">'HUD - Snapshot'!$K$10/12*D14</f>
        <v>13204.219043297104</v>
      </c>
      <c r="I15" s="151">
        <f t="shared" ca="1" si="4"/>
        <v>319223.54084870842</v>
      </c>
      <c r="J15" s="162"/>
      <c r="K15" s="152"/>
      <c r="L15" s="152"/>
      <c r="Q15"/>
      <c r="R15"/>
      <c r="S15"/>
      <c r="T15"/>
      <c r="U15"/>
      <c r="V15"/>
      <c r="W15"/>
      <c r="X15"/>
      <c r="Y15"/>
      <c r="Z15"/>
      <c r="AA15"/>
      <c r="AB15"/>
      <c r="AC15"/>
      <c r="AD15"/>
      <c r="AE15"/>
      <c r="AF15"/>
      <c r="AG15"/>
      <c r="AH15"/>
      <c r="AI15"/>
      <c r="AJ15"/>
      <c r="AK15"/>
      <c r="AL15"/>
      <c r="AM15"/>
      <c r="AN15"/>
      <c r="AO15"/>
      <c r="AP15"/>
      <c r="AQ15"/>
    </row>
    <row r="16" spans="2:44" s="150" customFormat="1" ht="15">
      <c r="B16" s="150">
        <v>4</v>
      </c>
      <c r="C16" s="153">
        <v>44652</v>
      </c>
      <c r="D16" s="151">
        <f t="shared" ca="1" si="0"/>
        <v>63296206.797026575</v>
      </c>
      <c r="E16" s="151">
        <f t="shared" ca="1" si="1"/>
        <v>306019.32180541131</v>
      </c>
      <c r="F16" s="151">
        <f t="shared" ca="1" si="2"/>
        <v>263909.65194536094</v>
      </c>
      <c r="G16" s="151">
        <f t="shared" ca="1" si="3"/>
        <v>42109.669860050373</v>
      </c>
      <c r="H16" s="151">
        <f ca="1">'HUD - Snapshot'!$K$10/12*D15</f>
        <v>13195.482597268048</v>
      </c>
      <c r="I16" s="151">
        <f t="shared" ca="1" si="4"/>
        <v>319214.80440267938</v>
      </c>
      <c r="J16" s="162"/>
      <c r="K16" s="152"/>
      <c r="L16" s="152"/>
      <c r="Q16"/>
      <c r="R16"/>
      <c r="S16"/>
      <c r="T16"/>
      <c r="U16"/>
      <c r="V16"/>
      <c r="W16"/>
      <c r="X16"/>
      <c r="Y16"/>
      <c r="Z16"/>
      <c r="AA16"/>
      <c r="AB16"/>
      <c r="AC16"/>
      <c r="AD16"/>
      <c r="AE16"/>
      <c r="AF16"/>
      <c r="AG16"/>
      <c r="AH16"/>
      <c r="AI16"/>
      <c r="AJ16"/>
      <c r="AK16"/>
      <c r="AL16"/>
      <c r="AM16"/>
      <c r="AN16"/>
      <c r="AO16"/>
      <c r="AP16"/>
      <c r="AQ16"/>
    </row>
    <row r="17" spans="1:47" s="150" customFormat="1" ht="15">
      <c r="B17" s="150">
        <v>5</v>
      </c>
      <c r="C17" s="153">
        <v>44682</v>
      </c>
      <c r="D17" s="151">
        <f t="shared" ca="1" si="0"/>
        <v>63253921.670208775</v>
      </c>
      <c r="E17" s="151">
        <f t="shared" ca="1" si="1"/>
        <v>306019.32180541131</v>
      </c>
      <c r="F17" s="151">
        <f t="shared" ca="1" si="2"/>
        <v>263734.19498761074</v>
      </c>
      <c r="G17" s="151">
        <f t="shared" ca="1" si="3"/>
        <v>42285.12681780057</v>
      </c>
      <c r="H17" s="151">
        <f ca="1">'HUD - Snapshot'!$K$10/12*D16</f>
        <v>13186.709749380538</v>
      </c>
      <c r="I17" s="151">
        <f t="shared" ca="1" si="4"/>
        <v>319206.03155479184</v>
      </c>
      <c r="J17" s="162"/>
      <c r="K17" s="152"/>
      <c r="L17" s="152"/>
      <c r="Q17"/>
      <c r="R17"/>
      <c r="S17"/>
      <c r="T17"/>
      <c r="U17"/>
      <c r="V17"/>
      <c r="W17"/>
      <c r="X17"/>
      <c r="Y17"/>
      <c r="Z17"/>
      <c r="AA17"/>
      <c r="AB17"/>
      <c r="AC17"/>
      <c r="AD17"/>
      <c r="AE17"/>
      <c r="AF17"/>
      <c r="AG17"/>
      <c r="AH17"/>
      <c r="AI17"/>
      <c r="AJ17"/>
      <c r="AK17"/>
      <c r="AL17"/>
      <c r="AM17"/>
      <c r="AN17"/>
      <c r="AO17"/>
      <c r="AP17"/>
      <c r="AQ17"/>
    </row>
    <row r="18" spans="1:47" s="150" customFormat="1" ht="15">
      <c r="B18" s="150">
        <v>6</v>
      </c>
      <c r="C18" s="153">
        <v>44713</v>
      </c>
      <c r="D18" s="151">
        <f t="shared" ca="1" si="0"/>
        <v>63211460.355362564</v>
      </c>
      <c r="E18" s="151">
        <f t="shared" ca="1" si="1"/>
        <v>306019.32180541131</v>
      </c>
      <c r="F18" s="151">
        <f t="shared" ca="1" si="2"/>
        <v>263558.00695920322</v>
      </c>
      <c r="G18" s="151">
        <f t="shared" ca="1" si="3"/>
        <v>42461.314846208086</v>
      </c>
      <c r="H18" s="151">
        <f ca="1">'HUD - Snapshot'!$K$10/12*D17</f>
        <v>13177.900347960162</v>
      </c>
      <c r="I18" s="151">
        <f t="shared" ca="1" si="4"/>
        <v>319197.22215337149</v>
      </c>
      <c r="J18" s="162"/>
      <c r="K18" s="152"/>
      <c r="L18" s="152"/>
      <c r="Q18"/>
      <c r="R18"/>
      <c r="S18"/>
      <c r="T18"/>
      <c r="U18"/>
      <c r="V18"/>
      <c r="W18"/>
      <c r="X18"/>
      <c r="Y18"/>
      <c r="Z18"/>
      <c r="AA18"/>
      <c r="AB18"/>
      <c r="AC18"/>
      <c r="AD18"/>
      <c r="AE18"/>
      <c r="AF18"/>
      <c r="AG18"/>
      <c r="AH18"/>
      <c r="AI18"/>
      <c r="AJ18"/>
      <c r="AK18"/>
      <c r="AL18"/>
      <c r="AM18"/>
      <c r="AN18"/>
      <c r="AO18"/>
      <c r="AP18"/>
      <c r="AQ18"/>
    </row>
    <row r="19" spans="1:47" s="150" customFormat="1" ht="15">
      <c r="B19" s="150">
        <v>7</v>
      </c>
      <c r="C19" s="153">
        <v>44743</v>
      </c>
      <c r="D19" s="151">
        <f t="shared" ca="1" si="0"/>
        <v>63168822.118371166</v>
      </c>
      <c r="E19" s="151">
        <f t="shared" ca="1" si="1"/>
        <v>306019.32180541131</v>
      </c>
      <c r="F19" s="151">
        <f t="shared" ca="1" si="2"/>
        <v>263381.08481401065</v>
      </c>
      <c r="G19" s="151">
        <f t="shared" ca="1" si="3"/>
        <v>42638.236991400656</v>
      </c>
      <c r="H19" s="151">
        <f ca="1">'HUD - Snapshot'!$K$10/12*D18</f>
        <v>13169.054240700536</v>
      </c>
      <c r="I19" s="151">
        <f t="shared" ca="1" si="4"/>
        <v>319188.37604611187</v>
      </c>
      <c r="J19" s="162"/>
      <c r="K19" s="152"/>
      <c r="L19" s="152"/>
      <c r="Q19"/>
      <c r="R19"/>
      <c r="S19"/>
      <c r="T19"/>
      <c r="U19"/>
      <c r="V19"/>
      <c r="W19"/>
      <c r="X19"/>
      <c r="Y19"/>
      <c r="Z19"/>
      <c r="AA19"/>
      <c r="AB19"/>
      <c r="AC19"/>
      <c r="AD19"/>
      <c r="AE19"/>
      <c r="AF19"/>
      <c r="AG19"/>
      <c r="AH19"/>
      <c r="AI19"/>
      <c r="AJ19"/>
      <c r="AK19"/>
      <c r="AL19"/>
      <c r="AM19"/>
      <c r="AN19"/>
      <c r="AO19"/>
      <c r="AP19"/>
      <c r="AQ19"/>
    </row>
    <row r="20" spans="1:47" s="150" customFormat="1" ht="15">
      <c r="B20" s="150">
        <v>8</v>
      </c>
      <c r="C20" s="153">
        <v>44774</v>
      </c>
      <c r="D20" s="151">
        <f t="shared" ca="1" si="0"/>
        <v>63126006.222058967</v>
      </c>
      <c r="E20" s="151">
        <f t="shared" ca="1" si="1"/>
        <v>306019.32180541131</v>
      </c>
      <c r="F20" s="151">
        <f t="shared" ca="1" si="2"/>
        <v>263203.42549321317</v>
      </c>
      <c r="G20" s="151">
        <f t="shared" ca="1" si="3"/>
        <v>42815.896312198136</v>
      </c>
      <c r="H20" s="151">
        <f ca="1">'HUD - Snapshot'!$K$10/12*D19</f>
        <v>13160.171274660661</v>
      </c>
      <c r="I20" s="151">
        <f t="shared" ca="1" si="4"/>
        <v>319179.49308007199</v>
      </c>
      <c r="J20" s="162"/>
      <c r="K20" s="152"/>
      <c r="L20" s="152"/>
      <c r="Q20"/>
      <c r="R20"/>
      <c r="S20"/>
      <c r="T20"/>
      <c r="U20"/>
      <c r="V20"/>
      <c r="W20"/>
      <c r="X20"/>
      <c r="Y20"/>
      <c r="Z20"/>
      <c r="AA20"/>
      <c r="AB20"/>
      <c r="AC20"/>
      <c r="AD20"/>
      <c r="AE20"/>
      <c r="AF20"/>
      <c r="AG20"/>
      <c r="AH20"/>
      <c r="AI20"/>
      <c r="AJ20"/>
      <c r="AK20"/>
      <c r="AL20"/>
      <c r="AM20"/>
      <c r="AN20"/>
      <c r="AO20"/>
      <c r="AP20"/>
      <c r="AQ20"/>
    </row>
    <row r="21" spans="1:47" s="150" customFormat="1" ht="15">
      <c r="B21" s="150">
        <v>9</v>
      </c>
      <c r="C21" s="153">
        <v>44805</v>
      </c>
      <c r="D21" s="151">
        <f t="shared" ca="1" si="0"/>
        <v>63083011.926178798</v>
      </c>
      <c r="E21" s="151">
        <f t="shared" ca="1" si="1"/>
        <v>306019.32180541131</v>
      </c>
      <c r="F21" s="151">
        <f t="shared" ca="1" si="2"/>
        <v>263025.02592524572</v>
      </c>
      <c r="G21" s="151">
        <f t="shared" ca="1" si="3"/>
        <v>42994.295880165591</v>
      </c>
      <c r="H21" s="151">
        <f ca="1">'HUD - Snapshot'!$K$10/12*D20</f>
        <v>13151.251296262286</v>
      </c>
      <c r="I21" s="151">
        <f t="shared" ca="1" si="4"/>
        <v>319170.57310167362</v>
      </c>
      <c r="J21" s="162"/>
      <c r="K21" s="160"/>
      <c r="L21" s="160"/>
      <c r="Q21"/>
      <c r="R21"/>
      <c r="S21"/>
      <c r="T21"/>
      <c r="U21"/>
      <c r="V21"/>
      <c r="W21"/>
      <c r="X21"/>
      <c r="Y21"/>
      <c r="Z21"/>
      <c r="AA21"/>
      <c r="AB21"/>
      <c r="AC21"/>
      <c r="AD21"/>
      <c r="AE21"/>
      <c r="AF21"/>
      <c r="AG21"/>
      <c r="AH21"/>
      <c r="AI21"/>
      <c r="AJ21"/>
      <c r="AK21"/>
      <c r="AL21"/>
      <c r="AM21"/>
      <c r="AN21"/>
      <c r="AO21"/>
      <c r="AP21"/>
      <c r="AQ21"/>
    </row>
    <row r="22" spans="1:47" s="150" customFormat="1" ht="15">
      <c r="B22" s="150">
        <v>10</v>
      </c>
      <c r="C22" s="153">
        <v>44835</v>
      </c>
      <c r="D22" s="151">
        <f t="shared" ca="1" si="0"/>
        <v>63039838.487399131</v>
      </c>
      <c r="E22" s="151">
        <f t="shared" ca="1" si="1"/>
        <v>306019.32180541131</v>
      </c>
      <c r="F22" s="151">
        <f t="shared" ca="1" si="2"/>
        <v>262845.88302574499</v>
      </c>
      <c r="G22" s="151">
        <f t="shared" ca="1" si="3"/>
        <v>43173.438779666321</v>
      </c>
      <c r="H22" s="151">
        <f ca="1">'HUD - Snapshot'!$K$10/12*D21</f>
        <v>13142.294151287251</v>
      </c>
      <c r="I22" s="151">
        <f t="shared" ca="1" si="4"/>
        <v>319161.61595669854</v>
      </c>
      <c r="J22" s="162"/>
      <c r="K22" s="160"/>
      <c r="L22" s="160"/>
      <c r="Q22"/>
      <c r="R22"/>
      <c r="S22"/>
      <c r="T22"/>
      <c r="U22"/>
      <c r="V22"/>
      <c r="W22"/>
      <c r="X22"/>
      <c r="Y22"/>
      <c r="Z22"/>
      <c r="AA22"/>
      <c r="AB22"/>
      <c r="AC22"/>
      <c r="AD22"/>
      <c r="AE22"/>
      <c r="AF22"/>
      <c r="AG22"/>
      <c r="AH22"/>
      <c r="AI22"/>
      <c r="AJ22"/>
      <c r="AK22"/>
      <c r="AL22"/>
      <c r="AM22"/>
      <c r="AN22"/>
      <c r="AO22"/>
      <c r="AP22"/>
      <c r="AQ22"/>
    </row>
    <row r="23" spans="1:47" s="150" customFormat="1" ht="15">
      <c r="B23" s="150">
        <v>11</v>
      </c>
      <c r="C23" s="153">
        <v>44866</v>
      </c>
      <c r="D23" s="151">
        <f t="shared" ca="1" si="0"/>
        <v>62996485.159291215</v>
      </c>
      <c r="E23" s="151">
        <f t="shared" ca="1" si="1"/>
        <v>306019.32180541131</v>
      </c>
      <c r="F23" s="151">
        <f t="shared" ca="1" si="2"/>
        <v>262665.99369749636</v>
      </c>
      <c r="G23" s="151">
        <f t="shared" ca="1" si="3"/>
        <v>43353.328107914946</v>
      </c>
      <c r="H23" s="151">
        <f ca="1">'HUD - Snapshot'!$K$10/12*D22</f>
        <v>13133.299684874819</v>
      </c>
      <c r="I23" s="151">
        <f t="shared" ca="1" si="4"/>
        <v>319152.62149028614</v>
      </c>
      <c r="J23" s="162"/>
      <c r="K23" s="160"/>
      <c r="L23" s="160"/>
      <c r="Q23"/>
      <c r="R23"/>
      <c r="S23"/>
      <c r="T23"/>
      <c r="U23"/>
      <c r="V23"/>
      <c r="W23"/>
      <c r="X23"/>
      <c r="Y23"/>
      <c r="Z23"/>
      <c r="AA23"/>
      <c r="AB23"/>
      <c r="AC23"/>
      <c r="AD23"/>
      <c r="AE23"/>
      <c r="AF23"/>
      <c r="AG23"/>
      <c r="AH23"/>
      <c r="AI23"/>
      <c r="AJ23"/>
      <c r="AK23"/>
      <c r="AL23"/>
      <c r="AM23"/>
      <c r="AN23"/>
      <c r="AO23"/>
      <c r="AP23"/>
      <c r="AQ23"/>
      <c r="AR23" s="159">
        <f>SUM(AL12:AL23)</f>
        <v>0</v>
      </c>
      <c r="AU23" s="39"/>
    </row>
    <row r="24" spans="1:47" s="150" customFormat="1" ht="15">
      <c r="A24" s="150" t="s">
        <v>581</v>
      </c>
      <c r="B24" s="157">
        <v>12</v>
      </c>
      <c r="C24" s="158">
        <v>44896</v>
      </c>
      <c r="D24" s="159">
        <f t="shared" ca="1" si="0"/>
        <v>62952951.192316182</v>
      </c>
      <c r="E24" s="159">
        <f t="shared" ca="1" si="1"/>
        <v>306019.32180541131</v>
      </c>
      <c r="F24" s="159">
        <f t="shared" ca="1" si="2"/>
        <v>262485.35483038006</v>
      </c>
      <c r="G24" s="159">
        <f t="shared" ca="1" si="3"/>
        <v>43533.966975031246</v>
      </c>
      <c r="H24" s="159">
        <f ca="1">'HUD - Snapshot'!$K$10/12*D23</f>
        <v>13124.267741519005</v>
      </c>
      <c r="I24" s="159">
        <f t="shared" ca="1" si="4"/>
        <v>319143.58954693034</v>
      </c>
      <c r="J24" s="162"/>
      <c r="K24" s="159">
        <f ca="1">SUM(I13:I24)</f>
        <v>3830311.014363993</v>
      </c>
      <c r="L24" s="159">
        <f ca="1">SUM(F13:F24)</f>
        <v>3161583.0539811295</v>
      </c>
      <c r="M24" s="159">
        <f ca="1">SUM(G13:G24)</f>
        <v>510648.80768380588</v>
      </c>
      <c r="N24" s="159">
        <f ca="1">SUM(H13:H24)</f>
        <v>158079.15269905652</v>
      </c>
      <c r="Q24"/>
      <c r="R24"/>
      <c r="S24"/>
      <c r="T24"/>
      <c r="U24"/>
      <c r="V24"/>
      <c r="W24"/>
      <c r="X24"/>
      <c r="Y24"/>
      <c r="Z24"/>
      <c r="AA24"/>
      <c r="AB24"/>
      <c r="AC24"/>
      <c r="AD24"/>
      <c r="AE24"/>
      <c r="AF24"/>
      <c r="AG24"/>
      <c r="AH24"/>
      <c r="AI24"/>
      <c r="AJ24"/>
      <c r="AK24"/>
      <c r="AL24"/>
      <c r="AM24"/>
      <c r="AN24"/>
      <c r="AO24"/>
      <c r="AP24"/>
      <c r="AQ24"/>
      <c r="AU24" s="41"/>
    </row>
    <row r="25" spans="1:47" s="150" customFormat="1" ht="15">
      <c r="B25" s="150">
        <v>13</v>
      </c>
      <c r="C25" s="153">
        <v>44927</v>
      </c>
      <c r="D25" s="151">
        <f t="shared" ca="1" si="0"/>
        <v>62909235.833812088</v>
      </c>
      <c r="E25" s="151">
        <f t="shared" ca="1" si="1"/>
        <v>306019.32180541131</v>
      </c>
      <c r="F25" s="151">
        <f t="shared" ca="1" si="2"/>
        <v>262303.96330131742</v>
      </c>
      <c r="G25" s="151">
        <f t="shared" ca="1" si="3"/>
        <v>43715.358504093892</v>
      </c>
      <c r="H25" s="151">
        <f ca="1">'HUD - Snapshot'!$K$10/12*D24</f>
        <v>13115.198165065873</v>
      </c>
      <c r="I25" s="151">
        <f t="shared" ca="1" si="4"/>
        <v>319134.51997047721</v>
      </c>
      <c r="J25" s="162"/>
      <c r="K25" s="160"/>
      <c r="L25" s="160"/>
      <c r="Q25"/>
      <c r="R25"/>
      <c r="S25"/>
      <c r="T25"/>
      <c r="U25"/>
      <c r="V25"/>
      <c r="W25"/>
      <c r="X25"/>
      <c r="Y25"/>
      <c r="Z25"/>
      <c r="AA25"/>
      <c r="AB25"/>
      <c r="AC25"/>
      <c r="AD25"/>
      <c r="AE25"/>
      <c r="AF25"/>
      <c r="AG25"/>
      <c r="AH25"/>
      <c r="AI25"/>
      <c r="AJ25"/>
      <c r="AK25"/>
      <c r="AL25"/>
      <c r="AM25"/>
      <c r="AN25"/>
      <c r="AO25"/>
      <c r="AP25"/>
      <c r="AQ25"/>
      <c r="AU25" s="42"/>
    </row>
    <row r="26" spans="1:47" s="150" customFormat="1" ht="15">
      <c r="B26" s="150">
        <v>14</v>
      </c>
      <c r="C26" s="153">
        <v>44958</v>
      </c>
      <c r="D26" s="151">
        <f t="shared" ca="1" si="0"/>
        <v>62865338.327980891</v>
      </c>
      <c r="E26" s="151">
        <f t="shared" ca="1" si="1"/>
        <v>306019.32180541131</v>
      </c>
      <c r="F26" s="151">
        <f t="shared" ca="1" si="2"/>
        <v>262121.81597421702</v>
      </c>
      <c r="G26" s="151">
        <f t="shared" ca="1" si="3"/>
        <v>43897.505831194285</v>
      </c>
      <c r="H26" s="151">
        <f ca="1">'HUD - Snapshot'!$K$10/12*D25</f>
        <v>13106.090798710853</v>
      </c>
      <c r="I26" s="151">
        <f t="shared" ca="1" si="4"/>
        <v>319125.41260412219</v>
      </c>
      <c r="J26" s="162"/>
      <c r="K26" s="160"/>
      <c r="L26" s="160"/>
      <c r="Q26"/>
      <c r="R26"/>
      <c r="S26"/>
      <c r="T26"/>
      <c r="U26"/>
      <c r="V26"/>
      <c r="W26"/>
      <c r="X26"/>
      <c r="Y26"/>
      <c r="Z26"/>
      <c r="AA26"/>
      <c r="AB26"/>
      <c r="AC26"/>
      <c r="AD26"/>
      <c r="AE26"/>
      <c r="AF26"/>
      <c r="AG26"/>
      <c r="AH26"/>
      <c r="AI26"/>
      <c r="AJ26"/>
      <c r="AK26"/>
      <c r="AL26"/>
      <c r="AM26"/>
      <c r="AN26"/>
      <c r="AO26"/>
      <c r="AP26"/>
      <c r="AQ26"/>
      <c r="AU26" s="149"/>
    </row>
    <row r="27" spans="1:47" s="150" customFormat="1" ht="15">
      <c r="B27" s="150">
        <v>15</v>
      </c>
      <c r="C27" s="153">
        <v>44986</v>
      </c>
      <c r="D27" s="151">
        <f t="shared" ca="1" si="0"/>
        <v>62821257.915875398</v>
      </c>
      <c r="E27" s="151">
        <f t="shared" ca="1" si="1"/>
        <v>306019.32180541131</v>
      </c>
      <c r="F27" s="151">
        <f t="shared" ca="1" si="2"/>
        <v>261938.90969992036</v>
      </c>
      <c r="G27" s="151">
        <f t="shared" ca="1" si="3"/>
        <v>44080.412105490948</v>
      </c>
      <c r="H27" s="151">
        <f ca="1">'HUD - Snapshot'!$K$10/12*D26</f>
        <v>13096.94548499602</v>
      </c>
      <c r="I27" s="151">
        <f t="shared" ca="1" si="4"/>
        <v>319116.26729040733</v>
      </c>
      <c r="J27" s="162"/>
      <c r="K27" s="152"/>
      <c r="L27" s="152"/>
      <c r="Q27"/>
      <c r="R27"/>
      <c r="S27"/>
      <c r="T27"/>
      <c r="U27"/>
      <c r="V27"/>
      <c r="W27"/>
      <c r="X27"/>
      <c r="Y27"/>
      <c r="Z27"/>
      <c r="AA27"/>
      <c r="AB27"/>
      <c r="AC27"/>
      <c r="AD27"/>
      <c r="AE27"/>
      <c r="AF27"/>
      <c r="AG27"/>
      <c r="AH27"/>
      <c r="AI27"/>
      <c r="AJ27"/>
      <c r="AK27"/>
      <c r="AL27"/>
      <c r="AM27"/>
      <c r="AN27"/>
      <c r="AO27"/>
      <c r="AP27"/>
      <c r="AQ27"/>
      <c r="AU27" s="155"/>
    </row>
    <row r="28" spans="1:47" s="150" customFormat="1" ht="15">
      <c r="B28" s="150">
        <v>16</v>
      </c>
      <c r="C28" s="153">
        <v>45017</v>
      </c>
      <c r="D28" s="151">
        <f t="shared" ca="1" si="0"/>
        <v>62776993.835386135</v>
      </c>
      <c r="E28" s="151">
        <f t="shared" ca="1" si="1"/>
        <v>306019.32180541131</v>
      </c>
      <c r="F28" s="151">
        <f t="shared" ca="1" si="2"/>
        <v>261755.2413161475</v>
      </c>
      <c r="G28" s="151">
        <f t="shared" ca="1" si="3"/>
        <v>44264.080489263812</v>
      </c>
      <c r="H28" s="151">
        <f ca="1">'HUD - Snapshot'!$K$10/12*D27</f>
        <v>13087.762065807376</v>
      </c>
      <c r="I28" s="151">
        <f t="shared" ca="1" si="4"/>
        <v>319107.08387121867</v>
      </c>
      <c r="J28" s="162"/>
      <c r="K28" s="152"/>
      <c r="L28" s="152"/>
      <c r="Q28"/>
      <c r="R28"/>
      <c r="S28"/>
      <c r="T28"/>
      <c r="U28"/>
      <c r="V28"/>
      <c r="W28"/>
      <c r="X28"/>
      <c r="Y28"/>
      <c r="Z28"/>
      <c r="AA28"/>
      <c r="AB28"/>
      <c r="AC28"/>
      <c r="AD28"/>
      <c r="AE28"/>
      <c r="AF28"/>
      <c r="AG28"/>
      <c r="AH28"/>
      <c r="AI28"/>
      <c r="AJ28"/>
      <c r="AK28"/>
      <c r="AL28"/>
      <c r="AM28"/>
      <c r="AN28"/>
      <c r="AO28"/>
      <c r="AP28"/>
      <c r="AQ28"/>
    </row>
    <row r="29" spans="1:47" s="150" customFormat="1" ht="15">
      <c r="B29" s="150">
        <v>17</v>
      </c>
      <c r="C29" s="153">
        <v>45047</v>
      </c>
      <c r="D29" s="151">
        <f t="shared" ca="1" si="0"/>
        <v>62732545.321228169</v>
      </c>
      <c r="E29" s="151">
        <f t="shared" ca="1" si="1"/>
        <v>306019.32180541131</v>
      </c>
      <c r="F29" s="151">
        <f t="shared" ca="1" si="2"/>
        <v>261570.80764744221</v>
      </c>
      <c r="G29" s="151">
        <f t="shared" ca="1" si="3"/>
        <v>44448.514157969097</v>
      </c>
      <c r="H29" s="151">
        <f ca="1">'HUD - Snapshot'!$K$10/12*D28</f>
        <v>13078.540382372112</v>
      </c>
      <c r="I29" s="151">
        <f t="shared" ca="1" si="4"/>
        <v>319097.86218778341</v>
      </c>
      <c r="J29" s="162"/>
      <c r="K29" s="152"/>
      <c r="L29" s="152"/>
      <c r="Q29"/>
      <c r="R29"/>
      <c r="S29"/>
      <c r="T29"/>
      <c r="U29"/>
      <c r="V29"/>
      <c r="W29"/>
      <c r="X29"/>
      <c r="Y29"/>
      <c r="Z29"/>
      <c r="AA29"/>
      <c r="AB29"/>
      <c r="AC29"/>
      <c r="AD29"/>
      <c r="AE29"/>
      <c r="AF29"/>
      <c r="AG29"/>
      <c r="AH29"/>
      <c r="AI29"/>
      <c r="AJ29"/>
      <c r="AK29"/>
      <c r="AL29"/>
      <c r="AM29"/>
      <c r="AN29"/>
      <c r="AO29"/>
      <c r="AP29"/>
      <c r="AQ29"/>
    </row>
    <row r="30" spans="1:47" s="150" customFormat="1" ht="15">
      <c r="B30" s="150">
        <v>18</v>
      </c>
      <c r="C30" s="153">
        <v>45078</v>
      </c>
      <c r="D30" s="151">
        <f t="shared" ca="1" si="0"/>
        <v>62687911.604927875</v>
      </c>
      <c r="E30" s="151">
        <f t="shared" ca="1" si="1"/>
        <v>306019.32180541131</v>
      </c>
      <c r="F30" s="151">
        <f t="shared" ca="1" si="2"/>
        <v>261385.60550511736</v>
      </c>
      <c r="G30" s="151">
        <f t="shared" ca="1" si="3"/>
        <v>44633.716300293949</v>
      </c>
      <c r="H30" s="151">
        <f ca="1">'HUD - Snapshot'!$K$10/12*D29</f>
        <v>13069.280275255869</v>
      </c>
      <c r="I30" s="151">
        <f t="shared" ca="1" si="4"/>
        <v>319088.60208066716</v>
      </c>
      <c r="J30" s="162"/>
      <c r="K30" s="152"/>
      <c r="L30" s="152"/>
      <c r="Q30"/>
      <c r="R30"/>
      <c r="S30"/>
      <c r="T30"/>
      <c r="U30"/>
      <c r="V30"/>
      <c r="W30"/>
      <c r="X30"/>
      <c r="Y30"/>
      <c r="Z30"/>
      <c r="AA30"/>
      <c r="AB30"/>
      <c r="AC30"/>
      <c r="AD30"/>
      <c r="AE30"/>
      <c r="AF30"/>
      <c r="AG30"/>
      <c r="AH30"/>
      <c r="AI30"/>
      <c r="AJ30"/>
      <c r="AK30"/>
      <c r="AL30"/>
      <c r="AM30"/>
      <c r="AN30"/>
      <c r="AO30"/>
      <c r="AP30"/>
      <c r="AQ30"/>
    </row>
    <row r="31" spans="1:47" s="150" customFormat="1" ht="15">
      <c r="B31" s="150">
        <v>19</v>
      </c>
      <c r="C31" s="153">
        <v>45108</v>
      </c>
      <c r="D31" s="151">
        <f t="shared" ca="1" si="0"/>
        <v>62643091.914809667</v>
      </c>
      <c r="E31" s="151">
        <f t="shared" ca="1" si="1"/>
        <v>306019.32180541131</v>
      </c>
      <c r="F31" s="151">
        <f t="shared" ca="1" si="2"/>
        <v>261199.63168719946</v>
      </c>
      <c r="G31" s="151">
        <f t="shared" ca="1" si="3"/>
        <v>44819.690118211845</v>
      </c>
      <c r="H31" s="151">
        <f ca="1">'HUD - Snapshot'!$K$10/12*D30</f>
        <v>13059.981584359975</v>
      </c>
      <c r="I31" s="151">
        <f t="shared" ca="1" si="4"/>
        <v>319079.30338977126</v>
      </c>
      <c r="J31" s="162"/>
      <c r="K31" s="152"/>
      <c r="L31" s="152"/>
      <c r="Q31"/>
      <c r="R31"/>
      <c r="S31"/>
      <c r="T31"/>
      <c r="U31"/>
      <c r="V31"/>
      <c r="W31"/>
      <c r="X31"/>
      <c r="Y31"/>
      <c r="Z31"/>
      <c r="AA31"/>
      <c r="AB31"/>
      <c r="AC31"/>
      <c r="AD31"/>
      <c r="AE31"/>
      <c r="AF31"/>
      <c r="AG31"/>
      <c r="AH31"/>
      <c r="AI31"/>
      <c r="AJ31"/>
      <c r="AK31"/>
      <c r="AL31"/>
      <c r="AM31"/>
      <c r="AN31"/>
      <c r="AO31"/>
      <c r="AP31"/>
      <c r="AQ31"/>
    </row>
    <row r="32" spans="1:47" s="150" customFormat="1" ht="15">
      <c r="B32" s="150">
        <v>20</v>
      </c>
      <c r="C32" s="153">
        <v>45139</v>
      </c>
      <c r="D32" s="151">
        <f t="shared" ca="1" si="0"/>
        <v>62598085.475982629</v>
      </c>
      <c r="E32" s="151">
        <f t="shared" ca="1" si="1"/>
        <v>306019.32180541131</v>
      </c>
      <c r="F32" s="151">
        <f t="shared" ca="1" si="2"/>
        <v>261012.88297837361</v>
      </c>
      <c r="G32" s="151">
        <f t="shared" ca="1" si="3"/>
        <v>45006.438827037695</v>
      </c>
      <c r="H32" s="151">
        <f ca="1">'HUD - Snapshot'!$K$10/12*D31</f>
        <v>13050.644148918682</v>
      </c>
      <c r="I32" s="151">
        <f t="shared" ca="1" si="4"/>
        <v>319069.96595432999</v>
      </c>
      <c r="J32" s="162"/>
      <c r="K32" s="152"/>
      <c r="L32" s="152"/>
      <c r="Q32"/>
      <c r="R32"/>
      <c r="S32"/>
      <c r="T32"/>
      <c r="U32"/>
      <c r="V32"/>
      <c r="W32"/>
      <c r="X32"/>
      <c r="Y32"/>
      <c r="Z32"/>
      <c r="AA32"/>
      <c r="AB32"/>
      <c r="AC32"/>
      <c r="AD32"/>
      <c r="AE32"/>
      <c r="AF32"/>
      <c r="AG32"/>
      <c r="AH32"/>
      <c r="AI32"/>
      <c r="AJ32"/>
      <c r="AK32"/>
      <c r="AL32"/>
      <c r="AM32"/>
      <c r="AN32"/>
      <c r="AO32"/>
      <c r="AP32"/>
      <c r="AQ32"/>
    </row>
    <row r="33" spans="1:44" s="150" customFormat="1" ht="15">
      <c r="B33" s="150">
        <v>21</v>
      </c>
      <c r="C33" s="153">
        <v>45170</v>
      </c>
      <c r="D33" s="151">
        <f t="shared" ca="1" si="0"/>
        <v>62552891.510327145</v>
      </c>
      <c r="E33" s="151">
        <f t="shared" ca="1" si="1"/>
        <v>306019.32180541131</v>
      </c>
      <c r="F33" s="151">
        <f t="shared" ca="1" si="2"/>
        <v>260825.35614992763</v>
      </c>
      <c r="G33" s="151">
        <f t="shared" ca="1" si="3"/>
        <v>45193.965655483684</v>
      </c>
      <c r="H33" s="151">
        <f ca="1">'HUD - Snapshot'!$K$10/12*D32</f>
        <v>13041.267807496382</v>
      </c>
      <c r="I33" s="151">
        <f t="shared" ca="1" si="4"/>
        <v>319060.58961290767</v>
      </c>
      <c r="J33" s="162"/>
      <c r="K33" s="152"/>
      <c r="L33" s="152"/>
      <c r="Q33"/>
      <c r="R33"/>
      <c r="S33"/>
      <c r="T33"/>
      <c r="U33"/>
      <c r="V33"/>
      <c r="W33"/>
      <c r="X33"/>
      <c r="Y33"/>
      <c r="Z33"/>
      <c r="AA33"/>
      <c r="AB33"/>
      <c r="AC33"/>
      <c r="AD33"/>
      <c r="AE33"/>
      <c r="AF33"/>
      <c r="AG33"/>
      <c r="AH33"/>
      <c r="AI33"/>
      <c r="AJ33"/>
      <c r="AK33"/>
      <c r="AL33"/>
      <c r="AM33"/>
      <c r="AN33"/>
      <c r="AO33"/>
      <c r="AP33"/>
      <c r="AQ33"/>
    </row>
    <row r="34" spans="1:44" s="150" customFormat="1" ht="15">
      <c r="B34" s="150">
        <v>22</v>
      </c>
      <c r="C34" s="153">
        <v>45200</v>
      </c>
      <c r="D34" s="151">
        <f t="shared" ca="1" si="0"/>
        <v>62507509.236481428</v>
      </c>
      <c r="E34" s="151">
        <f t="shared" ca="1" si="1"/>
        <v>306019.32180541131</v>
      </c>
      <c r="F34" s="151">
        <f t="shared" ca="1" si="2"/>
        <v>260637.04795969644</v>
      </c>
      <c r="G34" s="151">
        <f t="shared" ca="1" si="3"/>
        <v>45382.273845714866</v>
      </c>
      <c r="H34" s="151">
        <f ca="1">'HUD - Snapshot'!$K$10/12*D33</f>
        <v>13031.852397984823</v>
      </c>
      <c r="I34" s="151">
        <f t="shared" ca="1" si="4"/>
        <v>319051.17420339613</v>
      </c>
      <c r="J34" s="162"/>
      <c r="K34" s="152"/>
      <c r="L34" s="152"/>
      <c r="Q34"/>
      <c r="R34"/>
      <c r="S34"/>
      <c r="T34"/>
      <c r="U34"/>
      <c r="V34"/>
      <c r="W34"/>
      <c r="X34"/>
      <c r="Y34"/>
      <c r="Z34"/>
      <c r="AA34"/>
      <c r="AB34"/>
      <c r="AC34"/>
      <c r="AD34"/>
      <c r="AE34"/>
      <c r="AF34"/>
      <c r="AG34"/>
      <c r="AH34"/>
      <c r="AI34"/>
      <c r="AJ34"/>
      <c r="AK34"/>
      <c r="AL34"/>
      <c r="AM34"/>
      <c r="AN34"/>
      <c r="AO34"/>
      <c r="AP34"/>
      <c r="AQ34"/>
    </row>
    <row r="35" spans="1:44" s="150" customFormat="1" ht="15">
      <c r="B35" s="150">
        <v>23</v>
      </c>
      <c r="C35" s="153">
        <v>45231</v>
      </c>
      <c r="D35" s="151">
        <f t="shared" ca="1" si="0"/>
        <v>62461937.869828023</v>
      </c>
      <c r="E35" s="151">
        <f t="shared" ca="1" si="1"/>
        <v>306019.32180541131</v>
      </c>
      <c r="F35" s="151">
        <f t="shared" ca="1" si="2"/>
        <v>260447.95515200595</v>
      </c>
      <c r="G35" s="151">
        <f t="shared" ca="1" si="3"/>
        <v>45571.366653405363</v>
      </c>
      <c r="H35" s="151">
        <f ca="1">'HUD - Snapshot'!$K$10/12*D34</f>
        <v>13022.397757600298</v>
      </c>
      <c r="I35" s="151">
        <f t="shared" ca="1" si="4"/>
        <v>319041.7195630116</v>
      </c>
      <c r="J35" s="162"/>
      <c r="K35" s="152"/>
      <c r="L35" s="152"/>
      <c r="Q35"/>
      <c r="R35"/>
      <c r="S35"/>
      <c r="T35"/>
      <c r="U35"/>
      <c r="V35"/>
      <c r="W35"/>
      <c r="X35"/>
      <c r="Y35"/>
      <c r="Z35"/>
      <c r="AA35"/>
      <c r="AB35"/>
      <c r="AC35"/>
      <c r="AD35"/>
      <c r="AE35"/>
      <c r="AF35"/>
      <c r="AG35"/>
      <c r="AH35"/>
      <c r="AI35"/>
      <c r="AJ35"/>
      <c r="AK35"/>
      <c r="AL35"/>
      <c r="AM35"/>
      <c r="AN35"/>
      <c r="AO35"/>
      <c r="AP35"/>
      <c r="AQ35"/>
      <c r="AR35" s="159">
        <f>SUM(AL24:AL35)</f>
        <v>0</v>
      </c>
    </row>
    <row r="36" spans="1:44" s="150" customFormat="1" ht="15">
      <c r="A36" s="150" t="s">
        <v>593</v>
      </c>
      <c r="B36" s="157">
        <v>24</v>
      </c>
      <c r="C36" s="158">
        <v>45261</v>
      </c>
      <c r="D36" s="159">
        <f t="shared" ca="1" si="0"/>
        <v>62416176.622480229</v>
      </c>
      <c r="E36" s="159">
        <f t="shared" ca="1" si="1"/>
        <v>306019.32180541131</v>
      </c>
      <c r="F36" s="159">
        <f t="shared" ca="1" si="2"/>
        <v>260258.07445761675</v>
      </c>
      <c r="G36" s="159">
        <f t="shared" ca="1" si="3"/>
        <v>45761.24734779456</v>
      </c>
      <c r="H36" s="159">
        <f ca="1">'HUD - Snapshot'!$K$10/12*D35</f>
        <v>13012.903722880839</v>
      </c>
      <c r="I36" s="159">
        <f t="shared" ca="1" si="4"/>
        <v>319032.22552829213</v>
      </c>
      <c r="J36" s="162"/>
      <c r="K36" s="159">
        <f ca="1">SUM(I25:I36)</f>
        <v>3829004.7262563845</v>
      </c>
      <c r="L36" s="159">
        <f ca="1">SUM(F25:F36)</f>
        <v>3135457.2918289816</v>
      </c>
      <c r="M36" s="159">
        <f ca="1">SUM(G25:G36)</f>
        <v>536774.569835954</v>
      </c>
      <c r="N36" s="159">
        <f ca="1">SUM(H25:H36)</f>
        <v>156772.86459144912</v>
      </c>
      <c r="Q36"/>
      <c r="R36"/>
      <c r="S36"/>
      <c r="T36"/>
      <c r="U36"/>
      <c r="V36"/>
      <c r="W36"/>
      <c r="X36"/>
      <c r="Y36"/>
      <c r="Z36"/>
      <c r="AA36"/>
      <c r="AB36"/>
      <c r="AC36"/>
      <c r="AD36"/>
      <c r="AE36"/>
      <c r="AF36"/>
      <c r="AG36"/>
      <c r="AH36"/>
      <c r="AI36"/>
      <c r="AJ36"/>
      <c r="AK36"/>
      <c r="AL36"/>
      <c r="AM36"/>
      <c r="AN36"/>
      <c r="AO36"/>
      <c r="AP36"/>
      <c r="AQ36"/>
    </row>
    <row r="37" spans="1:44" s="150" customFormat="1" ht="15">
      <c r="B37" s="150">
        <v>25</v>
      </c>
      <c r="C37" s="153">
        <v>45292</v>
      </c>
      <c r="D37" s="151">
        <f t="shared" ca="1" si="0"/>
        <v>62370224.703268483</v>
      </c>
      <c r="E37" s="151">
        <f t="shared" ca="1" si="1"/>
        <v>306019.32180541131</v>
      </c>
      <c r="F37" s="151">
        <f t="shared" ca="1" si="2"/>
        <v>260067.40259366762</v>
      </c>
      <c r="G37" s="151">
        <f t="shared" ca="1" si="3"/>
        <v>45951.919211743691</v>
      </c>
      <c r="H37" s="151">
        <f ca="1">'HUD - Snapshot'!$K$10/12*D36</f>
        <v>13003.370129683382</v>
      </c>
      <c r="I37" s="151">
        <f t="shared" ca="1" si="4"/>
        <v>319022.69193509471</v>
      </c>
      <c r="J37" s="162"/>
      <c r="K37" s="152"/>
      <c r="L37" s="152"/>
      <c r="Q37"/>
      <c r="R37"/>
      <c r="S37"/>
      <c r="T37"/>
      <c r="U37"/>
      <c r="V37"/>
      <c r="W37"/>
      <c r="X37"/>
      <c r="Y37"/>
      <c r="Z37"/>
      <c r="AA37"/>
      <c r="AB37"/>
      <c r="AC37"/>
      <c r="AD37"/>
      <c r="AE37"/>
      <c r="AF37"/>
      <c r="AG37"/>
      <c r="AH37"/>
      <c r="AI37"/>
      <c r="AJ37"/>
      <c r="AK37"/>
      <c r="AL37"/>
      <c r="AM37"/>
      <c r="AN37"/>
      <c r="AO37"/>
      <c r="AP37"/>
      <c r="AQ37"/>
    </row>
    <row r="38" spans="1:44" s="150" customFormat="1" ht="15">
      <c r="B38" s="150">
        <v>26</v>
      </c>
      <c r="C38" s="153">
        <v>45323</v>
      </c>
      <c r="D38" s="151">
        <f t="shared" ca="1" si="0"/>
        <v>62324081.317726694</v>
      </c>
      <c r="E38" s="151">
        <f t="shared" ca="1" si="1"/>
        <v>306019.32180541131</v>
      </c>
      <c r="F38" s="151">
        <f t="shared" ca="1" si="2"/>
        <v>259875.93626361867</v>
      </c>
      <c r="G38" s="151">
        <f t="shared" ca="1" si="3"/>
        <v>46143.385541792639</v>
      </c>
      <c r="H38" s="151">
        <f ca="1">'HUD - Snapshot'!$K$10/12*D37</f>
        <v>12993.796813180936</v>
      </c>
      <c r="I38" s="151">
        <f t="shared" ca="1" si="4"/>
        <v>319013.11861859227</v>
      </c>
      <c r="J38" s="162"/>
      <c r="K38" s="152"/>
      <c r="L38" s="152"/>
      <c r="Q38"/>
      <c r="R38"/>
      <c r="S38"/>
      <c r="T38"/>
      <c r="U38"/>
      <c r="V38"/>
      <c r="W38"/>
      <c r="X38"/>
      <c r="Y38"/>
      <c r="Z38"/>
      <c r="AA38"/>
      <c r="AB38"/>
      <c r="AC38"/>
      <c r="AD38"/>
      <c r="AE38"/>
      <c r="AF38"/>
      <c r="AG38"/>
      <c r="AH38"/>
      <c r="AI38"/>
      <c r="AJ38"/>
      <c r="AK38"/>
      <c r="AL38"/>
      <c r="AM38"/>
      <c r="AN38"/>
      <c r="AO38"/>
      <c r="AP38"/>
      <c r="AQ38"/>
    </row>
    <row r="39" spans="1:44" s="150" customFormat="1" ht="15">
      <c r="B39" s="150">
        <v>27</v>
      </c>
      <c r="C39" s="153">
        <v>45352</v>
      </c>
      <c r="D39" s="151">
        <f t="shared" ca="1" si="0"/>
        <v>62277745.668078475</v>
      </c>
      <c r="E39" s="151">
        <f t="shared" ca="1" si="1"/>
        <v>306019.32180541131</v>
      </c>
      <c r="F39" s="151">
        <f t="shared" ca="1" si="2"/>
        <v>259683.67215719455</v>
      </c>
      <c r="G39" s="151">
        <f t="shared" ca="1" si="3"/>
        <v>46335.649648216757</v>
      </c>
      <c r="H39" s="151">
        <f ca="1">'HUD - Snapshot'!$K$10/12*D38</f>
        <v>12984.183607859728</v>
      </c>
      <c r="I39" s="151">
        <f t="shared" ca="1" si="4"/>
        <v>319003.50541327102</v>
      </c>
      <c r="J39" s="162"/>
      <c r="K39" s="152"/>
      <c r="L39" s="152"/>
      <c r="Q39"/>
      <c r="R39"/>
      <c r="S39"/>
      <c r="T39"/>
      <c r="U39"/>
      <c r="V39"/>
      <c r="W39"/>
      <c r="X39"/>
      <c r="Y39"/>
      <c r="Z39"/>
      <c r="AA39"/>
      <c r="AB39"/>
      <c r="AC39"/>
      <c r="AD39"/>
      <c r="AE39"/>
      <c r="AF39"/>
      <c r="AG39"/>
      <c r="AH39"/>
      <c r="AI39"/>
      <c r="AJ39"/>
      <c r="AK39"/>
      <c r="AL39"/>
      <c r="AM39"/>
      <c r="AN39"/>
      <c r="AO39"/>
      <c r="AP39"/>
      <c r="AQ39"/>
    </row>
    <row r="40" spans="1:44" s="150" customFormat="1" ht="15">
      <c r="B40" s="150">
        <v>28</v>
      </c>
      <c r="C40" s="153">
        <v>45383</v>
      </c>
      <c r="D40" s="151">
        <f t="shared" ca="1" si="0"/>
        <v>62231216.953223392</v>
      </c>
      <c r="E40" s="151">
        <f t="shared" ca="1" si="1"/>
        <v>306019.32180541131</v>
      </c>
      <c r="F40" s="151">
        <f t="shared" ca="1" si="2"/>
        <v>259490.60695032697</v>
      </c>
      <c r="G40" s="151">
        <f t="shared" ca="1" si="3"/>
        <v>46528.714855084341</v>
      </c>
      <c r="H40" s="151">
        <f ca="1">'HUD - Snapshot'!$K$10/12*D39</f>
        <v>12974.530347516349</v>
      </c>
      <c r="I40" s="151">
        <f t="shared" ca="1" si="4"/>
        <v>318993.85215292766</v>
      </c>
      <c r="J40" s="162"/>
      <c r="K40" s="152"/>
      <c r="L40" s="152"/>
      <c r="Q40"/>
      <c r="R40"/>
      <c r="S40"/>
      <c r="T40"/>
      <c r="U40"/>
      <c r="V40"/>
      <c r="W40"/>
      <c r="X40"/>
      <c r="Y40"/>
      <c r="Z40"/>
      <c r="AA40"/>
      <c r="AB40"/>
      <c r="AC40"/>
      <c r="AD40"/>
      <c r="AE40"/>
      <c r="AF40"/>
      <c r="AG40"/>
      <c r="AH40"/>
      <c r="AI40"/>
      <c r="AJ40"/>
      <c r="AK40"/>
      <c r="AL40"/>
      <c r="AM40"/>
      <c r="AN40"/>
      <c r="AO40"/>
      <c r="AP40"/>
      <c r="AQ40"/>
    </row>
    <row r="41" spans="1:44" s="150" customFormat="1" ht="15">
      <c r="B41" s="150">
        <v>29</v>
      </c>
      <c r="C41" s="153">
        <v>45413</v>
      </c>
      <c r="D41" s="151">
        <f t="shared" ca="1" si="0"/>
        <v>62184494.36872308</v>
      </c>
      <c r="E41" s="151">
        <f t="shared" ca="1" si="1"/>
        <v>306019.32180541131</v>
      </c>
      <c r="F41" s="151">
        <f t="shared" ca="1" si="2"/>
        <v>259296.73730509746</v>
      </c>
      <c r="G41" s="151">
        <f t="shared" ca="1" si="3"/>
        <v>46722.584500313853</v>
      </c>
      <c r="H41" s="151">
        <f ca="1">'HUD - Snapshot'!$K$10/12*D40</f>
        <v>12964.836865254874</v>
      </c>
      <c r="I41" s="151">
        <f t="shared" ca="1" si="4"/>
        <v>318984.15867066616</v>
      </c>
      <c r="J41" s="162"/>
      <c r="K41" s="152"/>
      <c r="L41" s="152"/>
      <c r="Q41"/>
      <c r="R41"/>
      <c r="S41"/>
      <c r="T41"/>
      <c r="U41"/>
      <c r="V41"/>
      <c r="W41"/>
      <c r="X41"/>
      <c r="Y41"/>
      <c r="Z41"/>
      <c r="AA41"/>
      <c r="AB41"/>
      <c r="AC41"/>
      <c r="AD41"/>
      <c r="AE41"/>
      <c r="AF41"/>
      <c r="AG41"/>
      <c r="AH41"/>
      <c r="AI41"/>
      <c r="AJ41"/>
      <c r="AK41"/>
      <c r="AL41"/>
      <c r="AM41"/>
      <c r="AN41"/>
      <c r="AO41"/>
      <c r="AP41"/>
      <c r="AQ41"/>
    </row>
    <row r="42" spans="1:44" s="150" customFormat="1" ht="15">
      <c r="B42" s="150">
        <v>30</v>
      </c>
      <c r="C42" s="153">
        <v>45444</v>
      </c>
      <c r="D42" s="151">
        <f t="shared" ca="1" si="0"/>
        <v>62137577.106787346</v>
      </c>
      <c r="E42" s="151">
        <f t="shared" ca="1" si="1"/>
        <v>306019.32180541131</v>
      </c>
      <c r="F42" s="151">
        <f t="shared" ca="1" si="2"/>
        <v>259102.05986967951</v>
      </c>
      <c r="G42" s="151">
        <f t="shared" ca="1" si="3"/>
        <v>46917.261935731804</v>
      </c>
      <c r="H42" s="151">
        <f ca="1">'HUD - Snapshot'!$K$10/12*D41</f>
        <v>12955.102993483975</v>
      </c>
      <c r="I42" s="151">
        <f t="shared" ca="1" si="4"/>
        <v>318974.42479889526</v>
      </c>
      <c r="J42" s="162"/>
      <c r="K42" s="152"/>
      <c r="L42" s="152"/>
      <c r="Q42"/>
      <c r="R42"/>
      <c r="S42"/>
      <c r="T42"/>
      <c r="U42"/>
      <c r="V42"/>
      <c r="W42"/>
      <c r="X42"/>
      <c r="Y42"/>
      <c r="Z42"/>
      <c r="AA42"/>
      <c r="AB42"/>
      <c r="AC42"/>
      <c r="AD42"/>
      <c r="AE42"/>
      <c r="AF42"/>
      <c r="AG42"/>
      <c r="AH42"/>
      <c r="AI42"/>
      <c r="AJ42"/>
      <c r="AK42"/>
      <c r="AL42"/>
      <c r="AM42"/>
      <c r="AN42"/>
      <c r="AO42"/>
      <c r="AP42"/>
      <c r="AQ42"/>
    </row>
    <row r="43" spans="1:44" s="150" customFormat="1" ht="15">
      <c r="B43" s="150">
        <v>31</v>
      </c>
      <c r="C43" s="153">
        <v>45474</v>
      </c>
      <c r="D43" s="151">
        <f t="shared" ca="1" si="0"/>
        <v>62090464.356260218</v>
      </c>
      <c r="E43" s="151">
        <f t="shared" ca="1" si="1"/>
        <v>306019.32180541131</v>
      </c>
      <c r="F43" s="151">
        <f t="shared" ca="1" si="2"/>
        <v>258906.57127828061</v>
      </c>
      <c r="G43" s="151">
        <f t="shared" ca="1" si="3"/>
        <v>47112.750527130702</v>
      </c>
      <c r="H43" s="151">
        <f ca="1">'HUD - Snapshot'!$K$10/12*D42</f>
        <v>12945.328563914032</v>
      </c>
      <c r="I43" s="151">
        <f t="shared" ca="1" si="4"/>
        <v>318964.65036932536</v>
      </c>
      <c r="J43" s="162"/>
      <c r="K43" s="152"/>
      <c r="L43" s="152"/>
      <c r="Q43"/>
      <c r="R43"/>
      <c r="S43"/>
      <c r="T43"/>
      <c r="U43"/>
      <c r="V43"/>
      <c r="W43"/>
      <c r="X43"/>
      <c r="Y43"/>
      <c r="Z43"/>
      <c r="AA43"/>
      <c r="AB43"/>
      <c r="AC43"/>
      <c r="AD43"/>
      <c r="AE43"/>
      <c r="AF43"/>
      <c r="AG43"/>
      <c r="AH43"/>
      <c r="AI43"/>
      <c r="AJ43"/>
      <c r="AK43"/>
      <c r="AL43"/>
      <c r="AM43"/>
      <c r="AN43"/>
      <c r="AO43"/>
      <c r="AP43"/>
      <c r="AQ43"/>
    </row>
    <row r="44" spans="1:44" s="150" customFormat="1" ht="15">
      <c r="B44" s="150">
        <v>32</v>
      </c>
      <c r="C44" s="153">
        <v>45505</v>
      </c>
      <c r="D44" s="151">
        <f t="shared" ca="1" si="0"/>
        <v>62043155.30260589</v>
      </c>
      <c r="E44" s="151">
        <f t="shared" ca="1" si="1"/>
        <v>306019.32180541131</v>
      </c>
      <c r="F44" s="151">
        <f t="shared" ca="1" si="2"/>
        <v>258710.26815108422</v>
      </c>
      <c r="G44" s="151">
        <f t="shared" ca="1" si="3"/>
        <v>47309.053654327086</v>
      </c>
      <c r="H44" s="151">
        <f ca="1">'HUD - Snapshot'!$K$10/12*D43</f>
        <v>12935.513407554214</v>
      </c>
      <c r="I44" s="151">
        <f t="shared" ca="1" si="4"/>
        <v>318954.8352129655</v>
      </c>
      <c r="J44" s="162"/>
      <c r="K44" s="152"/>
      <c r="L44" s="152"/>
      <c r="Q44"/>
      <c r="R44"/>
      <c r="S44"/>
      <c r="T44"/>
      <c r="U44"/>
      <c r="V44"/>
      <c r="W44"/>
      <c r="X44"/>
      <c r="Y44"/>
      <c r="Z44"/>
      <c r="AA44"/>
      <c r="AB44"/>
      <c r="AC44"/>
      <c r="AD44"/>
      <c r="AE44"/>
      <c r="AF44"/>
      <c r="AG44"/>
      <c r="AH44"/>
      <c r="AI44"/>
      <c r="AJ44"/>
      <c r="AK44"/>
      <c r="AL44"/>
      <c r="AM44"/>
      <c r="AN44"/>
      <c r="AO44"/>
      <c r="AP44"/>
      <c r="AQ44"/>
    </row>
    <row r="45" spans="1:44" s="150" customFormat="1" ht="15">
      <c r="B45" s="150">
        <v>33</v>
      </c>
      <c r="C45" s="153">
        <v>45536</v>
      </c>
      <c r="D45" s="151">
        <f t="shared" ca="1" si="0"/>
        <v>61995649.12789467</v>
      </c>
      <c r="E45" s="151">
        <f t="shared" ca="1" si="1"/>
        <v>306019.32180541131</v>
      </c>
      <c r="F45" s="151">
        <f t="shared" ca="1" si="2"/>
        <v>258513.1470941912</v>
      </c>
      <c r="G45" s="151">
        <f t="shared" ca="1" si="3"/>
        <v>47506.174711220112</v>
      </c>
      <c r="H45" s="151">
        <f ca="1">'HUD - Snapshot'!$K$10/12*D44</f>
        <v>12925.657354709561</v>
      </c>
      <c r="I45" s="151">
        <f t="shared" ca="1" si="4"/>
        <v>318944.97916012089</v>
      </c>
      <c r="J45" s="162"/>
      <c r="K45" s="152"/>
      <c r="L45" s="152"/>
      <c r="Q45"/>
      <c r="R45"/>
      <c r="S45"/>
      <c r="T45"/>
      <c r="U45"/>
      <c r="V45"/>
      <c r="W45"/>
      <c r="X45"/>
      <c r="Y45"/>
      <c r="Z45"/>
      <c r="AA45"/>
      <c r="AB45"/>
      <c r="AC45"/>
      <c r="AD45"/>
      <c r="AE45"/>
      <c r="AF45"/>
      <c r="AG45"/>
      <c r="AH45"/>
      <c r="AI45"/>
      <c r="AJ45"/>
      <c r="AK45"/>
      <c r="AL45"/>
      <c r="AM45"/>
      <c r="AN45"/>
      <c r="AO45"/>
      <c r="AP45"/>
      <c r="AQ45"/>
    </row>
    <row r="46" spans="1:44" s="150" customFormat="1" ht="15">
      <c r="B46" s="150">
        <v>34</v>
      </c>
      <c r="C46" s="153">
        <v>45566</v>
      </c>
      <c r="D46" s="151">
        <f t="shared" ca="1" si="0"/>
        <v>61947945.010788821</v>
      </c>
      <c r="E46" s="151">
        <f t="shared" ca="1" si="1"/>
        <v>306019.32180541131</v>
      </c>
      <c r="F46" s="151">
        <f t="shared" ca="1" si="2"/>
        <v>258315.20469956112</v>
      </c>
      <c r="G46" s="151">
        <f t="shared" ca="1" si="3"/>
        <v>47704.117105850193</v>
      </c>
      <c r="H46" s="151">
        <f ca="1">'HUD - Snapshot'!$K$10/12*D45</f>
        <v>12915.760234978057</v>
      </c>
      <c r="I46" s="151">
        <f t="shared" ca="1" si="4"/>
        <v>318935.08204038936</v>
      </c>
      <c r="J46" s="162"/>
      <c r="K46" s="152"/>
      <c r="L46" s="152"/>
      <c r="Q46"/>
      <c r="R46"/>
      <c r="S46"/>
      <c r="T46"/>
      <c r="U46"/>
      <c r="V46"/>
      <c r="W46"/>
      <c r="X46"/>
      <c r="Y46"/>
      <c r="Z46"/>
      <c r="AA46"/>
      <c r="AB46"/>
      <c r="AC46"/>
      <c r="AD46"/>
      <c r="AE46"/>
      <c r="AF46"/>
      <c r="AG46"/>
      <c r="AH46"/>
      <c r="AI46"/>
      <c r="AJ46"/>
      <c r="AK46"/>
      <c r="AL46"/>
      <c r="AM46"/>
      <c r="AN46"/>
      <c r="AO46"/>
      <c r="AP46"/>
      <c r="AQ46"/>
    </row>
    <row r="47" spans="1:44" s="150" customFormat="1" ht="15">
      <c r="B47" s="150">
        <v>35</v>
      </c>
      <c r="C47" s="153">
        <v>45597</v>
      </c>
      <c r="D47" s="151">
        <f t="shared" ca="1" si="0"/>
        <v>61900042.12652836</v>
      </c>
      <c r="E47" s="151">
        <f t="shared" ca="1" si="1"/>
        <v>306019.32180541131</v>
      </c>
      <c r="F47" s="151">
        <f t="shared" ca="1" si="2"/>
        <v>258116.43754495343</v>
      </c>
      <c r="G47" s="151">
        <f t="shared" ca="1" si="3"/>
        <v>47902.884260457882</v>
      </c>
      <c r="H47" s="151">
        <f ca="1">'HUD - Snapshot'!$K$10/12*D46</f>
        <v>12905.821877247672</v>
      </c>
      <c r="I47" s="151">
        <f t="shared" ca="1" si="4"/>
        <v>318925.14368265896</v>
      </c>
      <c r="J47" s="162"/>
      <c r="K47" s="152"/>
      <c r="L47" s="152"/>
      <c r="Q47"/>
      <c r="R47"/>
      <c r="S47"/>
      <c r="T47"/>
      <c r="U47"/>
      <c r="V47"/>
      <c r="W47"/>
      <c r="X47"/>
      <c r="Y47"/>
      <c r="Z47"/>
      <c r="AA47"/>
      <c r="AB47"/>
      <c r="AC47"/>
      <c r="AD47"/>
      <c r="AE47"/>
      <c r="AF47"/>
      <c r="AG47"/>
      <c r="AH47"/>
      <c r="AI47"/>
      <c r="AJ47"/>
      <c r="AK47"/>
      <c r="AL47"/>
      <c r="AM47"/>
      <c r="AN47"/>
      <c r="AO47"/>
      <c r="AP47"/>
      <c r="AQ47"/>
      <c r="AR47" s="159">
        <f t="shared" ref="AR47" si="5">SUM(AL36:AL47)</f>
        <v>0</v>
      </c>
    </row>
    <row r="48" spans="1:44" s="150" customFormat="1" ht="15">
      <c r="A48" s="150" t="s">
        <v>594</v>
      </c>
      <c r="B48" s="157">
        <v>36</v>
      </c>
      <c r="C48" s="158">
        <v>45627</v>
      </c>
      <c r="D48" s="159">
        <f t="shared" ca="1" si="0"/>
        <v>61851939.646916814</v>
      </c>
      <c r="E48" s="159">
        <f t="shared" ca="1" si="1"/>
        <v>306019.32180541131</v>
      </c>
      <c r="F48" s="159">
        <f t="shared" ca="1" si="2"/>
        <v>257916.84219386816</v>
      </c>
      <c r="G48" s="159">
        <f t="shared" ca="1" si="3"/>
        <v>48102.479611543153</v>
      </c>
      <c r="H48" s="159">
        <f ca="1">'HUD - Snapshot'!$K$10/12*D47</f>
        <v>12895.842109693409</v>
      </c>
      <c r="I48" s="159">
        <f t="shared" ca="1" si="4"/>
        <v>318915.1639151047</v>
      </c>
      <c r="J48" s="162"/>
      <c r="K48" s="159">
        <f ca="1">SUM(I37:I48)</f>
        <v>3827631.6059700116</v>
      </c>
      <c r="L48" s="159">
        <f ca="1">SUM(F37:F48)</f>
        <v>3107994.8861015234</v>
      </c>
      <c r="M48" s="159">
        <f t="shared" ref="M48:N48" ca="1" si="6">SUM(G37:G48)</f>
        <v>564236.97556341207</v>
      </c>
      <c r="N48" s="159">
        <f t="shared" ca="1" si="6"/>
        <v>155399.74430507622</v>
      </c>
      <c r="Q48"/>
      <c r="R48"/>
      <c r="S48"/>
      <c r="T48"/>
      <c r="U48"/>
      <c r="V48"/>
      <c r="W48"/>
      <c r="X48"/>
      <c r="Y48"/>
      <c r="Z48"/>
      <c r="AA48"/>
      <c r="AB48"/>
      <c r="AC48"/>
      <c r="AD48"/>
      <c r="AE48"/>
      <c r="AF48"/>
      <c r="AG48"/>
      <c r="AH48"/>
      <c r="AI48"/>
      <c r="AJ48"/>
      <c r="AK48"/>
      <c r="AL48"/>
      <c r="AM48"/>
      <c r="AN48"/>
      <c r="AO48"/>
      <c r="AP48"/>
      <c r="AQ48"/>
    </row>
    <row r="49" spans="1:44" s="150" customFormat="1" ht="15">
      <c r="B49" s="150">
        <v>37</v>
      </c>
      <c r="C49" s="153">
        <v>45658</v>
      </c>
      <c r="D49" s="151">
        <f t="shared" ca="1" si="0"/>
        <v>61803636.740306892</v>
      </c>
      <c r="E49" s="151">
        <f t="shared" ca="1" si="1"/>
        <v>306019.32180541131</v>
      </c>
      <c r="F49" s="151">
        <f t="shared" ca="1" si="2"/>
        <v>257716.41519548671</v>
      </c>
      <c r="G49" s="151">
        <f t="shared" ca="1" si="3"/>
        <v>48302.906609924597</v>
      </c>
      <c r="H49" s="151">
        <f ca="1">'HUD - Snapshot'!$K$10/12*D48</f>
        <v>12885.820759774337</v>
      </c>
      <c r="I49" s="151">
        <f t="shared" ca="1" si="4"/>
        <v>318905.14256518567</v>
      </c>
      <c r="J49" s="162"/>
      <c r="K49" s="152"/>
      <c r="L49" s="152"/>
      <c r="Q49"/>
      <c r="R49"/>
      <c r="S49"/>
      <c r="T49"/>
      <c r="U49"/>
      <c r="V49"/>
      <c r="W49"/>
      <c r="X49"/>
      <c r="Y49"/>
      <c r="Z49"/>
      <c r="AA49"/>
      <c r="AB49"/>
      <c r="AC49"/>
      <c r="AD49"/>
      <c r="AE49"/>
      <c r="AF49"/>
      <c r="AG49"/>
      <c r="AH49"/>
      <c r="AI49"/>
      <c r="AJ49"/>
      <c r="AK49"/>
      <c r="AL49"/>
      <c r="AM49"/>
      <c r="AN49"/>
      <c r="AO49"/>
      <c r="AP49"/>
      <c r="AQ49"/>
    </row>
    <row r="50" spans="1:44" s="150" customFormat="1" ht="15">
      <c r="B50" s="150">
        <v>38</v>
      </c>
      <c r="C50" s="153">
        <v>45689</v>
      </c>
      <c r="D50" s="151">
        <f t="shared" ca="1" si="0"/>
        <v>61755132.571586095</v>
      </c>
      <c r="E50" s="151">
        <f t="shared" ca="1" si="1"/>
        <v>306019.32180541131</v>
      </c>
      <c r="F50" s="151">
        <f t="shared" ca="1" si="2"/>
        <v>257515.15308461204</v>
      </c>
      <c r="G50" s="151">
        <f t="shared" ca="1" si="3"/>
        <v>48504.168720799265</v>
      </c>
      <c r="H50" s="151">
        <f ca="1">'HUD - Snapshot'!$K$10/12*D49</f>
        <v>12875.757654230603</v>
      </c>
      <c r="I50" s="151">
        <f t="shared" ca="1" si="4"/>
        <v>318895.07945964189</v>
      </c>
      <c r="J50" s="162"/>
      <c r="K50" s="152"/>
      <c r="L50" s="152"/>
      <c r="Q50"/>
      <c r="R50"/>
      <c r="S50"/>
      <c r="T50"/>
      <c r="U50"/>
      <c r="V50"/>
      <c r="W50"/>
      <c r="X50"/>
      <c r="Y50"/>
      <c r="Z50"/>
      <c r="AA50"/>
      <c r="AB50"/>
      <c r="AC50"/>
      <c r="AD50"/>
      <c r="AE50"/>
      <c r="AF50"/>
      <c r="AG50"/>
      <c r="AH50"/>
      <c r="AI50"/>
      <c r="AJ50"/>
      <c r="AK50"/>
      <c r="AL50"/>
      <c r="AM50"/>
      <c r="AN50"/>
      <c r="AO50"/>
      <c r="AP50"/>
      <c r="AQ50"/>
    </row>
    <row r="51" spans="1:44" s="150" customFormat="1" ht="15">
      <c r="B51" s="150">
        <v>39</v>
      </c>
      <c r="C51" s="153">
        <v>45717</v>
      </c>
      <c r="D51" s="151">
        <f t="shared" ca="1" si="0"/>
        <v>61706426.30216229</v>
      </c>
      <c r="E51" s="151">
        <f t="shared" ca="1" si="1"/>
        <v>306019.32180541131</v>
      </c>
      <c r="F51" s="151">
        <f t="shared" ca="1" si="2"/>
        <v>257313.05238160872</v>
      </c>
      <c r="G51" s="151">
        <f t="shared" ca="1" si="3"/>
        <v>48706.269423802587</v>
      </c>
      <c r="H51" s="151">
        <f ca="1">'HUD - Snapshot'!$K$10/12*D50</f>
        <v>12865.652619080438</v>
      </c>
      <c r="I51" s="151">
        <f t="shared" ca="1" si="4"/>
        <v>318884.97442449175</v>
      </c>
      <c r="J51" s="162"/>
      <c r="K51" s="152"/>
      <c r="L51" s="152"/>
      <c r="Q51"/>
      <c r="R51"/>
      <c r="S51"/>
      <c r="T51"/>
      <c r="U51"/>
      <c r="V51"/>
      <c r="W51"/>
      <c r="X51"/>
      <c r="Y51"/>
      <c r="Z51"/>
      <c r="AA51"/>
      <c r="AB51"/>
      <c r="AC51"/>
      <c r="AD51"/>
      <c r="AE51"/>
      <c r="AF51"/>
      <c r="AG51"/>
      <c r="AH51"/>
      <c r="AI51"/>
      <c r="AJ51"/>
      <c r="AK51"/>
      <c r="AL51"/>
      <c r="AM51"/>
      <c r="AN51"/>
      <c r="AO51"/>
      <c r="AP51"/>
      <c r="AQ51"/>
    </row>
    <row r="52" spans="1:44" s="150" customFormat="1" ht="15">
      <c r="B52" s="150">
        <v>40</v>
      </c>
      <c r="C52" s="153">
        <v>45748</v>
      </c>
      <c r="D52" s="151">
        <f t="shared" ca="1" si="0"/>
        <v>61657517.08994922</v>
      </c>
      <c r="E52" s="151">
        <f t="shared" ca="1" si="1"/>
        <v>306019.32180541131</v>
      </c>
      <c r="F52" s="151">
        <f t="shared" ca="1" si="2"/>
        <v>257110.10959234287</v>
      </c>
      <c r="G52" s="151">
        <f t="shared" ca="1" si="3"/>
        <v>48909.212213068444</v>
      </c>
      <c r="H52" s="151">
        <f ca="1">'HUD - Snapshot'!$K$10/12*D51</f>
        <v>12855.505479617144</v>
      </c>
      <c r="I52" s="151">
        <f t="shared" ca="1" si="4"/>
        <v>318874.82728502847</v>
      </c>
      <c r="J52" s="162"/>
      <c r="K52" s="152"/>
      <c r="L52" s="152"/>
      <c r="Q52"/>
      <c r="R52"/>
      <c r="S52"/>
      <c r="T52"/>
      <c r="U52"/>
      <c r="V52"/>
      <c r="W52"/>
      <c r="X52"/>
      <c r="Y52"/>
      <c r="Z52"/>
      <c r="AA52"/>
      <c r="AB52"/>
      <c r="AC52"/>
      <c r="AD52"/>
      <c r="AE52"/>
      <c r="AF52"/>
      <c r="AG52"/>
      <c r="AH52"/>
      <c r="AI52"/>
      <c r="AJ52"/>
      <c r="AK52"/>
      <c r="AL52"/>
      <c r="AM52"/>
      <c r="AN52"/>
      <c r="AO52"/>
      <c r="AP52"/>
      <c r="AQ52"/>
    </row>
    <row r="53" spans="1:44" s="150" customFormat="1" ht="15">
      <c r="B53" s="150">
        <v>41</v>
      </c>
      <c r="C53" s="153">
        <v>45778</v>
      </c>
      <c r="D53" s="151">
        <f t="shared" ca="1" si="0"/>
        <v>61608404.08935193</v>
      </c>
      <c r="E53" s="151">
        <f t="shared" ca="1" si="1"/>
        <v>306019.32180541131</v>
      </c>
      <c r="F53" s="151">
        <f t="shared" ca="1" si="2"/>
        <v>256906.32120812175</v>
      </c>
      <c r="G53" s="151">
        <f t="shared" ca="1" si="3"/>
        <v>49113.00059728956</v>
      </c>
      <c r="H53" s="151">
        <f ca="1">'HUD - Snapshot'!$K$10/12*D52</f>
        <v>12845.316060406089</v>
      </c>
      <c r="I53" s="151">
        <f t="shared" ca="1" si="4"/>
        <v>318864.63786581741</v>
      </c>
      <c r="J53" s="162"/>
      <c r="K53" s="152"/>
      <c r="L53" s="152"/>
      <c r="Q53"/>
      <c r="R53"/>
      <c r="S53"/>
      <c r="T53"/>
      <c r="U53"/>
      <c r="V53"/>
      <c r="W53"/>
      <c r="X53"/>
      <c r="Y53"/>
      <c r="Z53"/>
      <c r="AA53"/>
      <c r="AB53"/>
      <c r="AC53"/>
      <c r="AD53"/>
      <c r="AE53"/>
      <c r="AF53"/>
      <c r="AG53"/>
      <c r="AH53"/>
      <c r="AI53"/>
      <c r="AJ53"/>
      <c r="AK53"/>
      <c r="AL53"/>
      <c r="AM53"/>
      <c r="AN53"/>
      <c r="AO53"/>
      <c r="AP53"/>
      <c r="AQ53"/>
    </row>
    <row r="54" spans="1:44" s="150" customFormat="1" ht="15">
      <c r="B54" s="150">
        <v>42</v>
      </c>
      <c r="C54" s="153">
        <v>45809</v>
      </c>
      <c r="D54" s="151">
        <f t="shared" ca="1" si="0"/>
        <v>61559086.451252155</v>
      </c>
      <c r="E54" s="151">
        <f t="shared" ca="1" si="1"/>
        <v>306019.32180541131</v>
      </c>
      <c r="F54" s="151">
        <f t="shared" ca="1" si="2"/>
        <v>256701.68370563304</v>
      </c>
      <c r="G54" s="151">
        <f t="shared" ca="1" si="3"/>
        <v>49317.638099778269</v>
      </c>
      <c r="H54" s="151">
        <f ca="1">'HUD - Snapshot'!$K$10/12*D53</f>
        <v>12835.084185281652</v>
      </c>
      <c r="I54" s="151">
        <f t="shared" ca="1" si="4"/>
        <v>318854.40599069296</v>
      </c>
      <c r="J54" s="162"/>
      <c r="K54" s="152"/>
      <c r="L54" s="152"/>
      <c r="Q54"/>
      <c r="R54"/>
      <c r="S54"/>
      <c r="T54"/>
      <c r="U54"/>
      <c r="V54"/>
      <c r="W54"/>
      <c r="X54"/>
      <c r="Y54"/>
      <c r="Z54"/>
      <c r="AA54"/>
      <c r="AB54"/>
      <c r="AC54"/>
      <c r="AD54"/>
      <c r="AE54"/>
      <c r="AF54"/>
      <c r="AG54"/>
      <c r="AH54"/>
      <c r="AI54"/>
      <c r="AJ54"/>
      <c r="AK54"/>
      <c r="AL54"/>
      <c r="AM54"/>
      <c r="AN54"/>
      <c r="AO54"/>
      <c r="AP54"/>
      <c r="AQ54"/>
    </row>
    <row r="55" spans="1:44" s="150" customFormat="1" ht="15">
      <c r="B55" s="150">
        <v>43</v>
      </c>
      <c r="C55" s="153">
        <v>45839</v>
      </c>
      <c r="D55" s="151">
        <f t="shared" ca="1" si="0"/>
        <v>61509563.322993629</v>
      </c>
      <c r="E55" s="151">
        <f t="shared" ca="1" si="1"/>
        <v>306019.32180541131</v>
      </c>
      <c r="F55" s="151">
        <f t="shared" ca="1" si="2"/>
        <v>256496.19354688397</v>
      </c>
      <c r="G55" s="151">
        <f t="shared" ca="1" si="3"/>
        <v>49523.128258527344</v>
      </c>
      <c r="H55" s="151">
        <f ca="1">'HUD - Snapshot'!$K$10/12*D54</f>
        <v>12824.809677344199</v>
      </c>
      <c r="I55" s="151">
        <f t="shared" ca="1" si="4"/>
        <v>318844.13148275553</v>
      </c>
      <c r="J55" s="162"/>
      <c r="K55" s="152"/>
      <c r="L55" s="152"/>
      <c r="Q55"/>
      <c r="R55"/>
      <c r="S55"/>
      <c r="T55"/>
      <c r="U55"/>
      <c r="V55"/>
      <c r="W55"/>
      <c r="X55"/>
      <c r="Y55"/>
      <c r="Z55"/>
      <c r="AA55"/>
      <c r="AB55"/>
      <c r="AC55"/>
      <c r="AD55"/>
      <c r="AE55"/>
      <c r="AF55"/>
      <c r="AG55"/>
      <c r="AH55"/>
      <c r="AI55"/>
      <c r="AJ55"/>
      <c r="AK55"/>
      <c r="AL55"/>
      <c r="AM55"/>
      <c r="AN55"/>
      <c r="AO55"/>
      <c r="AP55"/>
      <c r="AQ55"/>
    </row>
    <row r="56" spans="1:44" s="150" customFormat="1" ht="15">
      <c r="B56" s="150">
        <v>44</v>
      </c>
      <c r="C56" s="153">
        <v>45870</v>
      </c>
      <c r="D56" s="151">
        <f t="shared" ca="1" si="0"/>
        <v>61459833.848367356</v>
      </c>
      <c r="E56" s="151">
        <f t="shared" ca="1" si="1"/>
        <v>306019.32180541131</v>
      </c>
      <c r="F56" s="151">
        <f t="shared" ca="1" si="2"/>
        <v>256289.84717914011</v>
      </c>
      <c r="G56" s="151">
        <f t="shared" ca="1" si="3"/>
        <v>49729.4746262712</v>
      </c>
      <c r="H56" s="151">
        <f ca="1">'HUD - Snapshot'!$K$10/12*D55</f>
        <v>12814.492358957006</v>
      </c>
      <c r="I56" s="151">
        <f t="shared" ca="1" si="4"/>
        <v>318833.81416436832</v>
      </c>
      <c r="J56" s="162"/>
      <c r="K56" s="152"/>
      <c r="L56" s="152"/>
      <c r="Q56"/>
      <c r="R56"/>
      <c r="S56"/>
      <c r="T56"/>
      <c r="U56"/>
      <c r="V56"/>
      <c r="W56"/>
      <c r="X56"/>
      <c r="Y56"/>
      <c r="Z56"/>
      <c r="AA56"/>
      <c r="AB56"/>
      <c r="AC56"/>
      <c r="AD56"/>
      <c r="AE56"/>
      <c r="AF56"/>
      <c r="AG56"/>
      <c r="AH56"/>
      <c r="AI56"/>
      <c r="AJ56"/>
      <c r="AK56"/>
      <c r="AL56"/>
      <c r="AM56"/>
      <c r="AN56"/>
      <c r="AO56"/>
      <c r="AP56"/>
      <c r="AQ56"/>
    </row>
    <row r="57" spans="1:44" s="150" customFormat="1" ht="15">
      <c r="B57" s="150">
        <v>45</v>
      </c>
      <c r="C57" s="153">
        <v>45901</v>
      </c>
      <c r="D57" s="151">
        <f t="shared" ca="1" si="0"/>
        <v>61409897.16759681</v>
      </c>
      <c r="E57" s="151">
        <f t="shared" ca="1" si="1"/>
        <v>306019.32180541131</v>
      </c>
      <c r="F57" s="151">
        <f t="shared" ca="1" si="2"/>
        <v>256082.64103486398</v>
      </c>
      <c r="G57" s="151">
        <f t="shared" ca="1" si="3"/>
        <v>49936.680770547333</v>
      </c>
      <c r="H57" s="151">
        <f ca="1">'HUD - Snapshot'!$K$10/12*D56</f>
        <v>12804.1320517432</v>
      </c>
      <c r="I57" s="151">
        <f t="shared" ca="1" si="4"/>
        <v>318823.45385715453</v>
      </c>
      <c r="J57" s="162"/>
      <c r="K57" s="152"/>
      <c r="L57" s="152"/>
      <c r="Q57"/>
      <c r="R57"/>
      <c r="S57"/>
      <c r="T57"/>
      <c r="U57"/>
      <c r="V57"/>
      <c r="W57"/>
      <c r="X57"/>
      <c r="Y57"/>
      <c r="Z57"/>
      <c r="AA57"/>
      <c r="AB57"/>
      <c r="AC57"/>
      <c r="AD57"/>
      <c r="AE57"/>
      <c r="AF57"/>
      <c r="AG57"/>
      <c r="AH57"/>
      <c r="AI57"/>
      <c r="AJ57"/>
      <c r="AK57"/>
      <c r="AL57"/>
      <c r="AM57"/>
      <c r="AN57"/>
      <c r="AO57"/>
      <c r="AP57"/>
      <c r="AQ57"/>
    </row>
    <row r="58" spans="1:44" s="150" customFormat="1" ht="15">
      <c r="B58" s="150">
        <v>46</v>
      </c>
      <c r="C58" s="153">
        <v>45931</v>
      </c>
      <c r="D58" s="151">
        <f t="shared" ca="1" si="0"/>
        <v>61359752.417323053</v>
      </c>
      <c r="E58" s="151">
        <f t="shared" ca="1" si="1"/>
        <v>306019.32180541131</v>
      </c>
      <c r="F58" s="151">
        <f t="shared" ca="1" si="2"/>
        <v>255874.57153165338</v>
      </c>
      <c r="G58" s="151">
        <f t="shared" ca="1" si="3"/>
        <v>50144.750273757934</v>
      </c>
      <c r="H58" s="151">
        <f ca="1">'HUD - Snapshot'!$K$10/12*D57</f>
        <v>12793.728576582669</v>
      </c>
      <c r="I58" s="151">
        <f t="shared" ca="1" si="4"/>
        <v>318813.05038199399</v>
      </c>
      <c r="J58" s="162"/>
      <c r="K58" s="152"/>
      <c r="L58" s="152"/>
      <c r="Q58"/>
      <c r="R58"/>
      <c r="S58"/>
      <c r="T58"/>
      <c r="U58"/>
      <c r="V58"/>
      <c r="W58"/>
      <c r="X58"/>
      <c r="Y58"/>
      <c r="Z58"/>
      <c r="AA58"/>
      <c r="AB58"/>
      <c r="AC58"/>
      <c r="AD58"/>
      <c r="AE58"/>
      <c r="AF58"/>
      <c r="AG58"/>
      <c r="AH58"/>
      <c r="AI58"/>
      <c r="AJ58"/>
      <c r="AK58"/>
      <c r="AL58"/>
      <c r="AM58"/>
      <c r="AN58"/>
      <c r="AO58"/>
      <c r="AP58"/>
      <c r="AQ58"/>
    </row>
    <row r="59" spans="1:44" s="150" customFormat="1" ht="15">
      <c r="B59" s="150">
        <v>47</v>
      </c>
      <c r="C59" s="153">
        <v>45962</v>
      </c>
      <c r="D59" s="151">
        <f t="shared" ca="1" si="0"/>
        <v>61309398.730589822</v>
      </c>
      <c r="E59" s="151">
        <f t="shared" ca="1" si="1"/>
        <v>306019.32180541131</v>
      </c>
      <c r="F59" s="151">
        <f t="shared" ca="1" si="2"/>
        <v>255665.63507217937</v>
      </c>
      <c r="G59" s="151">
        <f t="shared" ca="1" si="3"/>
        <v>50353.686733231938</v>
      </c>
      <c r="H59" s="151">
        <f ca="1">'HUD - Snapshot'!$K$10/12*D58</f>
        <v>12783.28175360897</v>
      </c>
      <c r="I59" s="151">
        <f t="shared" ca="1" si="4"/>
        <v>318802.60355902027</v>
      </c>
      <c r="J59" s="162"/>
      <c r="K59" s="152"/>
      <c r="L59" s="152"/>
      <c r="Q59"/>
      <c r="R59"/>
      <c r="S59"/>
      <c r="T59"/>
      <c r="U59"/>
      <c r="V59"/>
      <c r="W59"/>
      <c r="X59"/>
      <c r="Y59"/>
      <c r="Z59"/>
      <c r="AA59"/>
      <c r="AB59"/>
      <c r="AC59"/>
      <c r="AD59"/>
      <c r="AE59"/>
      <c r="AF59"/>
      <c r="AG59"/>
      <c r="AH59"/>
      <c r="AI59"/>
      <c r="AJ59"/>
      <c r="AK59"/>
      <c r="AL59"/>
      <c r="AM59"/>
      <c r="AN59"/>
      <c r="AO59"/>
      <c r="AP59"/>
      <c r="AQ59"/>
      <c r="AR59" s="159">
        <f t="shared" ref="AR59" si="7">SUM(AL48:AL59)</f>
        <v>0</v>
      </c>
    </row>
    <row r="60" spans="1:44" s="150" customFormat="1" ht="15">
      <c r="A60" s="150" t="s">
        <v>595</v>
      </c>
      <c r="B60" s="157">
        <v>48</v>
      </c>
      <c r="C60" s="158">
        <v>45992</v>
      </c>
      <c r="D60" s="159">
        <f t="shared" ca="1" si="0"/>
        <v>61258835.236828536</v>
      </c>
      <c r="E60" s="159">
        <f t="shared" ca="1" si="1"/>
        <v>306019.32180541131</v>
      </c>
      <c r="F60" s="159">
        <f t="shared" ca="1" si="2"/>
        <v>255455.82804412427</v>
      </c>
      <c r="G60" s="159">
        <f t="shared" ca="1" si="3"/>
        <v>50563.493761287042</v>
      </c>
      <c r="H60" s="159">
        <f ca="1">'HUD - Snapshot'!$K$10/12*D59</f>
        <v>12772.791402206214</v>
      </c>
      <c r="I60" s="159">
        <f t="shared" ca="1" si="4"/>
        <v>318792.11320761754</v>
      </c>
      <c r="J60" s="162"/>
      <c r="K60" s="159">
        <f ca="1">SUM(I49:I60)</f>
        <v>3826188.2342437683</v>
      </c>
      <c r="L60" s="159">
        <f ca="1">SUM(F49:F60)</f>
        <v>3079127.4515766506</v>
      </c>
      <c r="M60" s="159">
        <f t="shared" ref="M60:N60" ca="1" si="8">SUM(G49:G60)</f>
        <v>593104.41008828557</v>
      </c>
      <c r="N60" s="159">
        <f t="shared" ca="1" si="8"/>
        <v>153956.3725788325</v>
      </c>
      <c r="Q60"/>
      <c r="R60"/>
      <c r="S60"/>
      <c r="T60"/>
      <c r="U60"/>
      <c r="V60"/>
      <c r="W60"/>
      <c r="X60"/>
      <c r="Y60"/>
      <c r="Z60"/>
      <c r="AA60"/>
      <c r="AB60"/>
      <c r="AC60"/>
      <c r="AD60"/>
      <c r="AE60"/>
      <c r="AF60"/>
      <c r="AG60"/>
      <c r="AH60"/>
      <c r="AI60"/>
      <c r="AJ60"/>
      <c r="AK60"/>
      <c r="AL60"/>
      <c r="AM60"/>
      <c r="AN60"/>
      <c r="AO60"/>
      <c r="AP60"/>
      <c r="AQ60"/>
    </row>
    <row r="61" spans="1:44" s="150" customFormat="1" ht="15">
      <c r="B61" s="150">
        <v>49</v>
      </c>
      <c r="C61" s="153">
        <v>46023</v>
      </c>
      <c r="D61" s="151">
        <f t="shared" ca="1" si="0"/>
        <v>61208061.061843246</v>
      </c>
      <c r="E61" s="151">
        <f t="shared" ca="1" si="1"/>
        <v>306019.32180541131</v>
      </c>
      <c r="F61" s="151">
        <f t="shared" ca="1" si="2"/>
        <v>255245.14682011888</v>
      </c>
      <c r="G61" s="151">
        <f t="shared" ca="1" si="3"/>
        <v>50774.174985292426</v>
      </c>
      <c r="H61" s="151">
        <f ca="1">'HUD - Snapshot'!$K$10/12*D60</f>
        <v>12762.257341005945</v>
      </c>
      <c r="I61" s="151">
        <f t="shared" ca="1" si="4"/>
        <v>318781.57914641727</v>
      </c>
      <c r="J61" s="162"/>
      <c r="K61" s="152"/>
      <c r="L61" s="152"/>
      <c r="Q61"/>
      <c r="R61"/>
      <c r="S61"/>
      <c r="T61"/>
      <c r="U61"/>
      <c r="V61"/>
      <c r="W61"/>
      <c r="X61"/>
      <c r="Y61"/>
      <c r="Z61"/>
      <c r="AA61"/>
      <c r="AB61"/>
      <c r="AC61"/>
      <c r="AD61"/>
      <c r="AE61"/>
      <c r="AF61"/>
      <c r="AG61"/>
      <c r="AH61"/>
      <c r="AI61"/>
      <c r="AJ61"/>
      <c r="AK61"/>
      <c r="AL61"/>
      <c r="AM61"/>
      <c r="AN61"/>
      <c r="AO61"/>
      <c r="AP61"/>
      <c r="AQ61"/>
    </row>
    <row r="62" spans="1:44" s="150" customFormat="1" ht="15">
      <c r="B62" s="150">
        <v>50</v>
      </c>
      <c r="C62" s="153">
        <v>46054</v>
      </c>
      <c r="D62" s="151">
        <f t="shared" ca="1" si="0"/>
        <v>61157075.327795513</v>
      </c>
      <c r="E62" s="151">
        <f t="shared" ca="1" si="1"/>
        <v>306019.32180541131</v>
      </c>
      <c r="F62" s="151">
        <f t="shared" ca="1" si="2"/>
        <v>255033.58775768019</v>
      </c>
      <c r="G62" s="151">
        <f t="shared" ca="1" si="3"/>
        <v>50985.734047731123</v>
      </c>
      <c r="H62" s="151">
        <f ca="1">'HUD - Snapshot'!$K$10/12*D61</f>
        <v>12751.679387884011</v>
      </c>
      <c r="I62" s="151">
        <f t="shared" ca="1" si="4"/>
        <v>318771.00119329535</v>
      </c>
      <c r="J62" s="162"/>
      <c r="K62" s="152"/>
      <c r="L62" s="152"/>
      <c r="Q62"/>
      <c r="R62"/>
      <c r="S62"/>
      <c r="T62"/>
      <c r="U62"/>
      <c r="V62"/>
      <c r="W62"/>
      <c r="X62"/>
      <c r="Y62"/>
      <c r="Z62"/>
      <c r="AA62"/>
      <c r="AB62"/>
      <c r="AC62"/>
      <c r="AD62"/>
      <c r="AE62"/>
      <c r="AF62"/>
      <c r="AG62"/>
      <c r="AH62"/>
      <c r="AI62"/>
      <c r="AJ62"/>
      <c r="AK62"/>
      <c r="AL62"/>
      <c r="AM62"/>
      <c r="AN62"/>
      <c r="AO62"/>
      <c r="AP62"/>
      <c r="AQ62"/>
    </row>
    <row r="63" spans="1:44" s="150" customFormat="1" ht="15">
      <c r="B63" s="150">
        <v>51</v>
      </c>
      <c r="C63" s="153">
        <v>46082</v>
      </c>
      <c r="D63" s="151">
        <f t="shared" ca="1" si="0"/>
        <v>61105877.153189249</v>
      </c>
      <c r="E63" s="151">
        <f t="shared" ca="1" si="1"/>
        <v>306019.32180541131</v>
      </c>
      <c r="F63" s="151">
        <f t="shared" ca="1" si="2"/>
        <v>254821.14719914796</v>
      </c>
      <c r="G63" s="151">
        <f t="shared" ca="1" si="3"/>
        <v>51198.174606263347</v>
      </c>
      <c r="H63" s="151">
        <f ca="1">'HUD - Snapshot'!$K$10/12*D62</f>
        <v>12741.0573599574</v>
      </c>
      <c r="I63" s="151">
        <f t="shared" ca="1" si="4"/>
        <v>318760.37916536874</v>
      </c>
      <c r="J63" s="162"/>
      <c r="K63" s="152"/>
      <c r="L63" s="152"/>
      <c r="Q63"/>
      <c r="R63"/>
      <c r="S63"/>
      <c r="T63"/>
      <c r="U63"/>
      <c r="V63"/>
      <c r="W63"/>
      <c r="X63"/>
      <c r="Y63"/>
      <c r="Z63"/>
      <c r="AA63"/>
      <c r="AB63"/>
      <c r="AC63"/>
      <c r="AD63"/>
      <c r="AE63"/>
      <c r="AF63"/>
      <c r="AG63"/>
      <c r="AH63"/>
      <c r="AI63"/>
      <c r="AJ63"/>
      <c r="AK63"/>
      <c r="AL63"/>
      <c r="AM63"/>
      <c r="AN63"/>
      <c r="AO63"/>
      <c r="AP63"/>
      <c r="AQ63"/>
    </row>
    <row r="64" spans="1:44" s="150" customFormat="1" ht="15">
      <c r="B64" s="150">
        <v>52</v>
      </c>
      <c r="C64" s="153">
        <v>46113</v>
      </c>
      <c r="D64" s="151">
        <f t="shared" ca="1" si="0"/>
        <v>61054465.652855463</v>
      </c>
      <c r="E64" s="151">
        <f t="shared" ca="1" si="1"/>
        <v>306019.32180541131</v>
      </c>
      <c r="F64" s="151">
        <f t="shared" ca="1" si="2"/>
        <v>254607.82147162186</v>
      </c>
      <c r="G64" s="151">
        <f t="shared" ca="1" si="3"/>
        <v>51411.500333789445</v>
      </c>
      <c r="H64" s="151">
        <f ca="1">'HUD - Snapshot'!$K$10/12*D63</f>
        <v>12730.391073581095</v>
      </c>
      <c r="I64" s="151">
        <f t="shared" ca="1" si="4"/>
        <v>318749.71287899243</v>
      </c>
      <c r="J64" s="162"/>
      <c r="K64" s="152"/>
      <c r="L64" s="152"/>
      <c r="Q64"/>
      <c r="R64"/>
      <c r="S64"/>
      <c r="T64"/>
      <c r="U64"/>
      <c r="V64"/>
      <c r="W64"/>
      <c r="X64"/>
      <c r="Y64"/>
      <c r="Z64"/>
      <c r="AA64"/>
      <c r="AB64"/>
      <c r="AC64"/>
      <c r="AD64"/>
      <c r="AE64"/>
      <c r="AF64"/>
      <c r="AG64"/>
      <c r="AH64"/>
      <c r="AI64"/>
      <c r="AJ64"/>
      <c r="AK64"/>
      <c r="AL64"/>
      <c r="AM64"/>
      <c r="AN64"/>
      <c r="AO64"/>
      <c r="AP64"/>
      <c r="AQ64"/>
    </row>
    <row r="65" spans="1:44" s="150" customFormat="1" ht="15">
      <c r="B65" s="150">
        <v>53</v>
      </c>
      <c r="C65" s="153">
        <v>46143</v>
      </c>
      <c r="D65" s="151">
        <f t="shared" ca="1" si="0"/>
        <v>61002839.937936947</v>
      </c>
      <c r="E65" s="151">
        <f t="shared" ca="1" si="1"/>
        <v>306019.32180541131</v>
      </c>
      <c r="F65" s="151">
        <f t="shared" ca="1" si="2"/>
        <v>254393.60688689776</v>
      </c>
      <c r="G65" s="151">
        <f t="shared" ca="1" si="3"/>
        <v>51625.714918513549</v>
      </c>
      <c r="H65" s="151">
        <f ca="1">'HUD - Snapshot'!$K$10/12*D64</f>
        <v>12719.68034434489</v>
      </c>
      <c r="I65" s="151">
        <f t="shared" ca="1" si="4"/>
        <v>318739.00214975618</v>
      </c>
      <c r="J65" s="162"/>
      <c r="K65" s="152"/>
      <c r="L65" s="152"/>
      <c r="Q65"/>
      <c r="R65"/>
      <c r="S65"/>
      <c r="T65"/>
      <c r="U65"/>
      <c r="V65"/>
      <c r="W65"/>
      <c r="X65"/>
      <c r="Y65"/>
      <c r="Z65"/>
      <c r="AA65"/>
      <c r="AB65"/>
      <c r="AC65"/>
      <c r="AD65"/>
      <c r="AE65"/>
      <c r="AF65"/>
      <c r="AG65"/>
      <c r="AH65"/>
      <c r="AI65"/>
      <c r="AJ65"/>
      <c r="AK65"/>
      <c r="AL65"/>
      <c r="AM65"/>
      <c r="AN65"/>
      <c r="AO65"/>
      <c r="AP65"/>
      <c r="AQ65"/>
    </row>
    <row r="66" spans="1:44" s="150" customFormat="1" ht="15">
      <c r="B66" s="150">
        <v>54</v>
      </c>
      <c r="C66" s="153">
        <v>46174</v>
      </c>
      <c r="D66" s="151">
        <f t="shared" ca="1" si="0"/>
        <v>60950999.115872942</v>
      </c>
      <c r="E66" s="151">
        <f t="shared" ca="1" si="1"/>
        <v>306019.32180541131</v>
      </c>
      <c r="F66" s="151">
        <f t="shared" ca="1" si="2"/>
        <v>254178.49974140394</v>
      </c>
      <c r="G66" s="151">
        <f t="shared" ca="1" si="3"/>
        <v>51840.82206400737</v>
      </c>
      <c r="H66" s="151">
        <f ca="1">'HUD - Snapshot'!$K$10/12*D65</f>
        <v>12708.924987070199</v>
      </c>
      <c r="I66" s="151">
        <f t="shared" ca="1" si="4"/>
        <v>318728.24679248151</v>
      </c>
      <c r="J66" s="162"/>
      <c r="K66" s="152"/>
      <c r="L66" s="152"/>
      <c r="Q66"/>
      <c r="R66"/>
      <c r="S66"/>
      <c r="T66"/>
      <c r="U66"/>
      <c r="V66"/>
      <c r="W66"/>
      <c r="X66"/>
      <c r="Y66"/>
      <c r="Z66"/>
      <c r="AA66"/>
      <c r="AB66"/>
      <c r="AC66"/>
      <c r="AD66"/>
      <c r="AE66"/>
      <c r="AF66"/>
      <c r="AG66"/>
      <c r="AH66"/>
      <c r="AI66"/>
      <c r="AJ66"/>
      <c r="AK66"/>
      <c r="AL66"/>
      <c r="AM66"/>
      <c r="AN66"/>
      <c r="AO66"/>
      <c r="AP66"/>
      <c r="AQ66"/>
    </row>
    <row r="67" spans="1:44" s="150" customFormat="1" ht="15">
      <c r="B67" s="150">
        <v>55</v>
      </c>
      <c r="C67" s="153">
        <v>46204</v>
      </c>
      <c r="D67" s="151">
        <f t="shared" ca="1" si="0"/>
        <v>60898942.290383667</v>
      </c>
      <c r="E67" s="151">
        <f t="shared" ca="1" si="1"/>
        <v>306019.32180541131</v>
      </c>
      <c r="F67" s="151">
        <f t="shared" ca="1" si="2"/>
        <v>253962.49631613726</v>
      </c>
      <c r="G67" s="151">
        <f t="shared" ca="1" si="3"/>
        <v>52056.825489274052</v>
      </c>
      <c r="H67" s="151">
        <f ca="1">'HUD - Snapshot'!$K$10/12*D66</f>
        <v>12698.124815806863</v>
      </c>
      <c r="I67" s="151">
        <f t="shared" ca="1" si="4"/>
        <v>318717.44662121817</v>
      </c>
      <c r="J67" s="162"/>
      <c r="K67" s="152"/>
      <c r="L67" s="152"/>
      <c r="Q67"/>
      <c r="R67"/>
      <c r="S67"/>
      <c r="T67"/>
      <c r="U67"/>
      <c r="V67"/>
      <c r="W67"/>
      <c r="X67"/>
      <c r="Y67"/>
      <c r="Z67"/>
      <c r="AA67"/>
      <c r="AB67"/>
      <c r="AC67"/>
      <c r="AD67"/>
      <c r="AE67"/>
      <c r="AF67"/>
      <c r="AG67"/>
      <c r="AH67"/>
      <c r="AI67"/>
      <c r="AJ67"/>
      <c r="AK67"/>
      <c r="AL67"/>
      <c r="AM67"/>
      <c r="AN67"/>
      <c r="AO67"/>
      <c r="AP67"/>
      <c r="AQ67"/>
    </row>
    <row r="68" spans="1:44" s="150" customFormat="1" ht="15">
      <c r="B68" s="150">
        <v>56</v>
      </c>
      <c r="C68" s="153">
        <v>46235</v>
      </c>
      <c r="D68" s="151">
        <f t="shared" ca="1" si="0"/>
        <v>60846668.561454855</v>
      </c>
      <c r="E68" s="151">
        <f t="shared" ca="1" si="1"/>
        <v>306019.32180541131</v>
      </c>
      <c r="F68" s="151">
        <f t="shared" ca="1" si="2"/>
        <v>253745.59287659862</v>
      </c>
      <c r="G68" s="151">
        <f t="shared" ca="1" si="3"/>
        <v>52273.728928812692</v>
      </c>
      <c r="H68" s="151">
        <f ca="1">'HUD - Snapshot'!$K$10/12*D67</f>
        <v>12687.279643829932</v>
      </c>
      <c r="I68" s="151">
        <f t="shared" ca="1" si="4"/>
        <v>318706.60144924122</v>
      </c>
      <c r="J68" s="162"/>
      <c r="K68" s="152"/>
      <c r="L68" s="152"/>
      <c r="Q68"/>
      <c r="R68"/>
      <c r="S68"/>
      <c r="T68"/>
      <c r="U68"/>
      <c r="V68"/>
      <c r="W68"/>
      <c r="X68"/>
      <c r="Y68"/>
      <c r="Z68"/>
      <c r="AA68"/>
      <c r="AB68"/>
      <c r="AC68"/>
      <c r="AD68"/>
      <c r="AE68"/>
      <c r="AF68"/>
      <c r="AG68"/>
      <c r="AH68"/>
      <c r="AI68"/>
      <c r="AJ68"/>
      <c r="AK68"/>
      <c r="AL68"/>
      <c r="AM68"/>
      <c r="AN68"/>
      <c r="AO68"/>
      <c r="AP68"/>
      <c r="AQ68"/>
    </row>
    <row r="69" spans="1:44" s="150" customFormat="1" ht="15">
      <c r="B69" s="150">
        <v>57</v>
      </c>
      <c r="C69" s="153">
        <v>46266</v>
      </c>
      <c r="D69" s="151">
        <f t="shared" ca="1" si="0"/>
        <v>60794177.025322169</v>
      </c>
      <c r="E69" s="151">
        <f t="shared" ca="1" si="1"/>
        <v>306019.32180541131</v>
      </c>
      <c r="F69" s="151">
        <f t="shared" ca="1" si="2"/>
        <v>253527.78567272855</v>
      </c>
      <c r="G69" s="151">
        <f t="shared" ca="1" si="3"/>
        <v>52491.536132682755</v>
      </c>
      <c r="H69" s="151">
        <f ca="1">'HUD - Snapshot'!$K$10/12*D68</f>
        <v>12676.389283636428</v>
      </c>
      <c r="I69" s="151">
        <f t="shared" ca="1" si="4"/>
        <v>318695.71108904772</v>
      </c>
      <c r="J69" s="162"/>
      <c r="K69" s="152"/>
      <c r="L69" s="152"/>
      <c r="Q69"/>
      <c r="R69"/>
      <c r="S69"/>
      <c r="T69"/>
      <c r="U69"/>
      <c r="V69"/>
      <c r="W69"/>
      <c r="X69"/>
      <c r="Y69"/>
      <c r="Z69"/>
      <c r="AA69"/>
      <c r="AB69"/>
      <c r="AC69"/>
      <c r="AD69"/>
      <c r="AE69"/>
      <c r="AF69"/>
      <c r="AG69"/>
      <c r="AH69"/>
      <c r="AI69"/>
      <c r="AJ69"/>
      <c r="AK69"/>
      <c r="AL69"/>
      <c r="AM69"/>
      <c r="AN69"/>
      <c r="AO69"/>
      <c r="AP69"/>
      <c r="AQ69"/>
    </row>
    <row r="70" spans="1:44" s="150" customFormat="1" ht="15">
      <c r="B70" s="150">
        <v>58</v>
      </c>
      <c r="C70" s="153">
        <v>46296</v>
      </c>
      <c r="D70" s="151">
        <f t="shared" ca="1" si="0"/>
        <v>60741466.774455599</v>
      </c>
      <c r="E70" s="151">
        <f t="shared" ca="1" si="1"/>
        <v>306019.32180541131</v>
      </c>
      <c r="F70" s="151">
        <f t="shared" ca="1" si="2"/>
        <v>253309.07093884237</v>
      </c>
      <c r="G70" s="151">
        <f t="shared" ca="1" si="3"/>
        <v>52710.250866568938</v>
      </c>
      <c r="H70" s="151">
        <f ca="1">'HUD - Snapshot'!$K$10/12*D69</f>
        <v>12665.453546942119</v>
      </c>
      <c r="I70" s="151">
        <f t="shared" ca="1" si="4"/>
        <v>318684.7753523534</v>
      </c>
      <c r="J70" s="162"/>
      <c r="K70" s="152"/>
      <c r="L70" s="152"/>
      <c r="Q70"/>
      <c r="R70"/>
      <c r="S70"/>
      <c r="T70"/>
      <c r="U70"/>
      <c r="V70"/>
      <c r="W70"/>
      <c r="X70"/>
      <c r="Y70"/>
      <c r="Z70"/>
      <c r="AA70"/>
      <c r="AB70"/>
      <c r="AC70"/>
      <c r="AD70"/>
      <c r="AE70"/>
      <c r="AF70"/>
      <c r="AG70"/>
      <c r="AH70"/>
      <c r="AI70"/>
      <c r="AJ70"/>
      <c r="AK70"/>
      <c r="AL70"/>
      <c r="AM70"/>
      <c r="AN70"/>
      <c r="AO70"/>
      <c r="AP70"/>
      <c r="AQ70"/>
    </row>
    <row r="71" spans="1:44" s="150" customFormat="1" ht="15">
      <c r="B71" s="150">
        <v>59</v>
      </c>
      <c r="C71" s="153">
        <v>46327</v>
      </c>
      <c r="D71" s="151">
        <f t="shared" ca="1" si="0"/>
        <v>60688536.897543751</v>
      </c>
      <c r="E71" s="151">
        <f t="shared" ca="1" si="1"/>
        <v>306019.32180541131</v>
      </c>
      <c r="F71" s="151">
        <f t="shared" ca="1" si="2"/>
        <v>253089.444893565</v>
      </c>
      <c r="G71" s="151">
        <f t="shared" ca="1" si="3"/>
        <v>52929.87691184631</v>
      </c>
      <c r="H71" s="151">
        <f ca="1">'HUD - Snapshot'!$K$10/12*D70</f>
        <v>12654.472244678251</v>
      </c>
      <c r="I71" s="151">
        <f t="shared" ca="1" si="4"/>
        <v>318673.79405008955</v>
      </c>
      <c r="J71" s="162"/>
      <c r="K71" s="152"/>
      <c r="L71" s="152"/>
      <c r="Q71"/>
      <c r="R71"/>
      <c r="S71"/>
      <c r="T71"/>
      <c r="U71"/>
      <c r="V71"/>
      <c r="W71"/>
      <c r="X71"/>
      <c r="Y71"/>
      <c r="Z71"/>
      <c r="AA71"/>
      <c r="AB71"/>
      <c r="AC71"/>
      <c r="AD71"/>
      <c r="AE71"/>
      <c r="AF71"/>
      <c r="AG71"/>
      <c r="AH71"/>
      <c r="AI71"/>
      <c r="AJ71"/>
      <c r="AK71"/>
      <c r="AL71"/>
      <c r="AM71"/>
      <c r="AN71"/>
      <c r="AO71"/>
      <c r="AP71"/>
      <c r="AQ71"/>
      <c r="AR71" s="159">
        <f t="shared" ref="AR71" si="9">SUM(AL60:AL71)</f>
        <v>0</v>
      </c>
    </row>
    <row r="72" spans="1:44" s="150" customFormat="1" ht="15">
      <c r="A72" s="150" t="s">
        <v>596</v>
      </c>
      <c r="B72" s="157">
        <v>60</v>
      </c>
      <c r="C72" s="158">
        <v>46357</v>
      </c>
      <c r="D72" s="159">
        <f t="shared" ca="1" si="0"/>
        <v>60635386.479478106</v>
      </c>
      <c r="E72" s="159">
        <f t="shared" ca="1" si="1"/>
        <v>306019.32180541131</v>
      </c>
      <c r="F72" s="159">
        <f t="shared" ca="1" si="2"/>
        <v>252868.90373976564</v>
      </c>
      <c r="G72" s="159">
        <f t="shared" ca="1" si="3"/>
        <v>53150.418065645674</v>
      </c>
      <c r="H72" s="159">
        <f ca="1">'HUD - Snapshot'!$K$10/12*D71</f>
        <v>12643.445186988281</v>
      </c>
      <c r="I72" s="159">
        <f t="shared" ca="1" si="4"/>
        <v>318662.76699239959</v>
      </c>
      <c r="J72" s="162"/>
      <c r="K72" s="159">
        <f ca="1">SUM(I61:I72)</f>
        <v>3824671.0168806608</v>
      </c>
      <c r="L72" s="159">
        <f ca="1">SUM(F61:F72)</f>
        <v>3048783.1043145084</v>
      </c>
      <c r="M72" s="159">
        <f t="shared" ref="M72:N72" ca="1" si="10">SUM(G61:G72)</f>
        <v>623448.7573504278</v>
      </c>
      <c r="N72" s="159">
        <f t="shared" ca="1" si="10"/>
        <v>152439.15521572539</v>
      </c>
      <c r="Q72"/>
      <c r="R72"/>
      <c r="S72"/>
      <c r="T72"/>
      <c r="U72"/>
      <c r="V72"/>
      <c r="W72"/>
      <c r="X72"/>
      <c r="Y72"/>
      <c r="Z72"/>
      <c r="AA72"/>
      <c r="AB72"/>
      <c r="AC72"/>
      <c r="AD72"/>
      <c r="AE72"/>
      <c r="AF72"/>
      <c r="AG72"/>
      <c r="AH72"/>
      <c r="AI72"/>
      <c r="AJ72"/>
      <c r="AK72"/>
      <c r="AL72"/>
      <c r="AM72"/>
      <c r="AN72"/>
      <c r="AO72"/>
      <c r="AP72"/>
      <c r="AQ72"/>
    </row>
    <row r="73" spans="1:44" s="150" customFormat="1" ht="15">
      <c r="B73" s="150">
        <v>61</v>
      </c>
      <c r="C73" s="153">
        <v>46388</v>
      </c>
      <c r="D73" s="151">
        <f t="shared" ca="1" si="0"/>
        <v>60582014.601337187</v>
      </c>
      <c r="E73" s="151">
        <f t="shared" ca="1" si="1"/>
        <v>306019.32180541131</v>
      </c>
      <c r="F73" s="151">
        <f t="shared" ca="1" si="2"/>
        <v>252647.44366449211</v>
      </c>
      <c r="G73" s="151">
        <f t="shared" ca="1" si="3"/>
        <v>53371.878140919202</v>
      </c>
      <c r="H73" s="151">
        <f ca="1">'HUD - Snapshot'!$K$10/12*D72</f>
        <v>12632.372183224606</v>
      </c>
      <c r="I73" s="151">
        <f t="shared" ca="1" si="4"/>
        <v>318651.6939886359</v>
      </c>
      <c r="J73" s="162"/>
      <c r="K73" s="152"/>
      <c r="L73" s="152"/>
      <c r="Q73"/>
      <c r="R73"/>
      <c r="S73"/>
      <c r="T73"/>
      <c r="U73"/>
      <c r="V73"/>
      <c r="W73"/>
      <c r="X73"/>
      <c r="Y73"/>
      <c r="Z73"/>
      <c r="AA73"/>
      <c r="AB73"/>
      <c r="AC73"/>
      <c r="AD73"/>
      <c r="AE73"/>
      <c r="AF73"/>
      <c r="AG73"/>
      <c r="AH73"/>
      <c r="AI73"/>
      <c r="AJ73"/>
      <c r="AK73"/>
      <c r="AL73"/>
      <c r="AM73"/>
      <c r="AN73"/>
      <c r="AO73"/>
      <c r="AP73"/>
      <c r="AQ73"/>
    </row>
    <row r="74" spans="1:44" s="150" customFormat="1" ht="15">
      <c r="B74" s="150">
        <v>62</v>
      </c>
      <c r="C74" s="153">
        <v>46419</v>
      </c>
      <c r="D74" s="151">
        <f t="shared" ca="1" si="0"/>
        <v>60528420.340370677</v>
      </c>
      <c r="E74" s="151">
        <f t="shared" ca="1" si="1"/>
        <v>306019.32180541131</v>
      </c>
      <c r="F74" s="151">
        <f t="shared" ca="1" si="2"/>
        <v>252425.06083890493</v>
      </c>
      <c r="G74" s="151">
        <f t="shared" ca="1" si="3"/>
        <v>53594.260966506379</v>
      </c>
      <c r="H74" s="151">
        <f ca="1">'HUD - Snapshot'!$K$10/12*D73</f>
        <v>12621.253041945249</v>
      </c>
      <c r="I74" s="151">
        <f t="shared" ca="1" si="4"/>
        <v>318640.57484735653</v>
      </c>
      <c r="J74" s="162"/>
      <c r="K74" s="152"/>
      <c r="L74" s="152"/>
      <c r="Q74"/>
      <c r="R74"/>
      <c r="S74"/>
      <c r="T74"/>
      <c r="U74"/>
      <c r="V74"/>
      <c r="W74"/>
      <c r="X74"/>
      <c r="Y74"/>
      <c r="Z74"/>
      <c r="AA74"/>
      <c r="AB74"/>
      <c r="AC74"/>
      <c r="AD74"/>
      <c r="AE74"/>
      <c r="AF74"/>
      <c r="AG74"/>
      <c r="AH74"/>
      <c r="AI74"/>
      <c r="AJ74"/>
      <c r="AK74"/>
      <c r="AL74"/>
      <c r="AM74"/>
      <c r="AN74"/>
      <c r="AO74"/>
      <c r="AP74"/>
      <c r="AQ74"/>
    </row>
    <row r="75" spans="1:44" s="150" customFormat="1" ht="15">
      <c r="B75" s="150">
        <v>63</v>
      </c>
      <c r="C75" s="153">
        <v>46447</v>
      </c>
      <c r="D75" s="151">
        <f t="shared" ca="1" si="0"/>
        <v>60474602.769983478</v>
      </c>
      <c r="E75" s="151">
        <f t="shared" ca="1" si="1"/>
        <v>306019.32180541131</v>
      </c>
      <c r="F75" s="151">
        <f t="shared" ca="1" si="2"/>
        <v>252201.75141821115</v>
      </c>
      <c r="G75" s="151">
        <f t="shared" ca="1" si="3"/>
        <v>53817.570387200161</v>
      </c>
      <c r="H75" s="151">
        <f ca="1">'HUD - Snapshot'!$K$10/12*D74</f>
        <v>12610.087570910558</v>
      </c>
      <c r="I75" s="151">
        <f t="shared" ca="1" si="4"/>
        <v>318629.40937632188</v>
      </c>
      <c r="J75" s="162"/>
      <c r="K75" s="152"/>
      <c r="L75" s="152"/>
      <c r="Q75"/>
      <c r="R75"/>
      <c r="S75"/>
      <c r="T75"/>
      <c r="U75"/>
      <c r="V75"/>
      <c r="W75"/>
      <c r="X75"/>
      <c r="Y75"/>
      <c r="Z75"/>
      <c r="AA75"/>
      <c r="AB75"/>
      <c r="AC75"/>
      <c r="AD75"/>
      <c r="AE75"/>
      <c r="AF75"/>
      <c r="AG75"/>
      <c r="AH75"/>
      <c r="AI75"/>
      <c r="AJ75"/>
      <c r="AK75"/>
      <c r="AL75"/>
      <c r="AM75"/>
      <c r="AN75"/>
      <c r="AO75"/>
      <c r="AP75"/>
      <c r="AQ75"/>
    </row>
    <row r="76" spans="1:44" s="150" customFormat="1" ht="15">
      <c r="B76" s="150">
        <v>64</v>
      </c>
      <c r="C76" s="153">
        <v>46478</v>
      </c>
      <c r="D76" s="151">
        <f t="shared" ca="1" si="0"/>
        <v>60420560.959719665</v>
      </c>
      <c r="E76" s="151">
        <f t="shared" ca="1" si="1"/>
        <v>306019.32180541131</v>
      </c>
      <c r="F76" s="151">
        <f t="shared" ca="1" si="2"/>
        <v>251977.51154159781</v>
      </c>
      <c r="G76" s="151">
        <f t="shared" ca="1" si="3"/>
        <v>54041.810263813502</v>
      </c>
      <c r="H76" s="151">
        <f ca="1">'HUD - Snapshot'!$K$10/12*D75</f>
        <v>12598.875577079893</v>
      </c>
      <c r="I76" s="151">
        <f t="shared" ca="1" si="4"/>
        <v>318618.1973824912</v>
      </c>
      <c r="J76" s="162"/>
      <c r="K76" s="152"/>
      <c r="L76" s="152"/>
      <c r="Q76"/>
      <c r="R76"/>
      <c r="S76"/>
      <c r="T76"/>
      <c r="U76"/>
      <c r="V76"/>
      <c r="W76"/>
      <c r="X76"/>
      <c r="Y76"/>
      <c r="Z76"/>
      <c r="AA76"/>
      <c r="AB76"/>
      <c r="AC76"/>
      <c r="AD76"/>
      <c r="AE76"/>
      <c r="AF76"/>
      <c r="AG76"/>
      <c r="AH76"/>
      <c r="AI76"/>
      <c r="AJ76"/>
      <c r="AK76"/>
      <c r="AL76"/>
      <c r="AM76"/>
      <c r="AN76"/>
      <c r="AO76"/>
      <c r="AP76"/>
      <c r="AQ76"/>
    </row>
    <row r="77" spans="1:44" s="150" customFormat="1" ht="15">
      <c r="B77" s="150">
        <v>65</v>
      </c>
      <c r="C77" s="153">
        <v>46508</v>
      </c>
      <c r="D77" s="151">
        <f t="shared" ref="D77:D140" ca="1" si="11">D76-G77</f>
        <v>60366293.975246422</v>
      </c>
      <c r="E77" s="151">
        <f t="shared" ref="E77:E140" ca="1" si="12">$D$9</f>
        <v>306019.32180541131</v>
      </c>
      <c r="F77" s="151">
        <f t="shared" ref="F77:F140" ca="1" si="13">$D$8/12*D76</f>
        <v>251752.33733216528</v>
      </c>
      <c r="G77" s="151">
        <f t="shared" ref="G77:G140" ca="1" si="14">E77-F77</f>
        <v>54266.984473246033</v>
      </c>
      <c r="H77" s="151">
        <f ca="1">'HUD - Snapshot'!$K$10/12*D76</f>
        <v>12587.616866608265</v>
      </c>
      <c r="I77" s="151">
        <f t="shared" ref="I77:I140" ca="1" si="15">SUM(F77:H77)</f>
        <v>318606.93867201958</v>
      </c>
      <c r="J77" s="162"/>
      <c r="K77" s="152"/>
      <c r="L77" s="152"/>
      <c r="Q77"/>
      <c r="R77"/>
      <c r="S77"/>
      <c r="T77"/>
      <c r="U77"/>
      <c r="V77"/>
      <c r="W77"/>
      <c r="X77"/>
      <c r="Y77"/>
      <c r="Z77"/>
      <c r="AA77"/>
      <c r="AB77"/>
      <c r="AC77"/>
      <c r="AD77"/>
      <c r="AE77"/>
      <c r="AF77"/>
      <c r="AG77"/>
      <c r="AH77"/>
      <c r="AI77"/>
      <c r="AJ77"/>
      <c r="AK77"/>
      <c r="AL77"/>
      <c r="AM77"/>
      <c r="AN77"/>
      <c r="AO77"/>
      <c r="AP77"/>
      <c r="AQ77"/>
    </row>
    <row r="78" spans="1:44" s="150" customFormat="1" ht="15">
      <c r="B78" s="150">
        <v>66</v>
      </c>
      <c r="C78" s="153">
        <v>46539</v>
      </c>
      <c r="D78" s="151">
        <f t="shared" ca="1" si="11"/>
        <v>60311800.878337868</v>
      </c>
      <c r="E78" s="151">
        <f t="shared" ca="1" si="12"/>
        <v>306019.32180541131</v>
      </c>
      <c r="F78" s="151">
        <f t="shared" ca="1" si="13"/>
        <v>251526.22489686008</v>
      </c>
      <c r="G78" s="151">
        <f t="shared" ca="1" si="14"/>
        <v>54493.096908551233</v>
      </c>
      <c r="H78" s="151">
        <f ca="1">'HUD - Snapshot'!$K$10/12*D77</f>
        <v>12576.311244843006</v>
      </c>
      <c r="I78" s="151">
        <f t="shared" ca="1" si="15"/>
        <v>318595.63305025431</v>
      </c>
      <c r="J78" s="162"/>
      <c r="K78" s="152"/>
      <c r="L78" s="152"/>
      <c r="Q78"/>
      <c r="R78"/>
      <c r="S78"/>
      <c r="T78"/>
      <c r="U78"/>
      <c r="V78"/>
      <c r="W78"/>
      <c r="X78"/>
      <c r="Y78"/>
      <c r="Z78"/>
      <c r="AA78"/>
      <c r="AB78"/>
      <c r="AC78"/>
      <c r="AD78"/>
      <c r="AE78"/>
      <c r="AF78"/>
      <c r="AG78"/>
      <c r="AH78"/>
      <c r="AI78"/>
      <c r="AJ78"/>
      <c r="AK78"/>
      <c r="AL78"/>
      <c r="AM78"/>
      <c r="AN78"/>
      <c r="AO78"/>
      <c r="AP78"/>
      <c r="AQ78"/>
    </row>
    <row r="79" spans="1:44" s="150" customFormat="1" ht="15">
      <c r="B79" s="150">
        <v>67</v>
      </c>
      <c r="C79" s="153">
        <v>46569</v>
      </c>
      <c r="D79" s="151">
        <f t="shared" ca="1" si="11"/>
        <v>60257080.726858862</v>
      </c>
      <c r="E79" s="151">
        <f t="shared" ca="1" si="12"/>
        <v>306019.32180541131</v>
      </c>
      <c r="F79" s="151">
        <f t="shared" ca="1" si="13"/>
        <v>251299.17032640777</v>
      </c>
      <c r="G79" s="151">
        <f t="shared" ca="1" si="14"/>
        <v>54720.151479003543</v>
      </c>
      <c r="H79" s="151">
        <f ca="1">'HUD - Snapshot'!$K$10/12*D78</f>
        <v>12564.95851632039</v>
      </c>
      <c r="I79" s="151">
        <f t="shared" ca="1" si="15"/>
        <v>318584.2803217317</v>
      </c>
      <c r="J79" s="162"/>
      <c r="K79" s="152"/>
      <c r="L79" s="152"/>
      <c r="Q79"/>
      <c r="R79"/>
      <c r="S79"/>
      <c r="T79"/>
      <c r="U79"/>
      <c r="V79"/>
      <c r="W79"/>
      <c r="X79"/>
      <c r="Y79"/>
      <c r="Z79"/>
      <c r="AA79"/>
      <c r="AB79"/>
      <c r="AC79"/>
      <c r="AD79"/>
      <c r="AE79"/>
      <c r="AF79"/>
      <c r="AG79"/>
      <c r="AH79"/>
      <c r="AI79"/>
      <c r="AJ79"/>
      <c r="AK79"/>
      <c r="AL79"/>
      <c r="AM79"/>
      <c r="AN79"/>
      <c r="AO79"/>
      <c r="AP79"/>
      <c r="AQ79"/>
    </row>
    <row r="80" spans="1:44" s="150" customFormat="1" ht="15">
      <c r="B80" s="150">
        <v>68</v>
      </c>
      <c r="C80" s="153">
        <v>46600</v>
      </c>
      <c r="D80" s="151">
        <f t="shared" ca="1" si="11"/>
        <v>60202132.574748695</v>
      </c>
      <c r="E80" s="151">
        <f t="shared" ca="1" si="12"/>
        <v>306019.32180541131</v>
      </c>
      <c r="F80" s="151">
        <f t="shared" ca="1" si="13"/>
        <v>251071.16969524525</v>
      </c>
      <c r="G80" s="151">
        <f t="shared" ca="1" si="14"/>
        <v>54948.152110166062</v>
      </c>
      <c r="H80" s="151">
        <f ca="1">'HUD - Snapshot'!$K$10/12*D79</f>
        <v>12553.558484762263</v>
      </c>
      <c r="I80" s="151">
        <f t="shared" ca="1" si="15"/>
        <v>318572.88029017358</v>
      </c>
      <c r="J80" s="162"/>
      <c r="K80" s="152"/>
      <c r="L80" s="152"/>
      <c r="Q80"/>
      <c r="R80"/>
      <c r="S80"/>
      <c r="T80"/>
      <c r="U80"/>
      <c r="V80"/>
      <c r="W80"/>
      <c r="X80"/>
      <c r="Y80"/>
      <c r="Z80"/>
      <c r="AA80"/>
      <c r="AB80"/>
      <c r="AC80"/>
      <c r="AD80"/>
      <c r="AE80"/>
      <c r="AF80"/>
      <c r="AG80"/>
      <c r="AH80"/>
      <c r="AI80"/>
      <c r="AJ80"/>
      <c r="AK80"/>
      <c r="AL80"/>
      <c r="AM80"/>
      <c r="AN80"/>
      <c r="AO80"/>
      <c r="AP80"/>
      <c r="AQ80"/>
    </row>
    <row r="81" spans="1:44" s="150" customFormat="1" ht="15">
      <c r="B81" s="150">
        <v>69</v>
      </c>
      <c r="C81" s="153">
        <v>46631</v>
      </c>
      <c r="D81" s="151">
        <f t="shared" ca="1" si="11"/>
        <v>60146955.472004734</v>
      </c>
      <c r="E81" s="151">
        <f t="shared" ca="1" si="12"/>
        <v>306019.32180541131</v>
      </c>
      <c r="F81" s="151">
        <f t="shared" ca="1" si="13"/>
        <v>250842.2190614529</v>
      </c>
      <c r="G81" s="151">
        <f t="shared" ca="1" si="14"/>
        <v>55177.102743958414</v>
      </c>
      <c r="H81" s="151">
        <f ca="1">'HUD - Snapshot'!$K$10/12*D80</f>
        <v>12542.110953072646</v>
      </c>
      <c r="I81" s="151">
        <f t="shared" ca="1" si="15"/>
        <v>318561.43275848398</v>
      </c>
      <c r="J81" s="162"/>
      <c r="K81" s="152"/>
      <c r="L81" s="152"/>
      <c r="Q81"/>
      <c r="R81"/>
      <c r="S81"/>
      <c r="T81"/>
      <c r="U81"/>
      <c r="V81"/>
      <c r="W81"/>
      <c r="X81"/>
      <c r="Y81"/>
      <c r="Z81"/>
      <c r="AA81"/>
      <c r="AB81"/>
      <c r="AC81"/>
      <c r="AD81"/>
      <c r="AE81"/>
      <c r="AF81"/>
      <c r="AG81"/>
      <c r="AH81"/>
      <c r="AI81"/>
      <c r="AJ81"/>
      <c r="AK81"/>
      <c r="AL81"/>
      <c r="AM81"/>
      <c r="AN81"/>
      <c r="AO81"/>
      <c r="AP81"/>
      <c r="AQ81"/>
    </row>
    <row r="82" spans="1:44" s="150" customFormat="1" ht="15">
      <c r="B82" s="150">
        <v>70</v>
      </c>
      <c r="C82" s="153">
        <v>46661</v>
      </c>
      <c r="D82" s="151">
        <f t="shared" ca="1" si="11"/>
        <v>60091548.464666009</v>
      </c>
      <c r="E82" s="151">
        <f t="shared" ca="1" si="12"/>
        <v>306019.32180541131</v>
      </c>
      <c r="F82" s="151">
        <f t="shared" ca="1" si="13"/>
        <v>250612.3144666864</v>
      </c>
      <c r="G82" s="151">
        <f t="shared" ca="1" si="14"/>
        <v>55407.007338724914</v>
      </c>
      <c r="H82" s="151">
        <f ca="1">'HUD - Snapshot'!$K$10/12*D81</f>
        <v>12530.61572333432</v>
      </c>
      <c r="I82" s="151">
        <f t="shared" ca="1" si="15"/>
        <v>318549.93752874562</v>
      </c>
      <c r="J82" s="162"/>
      <c r="K82" s="152"/>
      <c r="L82" s="152"/>
      <c r="Q82"/>
      <c r="R82"/>
      <c r="S82"/>
      <c r="T82"/>
      <c r="U82"/>
      <c r="V82"/>
      <c r="W82"/>
      <c r="X82"/>
      <c r="Y82"/>
      <c r="Z82"/>
      <c r="AA82"/>
      <c r="AB82"/>
      <c r="AC82"/>
      <c r="AD82"/>
      <c r="AE82"/>
      <c r="AF82"/>
      <c r="AG82"/>
      <c r="AH82"/>
      <c r="AI82"/>
      <c r="AJ82"/>
      <c r="AK82"/>
      <c r="AL82"/>
      <c r="AM82"/>
      <c r="AN82"/>
      <c r="AO82"/>
      <c r="AP82"/>
      <c r="AQ82"/>
    </row>
    <row r="83" spans="1:44" s="150" customFormat="1" ht="15">
      <c r="B83" s="150">
        <v>71</v>
      </c>
      <c r="C83" s="153">
        <v>46692</v>
      </c>
      <c r="D83" s="151">
        <f t="shared" ca="1" si="11"/>
        <v>60035910.59479671</v>
      </c>
      <c r="E83" s="151">
        <f t="shared" ca="1" si="12"/>
        <v>306019.32180541131</v>
      </c>
      <c r="F83" s="151">
        <f t="shared" ca="1" si="13"/>
        <v>250381.45193610838</v>
      </c>
      <c r="G83" s="151">
        <f t="shared" ca="1" si="14"/>
        <v>55637.869869302929</v>
      </c>
      <c r="H83" s="151">
        <f ca="1">'HUD - Snapshot'!$K$10/12*D82</f>
        <v>12519.072596805419</v>
      </c>
      <c r="I83" s="151">
        <f t="shared" ca="1" si="15"/>
        <v>318538.39440221671</v>
      </c>
      <c r="J83" s="162"/>
      <c r="K83" s="152"/>
      <c r="L83" s="152"/>
      <c r="Q83"/>
      <c r="R83"/>
      <c r="S83"/>
      <c r="T83"/>
      <c r="U83"/>
      <c r="V83"/>
      <c r="W83"/>
      <c r="X83"/>
      <c r="Y83"/>
      <c r="Z83"/>
      <c r="AA83"/>
      <c r="AB83"/>
      <c r="AC83"/>
      <c r="AD83"/>
      <c r="AE83"/>
      <c r="AF83"/>
      <c r="AG83"/>
      <c r="AH83"/>
      <c r="AI83"/>
      <c r="AJ83"/>
      <c r="AK83"/>
      <c r="AL83"/>
      <c r="AM83"/>
      <c r="AN83"/>
      <c r="AO83"/>
      <c r="AP83"/>
      <c r="AQ83"/>
      <c r="AR83" s="159">
        <f t="shared" ref="AR83" si="16">SUM(AL72:AL83)</f>
        <v>0</v>
      </c>
    </row>
    <row r="84" spans="1:44" s="150" customFormat="1" ht="15">
      <c r="A84" s="150" t="s">
        <v>597</v>
      </c>
      <c r="B84" s="157">
        <v>72</v>
      </c>
      <c r="C84" s="158">
        <v>46722</v>
      </c>
      <c r="D84" s="159">
        <f t="shared" ca="1" si="11"/>
        <v>59980040.900469616</v>
      </c>
      <c r="E84" s="159">
        <f t="shared" ca="1" si="12"/>
        <v>306019.32180541131</v>
      </c>
      <c r="F84" s="159">
        <f t="shared" ca="1" si="13"/>
        <v>250149.62747831963</v>
      </c>
      <c r="G84" s="159">
        <f t="shared" ca="1" si="14"/>
        <v>55869.694327091682</v>
      </c>
      <c r="H84" s="159">
        <f ca="1">'HUD - Snapshot'!$K$10/12*D83</f>
        <v>12507.481373915982</v>
      </c>
      <c r="I84" s="159">
        <f t="shared" ca="1" si="15"/>
        <v>318526.80317932728</v>
      </c>
      <c r="J84" s="162"/>
      <c r="K84" s="159">
        <f ca="1">SUM(I73:I84)</f>
        <v>3823076.1757977582</v>
      </c>
      <c r="L84" s="159">
        <f ca="1">SUM(F73:F84)</f>
        <v>3016886.2826564522</v>
      </c>
      <c r="M84" s="159">
        <f t="shared" ref="M84:N84" ca="1" si="17">SUM(G73:G84)</f>
        <v>655345.57900848414</v>
      </c>
      <c r="N84" s="159">
        <f t="shared" ca="1" si="17"/>
        <v>150844.31413282259</v>
      </c>
      <c r="Q84"/>
      <c r="R84"/>
      <c r="S84"/>
      <c r="T84"/>
      <c r="U84"/>
      <c r="V84"/>
      <c r="W84"/>
      <c r="X84"/>
      <c r="Y84"/>
      <c r="Z84"/>
      <c r="AA84"/>
      <c r="AB84"/>
      <c r="AC84"/>
      <c r="AD84"/>
      <c r="AE84"/>
      <c r="AF84"/>
      <c r="AG84"/>
      <c r="AH84"/>
      <c r="AI84"/>
      <c r="AJ84"/>
      <c r="AK84"/>
      <c r="AL84"/>
      <c r="AM84"/>
      <c r="AN84"/>
      <c r="AO84"/>
      <c r="AP84"/>
      <c r="AQ84"/>
    </row>
    <row r="85" spans="1:44" s="150" customFormat="1" ht="15">
      <c r="B85" s="150">
        <v>73</v>
      </c>
      <c r="C85" s="153">
        <v>46753</v>
      </c>
      <c r="D85" s="151">
        <f t="shared" ca="1" si="11"/>
        <v>59923938.415749498</v>
      </c>
      <c r="E85" s="151">
        <f t="shared" ca="1" si="12"/>
        <v>306019.32180541131</v>
      </c>
      <c r="F85" s="151">
        <f t="shared" ca="1" si="13"/>
        <v>249916.83708529006</v>
      </c>
      <c r="G85" s="151">
        <f t="shared" ca="1" si="14"/>
        <v>56102.484720121254</v>
      </c>
      <c r="H85" s="151">
        <f ca="1">'HUD - Snapshot'!$K$10/12*D84</f>
        <v>12495.841854264505</v>
      </c>
      <c r="I85" s="151">
        <f t="shared" ca="1" si="15"/>
        <v>318515.1636596758</v>
      </c>
      <c r="J85" s="162"/>
      <c r="K85" s="152"/>
      <c r="L85" s="152"/>
      <c r="Q85"/>
      <c r="R85"/>
      <c r="S85"/>
      <c r="T85"/>
      <c r="U85"/>
      <c r="V85"/>
      <c r="W85"/>
      <c r="X85"/>
      <c r="Y85"/>
      <c r="Z85"/>
      <c r="AA85"/>
      <c r="AB85"/>
      <c r="AC85"/>
      <c r="AD85"/>
      <c r="AE85"/>
      <c r="AF85"/>
      <c r="AG85"/>
      <c r="AH85"/>
      <c r="AI85"/>
      <c r="AJ85"/>
      <c r="AK85"/>
      <c r="AL85"/>
      <c r="AM85"/>
      <c r="AN85"/>
      <c r="AO85"/>
      <c r="AP85"/>
      <c r="AQ85"/>
    </row>
    <row r="86" spans="1:44" s="150" customFormat="1" ht="15">
      <c r="B86" s="150">
        <v>74</v>
      </c>
      <c r="C86" s="153">
        <v>46784</v>
      </c>
      <c r="D86" s="151">
        <f t="shared" ca="1" si="11"/>
        <v>59867602.170676373</v>
      </c>
      <c r="E86" s="151">
        <f t="shared" ca="1" si="12"/>
        <v>306019.32180541131</v>
      </c>
      <c r="F86" s="151">
        <f t="shared" ca="1" si="13"/>
        <v>249683.07673228957</v>
      </c>
      <c r="G86" s="151">
        <f t="shared" ca="1" si="14"/>
        <v>56336.24507312174</v>
      </c>
      <c r="H86" s="151">
        <f ca="1">'HUD - Snapshot'!$K$10/12*D85</f>
        <v>12484.15383661448</v>
      </c>
      <c r="I86" s="151">
        <f t="shared" ca="1" si="15"/>
        <v>318503.47564202576</v>
      </c>
      <c r="J86" s="162"/>
      <c r="K86" s="152"/>
      <c r="L86" s="152"/>
      <c r="Q86"/>
      <c r="R86"/>
      <c r="S86"/>
      <c r="T86"/>
      <c r="U86"/>
      <c r="V86"/>
      <c r="W86"/>
      <c r="X86"/>
      <c r="Y86"/>
      <c r="Z86"/>
      <c r="AA86"/>
      <c r="AB86"/>
      <c r="AC86"/>
      <c r="AD86"/>
      <c r="AE86"/>
      <c r="AF86"/>
      <c r="AG86"/>
      <c r="AH86"/>
      <c r="AI86"/>
      <c r="AJ86"/>
      <c r="AK86"/>
      <c r="AL86"/>
      <c r="AM86"/>
      <c r="AN86"/>
      <c r="AO86"/>
      <c r="AP86"/>
      <c r="AQ86"/>
    </row>
    <row r="87" spans="1:44" s="150" customFormat="1" ht="15">
      <c r="B87" s="150">
        <v>75</v>
      </c>
      <c r="C87" s="153">
        <v>46813</v>
      </c>
      <c r="D87" s="151">
        <f t="shared" ca="1" si="11"/>
        <v>59811031.191248782</v>
      </c>
      <c r="E87" s="151">
        <f t="shared" ca="1" si="12"/>
        <v>306019.32180541131</v>
      </c>
      <c r="F87" s="151">
        <f t="shared" ca="1" si="13"/>
        <v>249448.34237781822</v>
      </c>
      <c r="G87" s="151">
        <f t="shared" ca="1" si="14"/>
        <v>56570.979427593091</v>
      </c>
      <c r="H87" s="151">
        <f ca="1">'HUD - Snapshot'!$K$10/12*D86</f>
        <v>12472.417118890911</v>
      </c>
      <c r="I87" s="151">
        <f t="shared" ca="1" si="15"/>
        <v>318491.73892430222</v>
      </c>
      <c r="J87" s="162"/>
      <c r="K87" s="152"/>
      <c r="L87" s="152"/>
      <c r="Q87"/>
      <c r="R87"/>
      <c r="S87"/>
      <c r="T87"/>
      <c r="U87"/>
      <c r="V87"/>
      <c r="W87"/>
      <c r="X87"/>
      <c r="Y87"/>
      <c r="Z87"/>
      <c r="AA87"/>
      <c r="AB87"/>
      <c r="AC87"/>
      <c r="AD87"/>
      <c r="AE87"/>
      <c r="AF87"/>
      <c r="AG87"/>
      <c r="AH87"/>
      <c r="AI87"/>
      <c r="AJ87"/>
      <c r="AK87"/>
      <c r="AL87"/>
      <c r="AM87"/>
      <c r="AN87"/>
      <c r="AO87"/>
      <c r="AP87"/>
      <c r="AQ87"/>
    </row>
    <row r="88" spans="1:44" s="150" customFormat="1" ht="15">
      <c r="B88" s="150">
        <v>76</v>
      </c>
      <c r="C88" s="153">
        <v>46844</v>
      </c>
      <c r="D88" s="151">
        <f t="shared" ca="1" si="11"/>
        <v>59754224.499406904</v>
      </c>
      <c r="E88" s="151">
        <f t="shared" ca="1" si="12"/>
        <v>306019.32180541131</v>
      </c>
      <c r="F88" s="151">
        <f t="shared" ca="1" si="13"/>
        <v>249212.6299635366</v>
      </c>
      <c r="G88" s="151">
        <f t="shared" ca="1" si="14"/>
        <v>56806.691841874708</v>
      </c>
      <c r="H88" s="151">
        <f ca="1">'HUD - Snapshot'!$K$10/12*D87</f>
        <v>12460.63149817683</v>
      </c>
      <c r="I88" s="151">
        <f t="shared" ca="1" si="15"/>
        <v>318479.95330358815</v>
      </c>
      <c r="J88" s="162"/>
      <c r="K88" s="152"/>
      <c r="L88" s="152"/>
      <c r="Q88"/>
      <c r="R88"/>
      <c r="S88"/>
      <c r="T88"/>
      <c r="U88"/>
      <c r="V88"/>
      <c r="W88"/>
      <c r="X88"/>
      <c r="Y88"/>
      <c r="Z88"/>
      <c r="AA88"/>
      <c r="AB88"/>
      <c r="AC88"/>
      <c r="AD88"/>
      <c r="AE88"/>
      <c r="AF88"/>
      <c r="AG88"/>
      <c r="AH88"/>
      <c r="AI88"/>
      <c r="AJ88"/>
      <c r="AK88"/>
      <c r="AL88"/>
      <c r="AM88"/>
      <c r="AN88"/>
      <c r="AO88"/>
      <c r="AP88"/>
      <c r="AQ88"/>
    </row>
    <row r="89" spans="1:44" s="150" customFormat="1" ht="15">
      <c r="B89" s="150">
        <v>77</v>
      </c>
      <c r="C89" s="153">
        <v>46874</v>
      </c>
      <c r="D89" s="151">
        <f t="shared" ca="1" si="11"/>
        <v>59697181.113015689</v>
      </c>
      <c r="E89" s="151">
        <f t="shared" ca="1" si="12"/>
        <v>306019.32180541131</v>
      </c>
      <c r="F89" s="151">
        <f t="shared" ca="1" si="13"/>
        <v>248975.93541419544</v>
      </c>
      <c r="G89" s="151">
        <f t="shared" ca="1" si="14"/>
        <v>57043.38639121587</v>
      </c>
      <c r="H89" s="151">
        <f ca="1">'HUD - Snapshot'!$K$10/12*D88</f>
        <v>12448.796770709772</v>
      </c>
      <c r="I89" s="151">
        <f t="shared" ca="1" si="15"/>
        <v>318468.11857612111</v>
      </c>
      <c r="J89" s="162"/>
      <c r="K89" s="152"/>
      <c r="L89" s="152"/>
      <c r="Q89"/>
      <c r="R89"/>
      <c r="S89"/>
      <c r="T89"/>
      <c r="U89"/>
      <c r="V89"/>
      <c r="W89"/>
      <c r="X89"/>
      <c r="Y89"/>
      <c r="Z89"/>
      <c r="AA89"/>
      <c r="AB89"/>
      <c r="AC89"/>
      <c r="AD89"/>
      <c r="AE89"/>
      <c r="AF89"/>
      <c r="AG89"/>
      <c r="AH89"/>
      <c r="AI89"/>
      <c r="AJ89"/>
      <c r="AK89"/>
      <c r="AL89"/>
      <c r="AM89"/>
      <c r="AN89"/>
      <c r="AO89"/>
      <c r="AP89"/>
      <c r="AQ89"/>
    </row>
    <row r="90" spans="1:44" s="150" customFormat="1" ht="15">
      <c r="B90" s="150">
        <v>78</v>
      </c>
      <c r="C90" s="153">
        <v>46905</v>
      </c>
      <c r="D90" s="151">
        <f t="shared" ca="1" si="11"/>
        <v>59639900.045847841</v>
      </c>
      <c r="E90" s="151">
        <f t="shared" ca="1" si="12"/>
        <v>306019.32180541131</v>
      </c>
      <c r="F90" s="151">
        <f t="shared" ca="1" si="13"/>
        <v>248738.25463756538</v>
      </c>
      <c r="G90" s="151">
        <f t="shared" ca="1" si="14"/>
        <v>57281.067167845933</v>
      </c>
      <c r="H90" s="151">
        <f ca="1">'HUD - Snapshot'!$K$10/12*D89</f>
        <v>12436.912731878268</v>
      </c>
      <c r="I90" s="151">
        <f t="shared" ca="1" si="15"/>
        <v>318456.23453728959</v>
      </c>
      <c r="J90" s="162"/>
      <c r="K90" s="152"/>
      <c r="L90" s="152"/>
      <c r="Q90"/>
      <c r="R90"/>
      <c r="S90"/>
      <c r="T90"/>
      <c r="U90"/>
      <c r="V90"/>
      <c r="W90"/>
      <c r="X90"/>
      <c r="Y90"/>
      <c r="Z90"/>
      <c r="AA90"/>
      <c r="AB90"/>
      <c r="AC90"/>
      <c r="AD90"/>
      <c r="AE90"/>
      <c r="AF90"/>
      <c r="AG90"/>
      <c r="AH90"/>
      <c r="AI90"/>
      <c r="AJ90"/>
      <c r="AK90"/>
      <c r="AL90"/>
      <c r="AM90"/>
      <c r="AN90"/>
      <c r="AO90"/>
      <c r="AP90"/>
      <c r="AQ90"/>
    </row>
    <row r="91" spans="1:44" s="150" customFormat="1" ht="15">
      <c r="B91" s="150">
        <v>79</v>
      </c>
      <c r="C91" s="153">
        <v>46935</v>
      </c>
      <c r="D91" s="151">
        <f t="shared" ca="1" si="11"/>
        <v>59582380.307566792</v>
      </c>
      <c r="E91" s="151">
        <f t="shared" ca="1" si="12"/>
        <v>306019.32180541131</v>
      </c>
      <c r="F91" s="151">
        <f t="shared" ca="1" si="13"/>
        <v>248499.583524366</v>
      </c>
      <c r="G91" s="151">
        <f t="shared" ca="1" si="14"/>
        <v>57519.738281045313</v>
      </c>
      <c r="H91" s="151">
        <f ca="1">'HUD - Snapshot'!$K$10/12*D90</f>
        <v>12424.979176218301</v>
      </c>
      <c r="I91" s="151">
        <f t="shared" ca="1" si="15"/>
        <v>318444.30098162964</v>
      </c>
      <c r="J91" s="162"/>
      <c r="K91" s="152"/>
      <c r="L91" s="152"/>
      <c r="Q91"/>
      <c r="R91"/>
      <c r="S91"/>
      <c r="T91"/>
      <c r="U91"/>
      <c r="V91"/>
      <c r="W91"/>
      <c r="X91"/>
      <c r="Y91"/>
      <c r="Z91"/>
      <c r="AA91"/>
      <c r="AB91"/>
      <c r="AC91"/>
      <c r="AD91"/>
      <c r="AE91"/>
      <c r="AF91"/>
      <c r="AG91"/>
      <c r="AH91"/>
      <c r="AI91"/>
      <c r="AJ91"/>
      <c r="AK91"/>
      <c r="AL91"/>
      <c r="AM91"/>
      <c r="AN91"/>
      <c r="AO91"/>
      <c r="AP91"/>
      <c r="AQ91"/>
    </row>
    <row r="92" spans="1:44" s="150" customFormat="1" ht="15">
      <c r="B92" s="150">
        <v>80</v>
      </c>
      <c r="C92" s="153">
        <v>46966</v>
      </c>
      <c r="D92" s="151">
        <f t="shared" ca="1" si="11"/>
        <v>59524620.903709576</v>
      </c>
      <c r="E92" s="151">
        <f t="shared" ca="1" si="12"/>
        <v>306019.32180541131</v>
      </c>
      <c r="F92" s="151">
        <f t="shared" ca="1" si="13"/>
        <v>248259.91794819495</v>
      </c>
      <c r="G92" s="151">
        <f t="shared" ca="1" si="14"/>
        <v>57759.403857216355</v>
      </c>
      <c r="H92" s="151">
        <f ca="1">'HUD - Snapshot'!$K$10/12*D91</f>
        <v>12412.99589740975</v>
      </c>
      <c r="I92" s="151">
        <f t="shared" ca="1" si="15"/>
        <v>318432.31770282105</v>
      </c>
      <c r="J92" s="162"/>
      <c r="K92" s="152"/>
      <c r="L92" s="152"/>
      <c r="Q92"/>
      <c r="R92"/>
      <c r="S92"/>
      <c r="T92"/>
      <c r="U92"/>
      <c r="V92"/>
      <c r="W92"/>
      <c r="X92"/>
      <c r="Y92"/>
      <c r="Z92"/>
      <c r="AA92"/>
      <c r="AB92"/>
      <c r="AC92"/>
      <c r="AD92"/>
      <c r="AE92"/>
      <c r="AF92"/>
      <c r="AG92"/>
      <c r="AH92"/>
      <c r="AI92"/>
      <c r="AJ92"/>
      <c r="AK92"/>
      <c r="AL92"/>
      <c r="AM92"/>
      <c r="AN92"/>
      <c r="AO92"/>
      <c r="AP92"/>
      <c r="AQ92"/>
    </row>
    <row r="93" spans="1:44" s="150" customFormat="1" ht="15">
      <c r="B93" s="150">
        <v>81</v>
      </c>
      <c r="C93" s="153">
        <v>46997</v>
      </c>
      <c r="D93" s="151">
        <f t="shared" ca="1" si="11"/>
        <v>59466620.835669622</v>
      </c>
      <c r="E93" s="151">
        <f t="shared" ca="1" si="12"/>
        <v>306019.32180541131</v>
      </c>
      <c r="F93" s="151">
        <f t="shared" ca="1" si="13"/>
        <v>248019.25376545655</v>
      </c>
      <c r="G93" s="151">
        <f t="shared" ca="1" si="14"/>
        <v>58000.068039954756</v>
      </c>
      <c r="H93" s="151">
        <f ca="1">'HUD - Snapshot'!$K$10/12*D92</f>
        <v>12400.96268827283</v>
      </c>
      <c r="I93" s="151">
        <f t="shared" ca="1" si="15"/>
        <v>318420.28449368413</v>
      </c>
      <c r="J93" s="162"/>
      <c r="K93" s="152"/>
      <c r="L93" s="152"/>
      <c r="Q93"/>
      <c r="R93"/>
      <c r="S93"/>
      <c r="T93"/>
      <c r="U93"/>
      <c r="V93"/>
      <c r="W93"/>
      <c r="X93"/>
      <c r="Y93"/>
      <c r="Z93"/>
      <c r="AA93"/>
      <c r="AB93"/>
      <c r="AC93"/>
      <c r="AD93"/>
      <c r="AE93"/>
      <c r="AF93"/>
      <c r="AG93"/>
      <c r="AH93"/>
      <c r="AI93"/>
      <c r="AJ93"/>
      <c r="AK93"/>
      <c r="AL93"/>
      <c r="AM93"/>
      <c r="AN93"/>
      <c r="AO93"/>
      <c r="AP93"/>
      <c r="AQ93"/>
    </row>
    <row r="94" spans="1:44" s="150" customFormat="1" ht="15">
      <c r="B94" s="150">
        <v>82</v>
      </c>
      <c r="C94" s="153">
        <v>47027</v>
      </c>
      <c r="D94" s="151">
        <f t="shared" ca="1" si="11"/>
        <v>59408379.100679502</v>
      </c>
      <c r="E94" s="151">
        <f t="shared" ca="1" si="12"/>
        <v>306019.32180541131</v>
      </c>
      <c r="F94" s="151">
        <f t="shared" ca="1" si="13"/>
        <v>247777.58681529009</v>
      </c>
      <c r="G94" s="151">
        <f t="shared" ca="1" si="14"/>
        <v>58241.734990121215</v>
      </c>
      <c r="H94" s="151">
        <f ca="1">'HUD - Snapshot'!$K$10/12*D93</f>
        <v>12388.879340764506</v>
      </c>
      <c r="I94" s="151">
        <f t="shared" ca="1" si="15"/>
        <v>318408.20114617579</v>
      </c>
      <c r="J94" s="162"/>
      <c r="K94" s="152"/>
      <c r="L94" s="152"/>
      <c r="Q94"/>
      <c r="R94"/>
      <c r="S94"/>
      <c r="T94"/>
      <c r="U94"/>
      <c r="V94"/>
      <c r="W94"/>
      <c r="X94"/>
      <c r="Y94"/>
      <c r="Z94"/>
      <c r="AA94"/>
      <c r="AB94"/>
      <c r="AC94"/>
      <c r="AD94"/>
      <c r="AE94"/>
      <c r="AF94"/>
      <c r="AG94"/>
      <c r="AH94"/>
      <c r="AI94"/>
      <c r="AJ94"/>
      <c r="AK94"/>
      <c r="AL94"/>
      <c r="AM94"/>
      <c r="AN94"/>
      <c r="AO94"/>
      <c r="AP94"/>
      <c r="AQ94"/>
    </row>
    <row r="95" spans="1:44" s="150" customFormat="1" ht="15">
      <c r="B95" s="150">
        <v>83</v>
      </c>
      <c r="C95" s="153">
        <v>47058</v>
      </c>
      <c r="D95" s="151">
        <f t="shared" ca="1" si="11"/>
        <v>59349894.691793591</v>
      </c>
      <c r="E95" s="151">
        <f t="shared" ca="1" si="12"/>
        <v>306019.32180541131</v>
      </c>
      <c r="F95" s="151">
        <f t="shared" ca="1" si="13"/>
        <v>247534.91291949793</v>
      </c>
      <c r="G95" s="151">
        <f t="shared" ca="1" si="14"/>
        <v>58484.408885913377</v>
      </c>
      <c r="H95" s="151">
        <f ca="1">'HUD - Snapshot'!$K$10/12*D94</f>
        <v>12376.745645974897</v>
      </c>
      <c r="I95" s="151">
        <f t="shared" ca="1" si="15"/>
        <v>318396.06745138619</v>
      </c>
      <c r="J95" s="162"/>
      <c r="K95" s="152"/>
      <c r="L95" s="152"/>
      <c r="Q95"/>
      <c r="R95"/>
      <c r="S95"/>
      <c r="T95"/>
      <c r="U95"/>
      <c r="V95"/>
      <c r="W95"/>
      <c r="X95"/>
      <c r="Y95"/>
      <c r="Z95"/>
      <c r="AA95"/>
      <c r="AB95"/>
      <c r="AC95"/>
      <c r="AD95"/>
      <c r="AE95"/>
      <c r="AF95"/>
      <c r="AG95"/>
      <c r="AH95"/>
      <c r="AI95"/>
      <c r="AJ95"/>
      <c r="AK95"/>
      <c r="AL95"/>
      <c r="AM95"/>
      <c r="AN95"/>
      <c r="AO95"/>
      <c r="AP95"/>
      <c r="AQ95"/>
      <c r="AR95" s="159">
        <f t="shared" ref="AR95" si="18">SUM(AL84:AL95)</f>
        <v>0</v>
      </c>
    </row>
    <row r="96" spans="1:44" s="150" customFormat="1" ht="15">
      <c r="A96" s="150" t="s">
        <v>598</v>
      </c>
      <c r="B96" s="157">
        <v>84</v>
      </c>
      <c r="C96" s="158">
        <v>47088</v>
      </c>
      <c r="D96" s="159">
        <f t="shared" ca="1" si="11"/>
        <v>59291166.597870655</v>
      </c>
      <c r="E96" s="159">
        <f t="shared" ca="1" si="12"/>
        <v>306019.32180541131</v>
      </c>
      <c r="F96" s="159">
        <f t="shared" ca="1" si="13"/>
        <v>247291.22788247329</v>
      </c>
      <c r="G96" s="159">
        <f t="shared" ca="1" si="14"/>
        <v>58728.093922938016</v>
      </c>
      <c r="H96" s="159">
        <f ca="1">'HUD - Snapshot'!$K$10/12*D95</f>
        <v>12364.561394123666</v>
      </c>
      <c r="I96" s="159">
        <f t="shared" ca="1" si="15"/>
        <v>318383.88319953496</v>
      </c>
      <c r="J96" s="162"/>
      <c r="K96" s="159">
        <f ca="1">SUM(I85:I96)</f>
        <v>3821399.7396182343</v>
      </c>
      <c r="L96" s="159">
        <f ca="1">SUM(F85:F96)</f>
        <v>2983357.5590659743</v>
      </c>
      <c r="M96" s="159">
        <f t="shared" ref="M96:N96" ca="1" si="19">SUM(G85:G96)</f>
        <v>688874.30259896163</v>
      </c>
      <c r="N96" s="159">
        <f t="shared" ca="1" si="19"/>
        <v>149167.87795329874</v>
      </c>
      <c r="Q96"/>
      <c r="R96"/>
      <c r="S96"/>
      <c r="T96"/>
      <c r="U96"/>
      <c r="V96"/>
      <c r="W96"/>
      <c r="X96"/>
      <c r="Y96"/>
      <c r="Z96"/>
      <c r="AA96"/>
      <c r="AB96"/>
      <c r="AC96"/>
      <c r="AD96"/>
      <c r="AE96"/>
      <c r="AF96"/>
      <c r="AG96"/>
      <c r="AH96"/>
      <c r="AI96"/>
      <c r="AJ96"/>
      <c r="AK96"/>
      <c r="AL96"/>
      <c r="AM96"/>
      <c r="AN96"/>
      <c r="AO96"/>
      <c r="AP96"/>
      <c r="AQ96"/>
    </row>
    <row r="97" spans="1:44" s="150" customFormat="1" ht="15">
      <c r="B97" s="150">
        <v>85</v>
      </c>
      <c r="C97" s="153">
        <v>47119</v>
      </c>
      <c r="D97" s="151">
        <f t="shared" ca="1" si="11"/>
        <v>59232193.803556375</v>
      </c>
      <c r="E97" s="151">
        <f t="shared" ca="1" si="12"/>
        <v>306019.32180541131</v>
      </c>
      <c r="F97" s="151">
        <f t="shared" ca="1" si="13"/>
        <v>247046.52749112772</v>
      </c>
      <c r="G97" s="151">
        <f t="shared" ca="1" si="14"/>
        <v>58972.794314283587</v>
      </c>
      <c r="H97" s="151">
        <f ca="1">'HUD - Snapshot'!$K$10/12*D96</f>
        <v>12352.326374556387</v>
      </c>
      <c r="I97" s="151">
        <f t="shared" ca="1" si="15"/>
        <v>318371.64817996771</v>
      </c>
      <c r="J97" s="162"/>
      <c r="K97" s="152"/>
      <c r="L97" s="152"/>
      <c r="Q97"/>
      <c r="R97"/>
      <c r="S97"/>
      <c r="T97"/>
      <c r="U97"/>
      <c r="V97"/>
      <c r="W97"/>
      <c r="X97"/>
      <c r="Y97"/>
      <c r="Z97"/>
      <c r="AA97"/>
      <c r="AB97"/>
      <c r="AC97"/>
      <c r="AD97"/>
      <c r="AE97"/>
      <c r="AF97"/>
      <c r="AG97"/>
      <c r="AH97"/>
      <c r="AI97"/>
      <c r="AJ97"/>
      <c r="AK97"/>
      <c r="AL97"/>
      <c r="AM97"/>
      <c r="AN97"/>
      <c r="AO97"/>
      <c r="AP97"/>
      <c r="AQ97"/>
    </row>
    <row r="98" spans="1:44" s="150" customFormat="1" ht="15">
      <c r="B98" s="150">
        <v>86</v>
      </c>
      <c r="C98" s="153">
        <v>47150</v>
      </c>
      <c r="D98" s="151">
        <f t="shared" ca="1" si="11"/>
        <v>59172975.289265782</v>
      </c>
      <c r="E98" s="151">
        <f t="shared" ca="1" si="12"/>
        <v>306019.32180541131</v>
      </c>
      <c r="F98" s="151">
        <f t="shared" ca="1" si="13"/>
        <v>246800.80751481824</v>
      </c>
      <c r="G98" s="151">
        <f t="shared" ca="1" si="14"/>
        <v>59218.51429059307</v>
      </c>
      <c r="H98" s="151">
        <f ca="1">'HUD - Snapshot'!$K$10/12*D97</f>
        <v>12340.040375740913</v>
      </c>
      <c r="I98" s="151">
        <f t="shared" ca="1" si="15"/>
        <v>318359.36218115222</v>
      </c>
      <c r="J98" s="162"/>
      <c r="K98" s="152"/>
      <c r="L98" s="152"/>
      <c r="Q98"/>
      <c r="R98"/>
      <c r="S98"/>
      <c r="T98"/>
      <c r="U98"/>
      <c r="V98"/>
      <c r="W98"/>
      <c r="X98"/>
      <c r="Y98"/>
      <c r="Z98"/>
      <c r="AA98"/>
      <c r="AB98"/>
      <c r="AC98"/>
      <c r="AD98"/>
      <c r="AE98"/>
      <c r="AF98"/>
      <c r="AG98"/>
      <c r="AH98"/>
      <c r="AI98"/>
      <c r="AJ98"/>
      <c r="AK98"/>
      <c r="AL98"/>
      <c r="AM98"/>
      <c r="AN98"/>
      <c r="AO98"/>
      <c r="AP98"/>
      <c r="AQ98"/>
    </row>
    <row r="99" spans="1:44" s="150" customFormat="1" ht="15">
      <c r="B99" s="150">
        <v>87</v>
      </c>
      <c r="C99" s="153">
        <v>47178</v>
      </c>
      <c r="D99" s="151">
        <f t="shared" ca="1" si="11"/>
        <v>59113510.031165645</v>
      </c>
      <c r="E99" s="151">
        <f t="shared" ca="1" si="12"/>
        <v>306019.32180541131</v>
      </c>
      <c r="F99" s="151">
        <f t="shared" ca="1" si="13"/>
        <v>246554.06370527408</v>
      </c>
      <c r="G99" s="151">
        <f t="shared" ca="1" si="14"/>
        <v>59465.258100137231</v>
      </c>
      <c r="H99" s="151">
        <f ca="1">'HUD - Snapshot'!$K$10/12*D98</f>
        <v>12327.703185263705</v>
      </c>
      <c r="I99" s="151">
        <f t="shared" ca="1" si="15"/>
        <v>318347.02499067504</v>
      </c>
      <c r="J99" s="162"/>
      <c r="K99" s="152"/>
      <c r="L99" s="152"/>
      <c r="Q99"/>
      <c r="R99"/>
      <c r="S99"/>
      <c r="T99"/>
      <c r="U99"/>
      <c r="V99"/>
      <c r="W99"/>
      <c r="X99"/>
      <c r="Y99"/>
      <c r="Z99"/>
      <c r="AA99"/>
      <c r="AB99"/>
      <c r="AC99"/>
      <c r="AD99"/>
      <c r="AE99"/>
      <c r="AF99"/>
      <c r="AG99"/>
      <c r="AH99"/>
      <c r="AI99"/>
      <c r="AJ99"/>
      <c r="AK99"/>
      <c r="AL99"/>
      <c r="AM99"/>
      <c r="AN99"/>
      <c r="AO99"/>
      <c r="AP99"/>
      <c r="AQ99"/>
    </row>
    <row r="100" spans="1:44" s="150" customFormat="1" ht="15">
      <c r="B100" s="150">
        <v>88</v>
      </c>
      <c r="C100" s="153">
        <v>47209</v>
      </c>
      <c r="D100" s="151">
        <f t="shared" ca="1" si="11"/>
        <v>59053797.001156755</v>
      </c>
      <c r="E100" s="151">
        <f t="shared" ca="1" si="12"/>
        <v>306019.32180541131</v>
      </c>
      <c r="F100" s="151">
        <f t="shared" ca="1" si="13"/>
        <v>246306.29179652352</v>
      </c>
      <c r="G100" s="151">
        <f t="shared" ca="1" si="14"/>
        <v>59713.030008887785</v>
      </c>
      <c r="H100" s="151">
        <f ca="1">'HUD - Snapshot'!$K$10/12*D99</f>
        <v>12315.314589826177</v>
      </c>
      <c r="I100" s="151">
        <f t="shared" ca="1" si="15"/>
        <v>318334.63639523747</v>
      </c>
      <c r="J100" s="162"/>
      <c r="K100" s="152"/>
      <c r="L100" s="152"/>
      <c r="Q100"/>
      <c r="R100"/>
      <c r="S100"/>
      <c r="T100"/>
      <c r="U100"/>
      <c r="V100"/>
      <c r="W100"/>
      <c r="X100"/>
      <c r="Y100"/>
      <c r="Z100"/>
      <c r="AA100"/>
      <c r="AB100"/>
      <c r="AC100"/>
      <c r="AD100"/>
      <c r="AE100"/>
      <c r="AF100"/>
      <c r="AG100"/>
      <c r="AH100"/>
      <c r="AI100"/>
      <c r="AJ100"/>
      <c r="AK100"/>
      <c r="AL100"/>
      <c r="AM100"/>
      <c r="AN100"/>
      <c r="AO100"/>
      <c r="AP100"/>
      <c r="AQ100"/>
    </row>
    <row r="101" spans="1:44" s="150" customFormat="1" ht="15">
      <c r="B101" s="150">
        <v>89</v>
      </c>
      <c r="C101" s="153">
        <v>47239</v>
      </c>
      <c r="D101" s="151">
        <f t="shared" ca="1" si="11"/>
        <v>58993835.166856162</v>
      </c>
      <c r="E101" s="151">
        <f t="shared" ca="1" si="12"/>
        <v>306019.32180541131</v>
      </c>
      <c r="F101" s="151">
        <f t="shared" ca="1" si="13"/>
        <v>246057.48750481982</v>
      </c>
      <c r="G101" s="151">
        <f t="shared" ca="1" si="14"/>
        <v>59961.834300591494</v>
      </c>
      <c r="H101" s="151">
        <f ca="1">'HUD - Snapshot'!$K$10/12*D100</f>
        <v>12302.874375240992</v>
      </c>
      <c r="I101" s="151">
        <f t="shared" ca="1" si="15"/>
        <v>318322.1961806523</v>
      </c>
      <c r="J101" s="162"/>
      <c r="K101" s="152"/>
      <c r="L101" s="152"/>
      <c r="Q101"/>
      <c r="R101"/>
      <c r="S101"/>
      <c r="T101"/>
      <c r="U101"/>
      <c r="V101"/>
      <c r="W101"/>
      <c r="X101"/>
      <c r="Y101"/>
      <c r="Z101"/>
      <c r="AA101"/>
      <c r="AB101"/>
      <c r="AC101"/>
      <c r="AD101"/>
      <c r="AE101"/>
      <c r="AF101"/>
      <c r="AG101"/>
      <c r="AH101"/>
      <c r="AI101"/>
      <c r="AJ101"/>
      <c r="AK101"/>
      <c r="AL101"/>
      <c r="AM101"/>
      <c r="AN101"/>
      <c r="AO101"/>
      <c r="AP101"/>
      <c r="AQ101"/>
    </row>
    <row r="102" spans="1:44" s="150" customFormat="1" ht="15">
      <c r="B102" s="150">
        <v>90</v>
      </c>
      <c r="C102" s="153">
        <v>47270</v>
      </c>
      <c r="D102" s="151">
        <f t="shared" ca="1" si="11"/>
        <v>58933623.491579317</v>
      </c>
      <c r="E102" s="151">
        <f t="shared" ca="1" si="12"/>
        <v>306019.32180541131</v>
      </c>
      <c r="F102" s="151">
        <f t="shared" ca="1" si="13"/>
        <v>245807.64652856733</v>
      </c>
      <c r="G102" s="151">
        <f t="shared" ca="1" si="14"/>
        <v>60211.675276843976</v>
      </c>
      <c r="H102" s="151">
        <f ca="1">'HUD - Snapshot'!$K$10/12*D101</f>
        <v>12290.382326428367</v>
      </c>
      <c r="I102" s="151">
        <f t="shared" ca="1" si="15"/>
        <v>318309.70413183968</v>
      </c>
      <c r="J102" s="162"/>
      <c r="K102" s="152"/>
      <c r="L102" s="152"/>
      <c r="Q102"/>
      <c r="R102"/>
      <c r="S102"/>
      <c r="T102"/>
      <c r="U102"/>
      <c r="V102"/>
      <c r="W102"/>
      <c r="X102"/>
      <c r="Y102"/>
      <c r="Z102"/>
      <c r="AA102"/>
      <c r="AB102"/>
      <c r="AC102"/>
      <c r="AD102"/>
      <c r="AE102"/>
      <c r="AF102"/>
      <c r="AG102"/>
      <c r="AH102"/>
      <c r="AI102"/>
      <c r="AJ102"/>
      <c r="AK102"/>
      <c r="AL102"/>
      <c r="AM102"/>
      <c r="AN102"/>
      <c r="AO102"/>
      <c r="AP102"/>
      <c r="AQ102"/>
    </row>
    <row r="103" spans="1:44" s="150" customFormat="1" ht="15">
      <c r="B103" s="150">
        <v>91</v>
      </c>
      <c r="C103" s="153">
        <v>47300</v>
      </c>
      <c r="D103" s="151">
        <f t="shared" ca="1" si="11"/>
        <v>58873160.934322156</v>
      </c>
      <c r="E103" s="151">
        <f t="shared" ca="1" si="12"/>
        <v>306019.32180541131</v>
      </c>
      <c r="F103" s="151">
        <f t="shared" ca="1" si="13"/>
        <v>245556.76454824716</v>
      </c>
      <c r="G103" s="151">
        <f t="shared" ca="1" si="14"/>
        <v>60462.557257164153</v>
      </c>
      <c r="H103" s="151">
        <f ca="1">'HUD - Snapshot'!$K$10/12*D102</f>
        <v>12277.838227412358</v>
      </c>
      <c r="I103" s="151">
        <f t="shared" ca="1" si="15"/>
        <v>318297.16003282368</v>
      </c>
      <c r="J103" s="162"/>
      <c r="K103" s="152"/>
      <c r="L103" s="152"/>
      <c r="Q103"/>
      <c r="R103"/>
      <c r="S103"/>
      <c r="T103"/>
      <c r="U103"/>
      <c r="V103"/>
      <c r="W103"/>
      <c r="X103"/>
      <c r="Y103"/>
      <c r="Z103"/>
      <c r="AA103"/>
      <c r="AB103"/>
      <c r="AC103"/>
      <c r="AD103"/>
      <c r="AE103"/>
      <c r="AF103"/>
      <c r="AG103"/>
      <c r="AH103"/>
      <c r="AI103"/>
      <c r="AJ103"/>
      <c r="AK103"/>
      <c r="AL103"/>
      <c r="AM103"/>
      <c r="AN103"/>
      <c r="AO103"/>
      <c r="AP103"/>
      <c r="AQ103"/>
    </row>
    <row r="104" spans="1:44" s="150" customFormat="1" ht="15">
      <c r="B104" s="150">
        <v>92</v>
      </c>
      <c r="C104" s="153">
        <v>47331</v>
      </c>
      <c r="D104" s="151">
        <f t="shared" ca="1" si="11"/>
        <v>58812446.449743085</v>
      </c>
      <c r="E104" s="151">
        <f t="shared" ca="1" si="12"/>
        <v>306019.32180541131</v>
      </c>
      <c r="F104" s="151">
        <f t="shared" ca="1" si="13"/>
        <v>245304.83722634232</v>
      </c>
      <c r="G104" s="151">
        <f t="shared" ca="1" si="14"/>
        <v>60714.484579068987</v>
      </c>
      <c r="H104" s="151">
        <f ca="1">'HUD - Snapshot'!$K$10/12*D103</f>
        <v>12265.241861317116</v>
      </c>
      <c r="I104" s="151">
        <f t="shared" ca="1" si="15"/>
        <v>318284.56366672844</v>
      </c>
      <c r="J104" s="162"/>
      <c r="K104" s="152"/>
      <c r="L104" s="152"/>
      <c r="Q104"/>
      <c r="R104"/>
      <c r="S104"/>
      <c r="T104"/>
      <c r="U104"/>
      <c r="V104"/>
      <c r="W104"/>
      <c r="X104"/>
      <c r="Y104"/>
      <c r="Z104"/>
      <c r="AA104"/>
      <c r="AB104"/>
      <c r="AC104"/>
      <c r="AD104"/>
      <c r="AE104"/>
      <c r="AF104"/>
      <c r="AG104"/>
      <c r="AH104"/>
      <c r="AI104"/>
      <c r="AJ104"/>
      <c r="AK104"/>
      <c r="AL104"/>
      <c r="AM104"/>
      <c r="AN104"/>
      <c r="AO104"/>
      <c r="AP104"/>
      <c r="AQ104"/>
    </row>
    <row r="105" spans="1:44" s="150" customFormat="1" ht="15">
      <c r="B105" s="150">
        <v>93</v>
      </c>
      <c r="C105" s="153">
        <v>47362</v>
      </c>
      <c r="D105" s="151">
        <f t="shared" ca="1" si="11"/>
        <v>58751478.988144934</v>
      </c>
      <c r="E105" s="151">
        <f t="shared" ca="1" si="12"/>
        <v>306019.32180541131</v>
      </c>
      <c r="F105" s="151">
        <f t="shared" ca="1" si="13"/>
        <v>245051.86020726286</v>
      </c>
      <c r="G105" s="151">
        <f t="shared" ca="1" si="14"/>
        <v>60967.461598148453</v>
      </c>
      <c r="H105" s="151">
        <f ca="1">'HUD - Snapshot'!$K$10/12*D104</f>
        <v>12252.593010363144</v>
      </c>
      <c r="I105" s="151">
        <f t="shared" ca="1" si="15"/>
        <v>318271.91481577448</v>
      </c>
      <c r="J105" s="162"/>
      <c r="K105" s="152"/>
      <c r="L105" s="152"/>
      <c r="Q105"/>
      <c r="R105"/>
      <c r="S105"/>
      <c r="T105"/>
      <c r="U105"/>
      <c r="V105"/>
      <c r="W105"/>
      <c r="X105"/>
      <c r="Y105"/>
      <c r="Z105"/>
      <c r="AA105"/>
      <c r="AB105"/>
      <c r="AC105"/>
      <c r="AD105"/>
      <c r="AE105"/>
      <c r="AF105"/>
      <c r="AG105"/>
      <c r="AH105"/>
      <c r="AI105"/>
      <c r="AJ105"/>
      <c r="AK105"/>
      <c r="AL105"/>
      <c r="AM105"/>
      <c r="AN105"/>
      <c r="AO105"/>
      <c r="AP105"/>
      <c r="AQ105"/>
    </row>
    <row r="106" spans="1:44" s="150" customFormat="1" ht="15">
      <c r="B106" s="150">
        <v>94</v>
      </c>
      <c r="C106" s="153">
        <v>47392</v>
      </c>
      <c r="D106" s="151">
        <f t="shared" ca="1" si="11"/>
        <v>58690257.495456792</v>
      </c>
      <c r="E106" s="151">
        <f t="shared" ca="1" si="12"/>
        <v>306019.32180541131</v>
      </c>
      <c r="F106" s="151">
        <f t="shared" ca="1" si="13"/>
        <v>244797.82911727056</v>
      </c>
      <c r="G106" s="151">
        <f t="shared" ca="1" si="14"/>
        <v>61221.492688140745</v>
      </c>
      <c r="H106" s="151">
        <f ca="1">'HUD - Snapshot'!$K$10/12*D105</f>
        <v>12239.891455863528</v>
      </c>
      <c r="I106" s="151">
        <f t="shared" ca="1" si="15"/>
        <v>318259.21326127485</v>
      </c>
      <c r="J106" s="162"/>
      <c r="K106" s="152"/>
      <c r="L106" s="152"/>
      <c r="Q106"/>
      <c r="R106"/>
      <c r="S106"/>
      <c r="T106"/>
      <c r="U106"/>
      <c r="V106"/>
      <c r="W106"/>
      <c r="X106"/>
      <c r="Y106"/>
      <c r="Z106"/>
      <c r="AA106"/>
      <c r="AB106"/>
      <c r="AC106"/>
      <c r="AD106"/>
      <c r="AE106"/>
      <c r="AF106"/>
      <c r="AG106"/>
      <c r="AH106"/>
      <c r="AI106"/>
      <c r="AJ106"/>
      <c r="AK106"/>
      <c r="AL106"/>
      <c r="AM106"/>
      <c r="AN106"/>
      <c r="AO106"/>
      <c r="AP106"/>
      <c r="AQ106"/>
    </row>
    <row r="107" spans="1:44" s="150" customFormat="1" ht="15">
      <c r="B107" s="150">
        <v>95</v>
      </c>
      <c r="C107" s="153">
        <v>47423</v>
      </c>
      <c r="D107" s="151">
        <f t="shared" ca="1" si="11"/>
        <v>58628780.913215786</v>
      </c>
      <c r="E107" s="151">
        <f t="shared" ca="1" si="12"/>
        <v>306019.32180541131</v>
      </c>
      <c r="F107" s="151">
        <f t="shared" ca="1" si="13"/>
        <v>244542.73956440331</v>
      </c>
      <c r="G107" s="151">
        <f t="shared" ca="1" si="14"/>
        <v>61476.582241008</v>
      </c>
      <c r="H107" s="151">
        <f ca="1">'HUD - Snapshot'!$K$10/12*D106</f>
        <v>12227.136978220165</v>
      </c>
      <c r="I107" s="151">
        <f t="shared" ca="1" si="15"/>
        <v>318246.45878363145</v>
      </c>
      <c r="J107" s="162"/>
      <c r="K107" s="152"/>
      <c r="L107" s="152"/>
      <c r="Q107"/>
      <c r="R107"/>
      <c r="S107"/>
      <c r="T107"/>
      <c r="U107"/>
      <c r="V107"/>
      <c r="W107"/>
      <c r="X107"/>
      <c r="Y107"/>
      <c r="Z107"/>
      <c r="AA107"/>
      <c r="AB107"/>
      <c r="AC107"/>
      <c r="AD107"/>
      <c r="AE107"/>
      <c r="AF107"/>
      <c r="AG107"/>
      <c r="AH107"/>
      <c r="AI107"/>
      <c r="AJ107"/>
      <c r="AK107"/>
      <c r="AL107"/>
      <c r="AM107"/>
      <c r="AN107"/>
      <c r="AO107"/>
      <c r="AP107"/>
      <c r="AQ107"/>
      <c r="AR107" s="159">
        <f t="shared" ref="AR107" si="20">SUM(AL96:AL107)</f>
        <v>0</v>
      </c>
    </row>
    <row r="108" spans="1:44" s="150" customFormat="1" ht="15">
      <c r="A108" s="150" t="s">
        <v>599</v>
      </c>
      <c r="B108" s="157">
        <v>96</v>
      </c>
      <c r="C108" s="158">
        <v>47453</v>
      </c>
      <c r="D108" s="159">
        <f t="shared" ca="1" si="11"/>
        <v>58567048.178548776</v>
      </c>
      <c r="E108" s="159">
        <f t="shared" ca="1" si="12"/>
        <v>306019.32180541131</v>
      </c>
      <c r="F108" s="159">
        <f t="shared" ca="1" si="13"/>
        <v>244286.5871383991</v>
      </c>
      <c r="G108" s="159">
        <f t="shared" ca="1" si="14"/>
        <v>61732.734667012206</v>
      </c>
      <c r="H108" s="159">
        <f ca="1">'HUD - Snapshot'!$K$10/12*D107</f>
        <v>12214.329356919956</v>
      </c>
      <c r="I108" s="159">
        <f t="shared" ca="1" si="15"/>
        <v>318233.65116233128</v>
      </c>
      <c r="J108" s="162"/>
      <c r="K108" s="159">
        <f ca="1">SUM(I97:I108)</f>
        <v>3819637.5337820887</v>
      </c>
      <c r="L108" s="159">
        <f t="shared" ref="L108:N108" ca="1" si="21">SUM(F97:F108)</f>
        <v>2948113.4423430562</v>
      </c>
      <c r="M108" s="159">
        <f t="shared" ca="1" si="21"/>
        <v>724118.41932187974</v>
      </c>
      <c r="N108" s="159">
        <f t="shared" ca="1" si="21"/>
        <v>147405.6721171528</v>
      </c>
      <c r="Q108"/>
      <c r="R108"/>
      <c r="S108"/>
      <c r="T108"/>
      <c r="U108"/>
      <c r="V108"/>
      <c r="W108"/>
      <c r="X108"/>
      <c r="Y108"/>
      <c r="Z108"/>
      <c r="AA108"/>
      <c r="AB108"/>
      <c r="AC108"/>
      <c r="AD108"/>
      <c r="AE108"/>
      <c r="AF108"/>
      <c r="AG108"/>
      <c r="AH108"/>
      <c r="AI108"/>
      <c r="AJ108"/>
      <c r="AK108"/>
      <c r="AL108"/>
      <c r="AM108"/>
      <c r="AN108"/>
      <c r="AO108"/>
      <c r="AP108"/>
      <c r="AQ108"/>
    </row>
    <row r="109" spans="1:44" s="150" customFormat="1" ht="15">
      <c r="B109" s="150">
        <v>97</v>
      </c>
      <c r="C109" s="153">
        <v>47484</v>
      </c>
      <c r="D109" s="151">
        <f t="shared" ca="1" si="11"/>
        <v>58505058.224153981</v>
      </c>
      <c r="E109" s="151">
        <f t="shared" ca="1" si="12"/>
        <v>306019.32180541131</v>
      </c>
      <c r="F109" s="151">
        <f t="shared" ca="1" si="13"/>
        <v>244029.36741061989</v>
      </c>
      <c r="G109" s="151">
        <f t="shared" ca="1" si="14"/>
        <v>61989.954394791421</v>
      </c>
      <c r="H109" s="151">
        <f ca="1">'HUD - Snapshot'!$K$10/12*D108</f>
        <v>12201.468370530996</v>
      </c>
      <c r="I109" s="151">
        <f t="shared" ca="1" si="15"/>
        <v>318220.7901759423</v>
      </c>
      <c r="J109" s="162"/>
      <c r="K109" s="152"/>
      <c r="L109" s="152"/>
      <c r="Q109"/>
      <c r="R109"/>
      <c r="S109"/>
      <c r="T109"/>
      <c r="U109"/>
      <c r="V109"/>
      <c r="W109"/>
      <c r="X109"/>
      <c r="Y109"/>
      <c r="Z109"/>
      <c r="AA109"/>
      <c r="AB109"/>
      <c r="AC109"/>
      <c r="AD109"/>
      <c r="AE109"/>
      <c r="AF109"/>
      <c r="AG109"/>
      <c r="AH109"/>
      <c r="AI109"/>
      <c r="AJ109"/>
      <c r="AK109"/>
      <c r="AL109"/>
      <c r="AM109"/>
      <c r="AN109"/>
      <c r="AO109"/>
      <c r="AP109"/>
      <c r="AQ109"/>
    </row>
    <row r="110" spans="1:44" s="150" customFormat="1" ht="15">
      <c r="B110" s="150">
        <v>98</v>
      </c>
      <c r="C110" s="153">
        <v>47515</v>
      </c>
      <c r="D110" s="151">
        <f t="shared" ca="1" si="11"/>
        <v>58442809.978282541</v>
      </c>
      <c r="E110" s="151">
        <f t="shared" ca="1" si="12"/>
        <v>306019.32180541131</v>
      </c>
      <c r="F110" s="151">
        <f t="shared" ca="1" si="13"/>
        <v>243771.07593397491</v>
      </c>
      <c r="G110" s="151">
        <f t="shared" ca="1" si="14"/>
        <v>62248.245871436404</v>
      </c>
      <c r="H110" s="151">
        <f ca="1">'HUD - Snapshot'!$K$10/12*D109</f>
        <v>12188.553796698747</v>
      </c>
      <c r="I110" s="151">
        <f t="shared" ca="1" si="15"/>
        <v>318207.87560211006</v>
      </c>
      <c r="J110" s="162"/>
      <c r="K110" s="152"/>
      <c r="L110" s="152"/>
      <c r="Q110"/>
      <c r="R110"/>
      <c r="S110"/>
      <c r="T110"/>
      <c r="U110"/>
      <c r="V110"/>
      <c r="W110"/>
      <c r="X110"/>
      <c r="Y110"/>
      <c r="Z110"/>
      <c r="AA110"/>
      <c r="AB110"/>
      <c r="AC110"/>
      <c r="AD110"/>
      <c r="AE110"/>
      <c r="AF110"/>
      <c r="AG110"/>
      <c r="AH110"/>
      <c r="AI110"/>
      <c r="AJ110"/>
      <c r="AK110"/>
      <c r="AL110"/>
      <c r="AM110"/>
      <c r="AN110"/>
      <c r="AO110"/>
      <c r="AP110"/>
      <c r="AQ110"/>
    </row>
    <row r="111" spans="1:44" s="150" customFormat="1" ht="15">
      <c r="B111" s="150">
        <v>99</v>
      </c>
      <c r="C111" s="153">
        <v>47543</v>
      </c>
      <c r="D111" s="151">
        <f t="shared" ca="1" si="11"/>
        <v>58380302.364719972</v>
      </c>
      <c r="E111" s="151">
        <f t="shared" ca="1" si="12"/>
        <v>306019.32180541131</v>
      </c>
      <c r="F111" s="151">
        <f t="shared" ca="1" si="13"/>
        <v>243511.70824284392</v>
      </c>
      <c r="G111" s="151">
        <f t="shared" ca="1" si="14"/>
        <v>62507.613562567392</v>
      </c>
      <c r="H111" s="151">
        <f ca="1">'HUD - Snapshot'!$K$10/12*D110</f>
        <v>12175.585412142196</v>
      </c>
      <c r="I111" s="151">
        <f t="shared" ca="1" si="15"/>
        <v>318194.90721755353</v>
      </c>
      <c r="J111" s="162"/>
      <c r="K111" s="152"/>
      <c r="L111" s="152"/>
      <c r="Q111"/>
      <c r="R111"/>
      <c r="S111"/>
      <c r="T111"/>
      <c r="U111"/>
      <c r="V111"/>
      <c r="W111"/>
      <c r="X111"/>
      <c r="Y111"/>
      <c r="Z111"/>
      <c r="AA111"/>
      <c r="AB111"/>
      <c r="AC111"/>
      <c r="AD111"/>
      <c r="AE111"/>
      <c r="AF111"/>
      <c r="AG111"/>
      <c r="AH111"/>
      <c r="AI111"/>
      <c r="AJ111"/>
      <c r="AK111"/>
      <c r="AL111"/>
      <c r="AM111"/>
      <c r="AN111"/>
      <c r="AO111"/>
      <c r="AP111"/>
      <c r="AQ111"/>
    </row>
    <row r="112" spans="1:44" s="150" customFormat="1" ht="15">
      <c r="B112" s="150">
        <v>100</v>
      </c>
      <c r="C112" s="153">
        <v>47574</v>
      </c>
      <c r="D112" s="151">
        <f t="shared" ca="1" si="11"/>
        <v>58317534.30276756</v>
      </c>
      <c r="E112" s="151">
        <f t="shared" ca="1" si="12"/>
        <v>306019.32180541131</v>
      </c>
      <c r="F112" s="151">
        <f t="shared" ca="1" si="13"/>
        <v>243251.25985299988</v>
      </c>
      <c r="G112" s="151">
        <f t="shared" ca="1" si="14"/>
        <v>62768.06195241143</v>
      </c>
      <c r="H112" s="151">
        <f ca="1">'HUD - Snapshot'!$K$10/12*D111</f>
        <v>12162.562992649995</v>
      </c>
      <c r="I112" s="151">
        <f t="shared" ca="1" si="15"/>
        <v>318181.88479806128</v>
      </c>
      <c r="J112" s="162"/>
      <c r="K112" s="152"/>
      <c r="L112" s="152"/>
      <c r="Q112"/>
      <c r="R112"/>
      <c r="S112"/>
      <c r="T112"/>
      <c r="U112"/>
      <c r="V112"/>
      <c r="W112"/>
      <c r="X112"/>
      <c r="Y112"/>
      <c r="Z112"/>
      <c r="AA112"/>
      <c r="AB112"/>
      <c r="AC112"/>
      <c r="AD112"/>
      <c r="AE112"/>
      <c r="AF112"/>
      <c r="AG112"/>
      <c r="AH112"/>
      <c r="AI112"/>
      <c r="AJ112"/>
      <c r="AK112"/>
      <c r="AL112"/>
      <c r="AM112"/>
      <c r="AN112"/>
      <c r="AO112"/>
      <c r="AP112"/>
      <c r="AQ112"/>
    </row>
    <row r="113" spans="2:44" s="150" customFormat="1" ht="15">
      <c r="B113" s="150">
        <v>101</v>
      </c>
      <c r="C113" s="153">
        <v>47604</v>
      </c>
      <c r="D113" s="151">
        <f t="shared" ca="1" si="11"/>
        <v>58254504.707223684</v>
      </c>
      <c r="E113" s="151">
        <f t="shared" ca="1" si="12"/>
        <v>306019.32180541131</v>
      </c>
      <c r="F113" s="151">
        <f t="shared" ca="1" si="13"/>
        <v>242989.7262615315</v>
      </c>
      <c r="G113" s="151">
        <f t="shared" ca="1" si="14"/>
        <v>63029.595543879812</v>
      </c>
      <c r="H113" s="151">
        <f ca="1">'HUD - Snapshot'!$K$10/12*D112</f>
        <v>12149.486313076575</v>
      </c>
      <c r="I113" s="151">
        <f t="shared" ca="1" si="15"/>
        <v>318168.80811848788</v>
      </c>
      <c r="J113" s="162"/>
      <c r="K113" s="152"/>
      <c r="L113" s="152"/>
      <c r="Q113"/>
      <c r="R113"/>
      <c r="S113"/>
      <c r="T113"/>
      <c r="U113"/>
      <c r="V113"/>
      <c r="W113"/>
      <c r="X113"/>
      <c r="Y113"/>
      <c r="Z113"/>
      <c r="AA113"/>
      <c r="AB113"/>
      <c r="AC113"/>
      <c r="AD113"/>
      <c r="AE113"/>
      <c r="AF113"/>
      <c r="AG113"/>
      <c r="AH113"/>
      <c r="AI113"/>
      <c r="AJ113"/>
      <c r="AK113"/>
      <c r="AL113"/>
      <c r="AM113"/>
      <c r="AN113"/>
      <c r="AO113"/>
      <c r="AP113"/>
      <c r="AQ113"/>
    </row>
    <row r="114" spans="2:44" s="150" customFormat="1" ht="15">
      <c r="B114" s="150">
        <v>102</v>
      </c>
      <c r="C114" s="153">
        <v>47635</v>
      </c>
      <c r="D114" s="151">
        <f t="shared" ca="1" si="11"/>
        <v>58191212.488365039</v>
      </c>
      <c r="E114" s="151">
        <f t="shared" ca="1" si="12"/>
        <v>306019.32180541131</v>
      </c>
      <c r="F114" s="151">
        <f t="shared" ca="1" si="13"/>
        <v>242727.10294676534</v>
      </c>
      <c r="G114" s="151">
        <f t="shared" ca="1" si="14"/>
        <v>63292.218858645967</v>
      </c>
      <c r="H114" s="151">
        <f ca="1">'HUD - Snapshot'!$K$10/12*D113</f>
        <v>12136.355147338269</v>
      </c>
      <c r="I114" s="151">
        <f t="shared" ca="1" si="15"/>
        <v>318155.67695274961</v>
      </c>
      <c r="J114" s="162"/>
      <c r="K114" s="152"/>
      <c r="L114" s="152"/>
      <c r="Q114"/>
      <c r="R114"/>
      <c r="S114"/>
      <c r="T114"/>
      <c r="U114"/>
      <c r="V114"/>
      <c r="W114"/>
      <c r="X114"/>
      <c r="Y114"/>
      <c r="Z114"/>
      <c r="AA114"/>
      <c r="AB114"/>
      <c r="AC114"/>
      <c r="AD114"/>
      <c r="AE114"/>
      <c r="AF114"/>
      <c r="AG114"/>
      <c r="AH114"/>
      <c r="AI114"/>
      <c r="AJ114"/>
      <c r="AK114"/>
      <c r="AL114"/>
      <c r="AM114"/>
      <c r="AN114"/>
      <c r="AO114"/>
      <c r="AP114"/>
      <c r="AQ114"/>
    </row>
    <row r="115" spans="2:44" s="150" customFormat="1" ht="15">
      <c r="B115" s="150">
        <v>103</v>
      </c>
      <c r="C115" s="153">
        <v>47665</v>
      </c>
      <c r="D115" s="151">
        <f t="shared" ca="1" si="11"/>
        <v>58127656.551927812</v>
      </c>
      <c r="E115" s="151">
        <f t="shared" ca="1" si="12"/>
        <v>306019.32180541131</v>
      </c>
      <c r="F115" s="151">
        <f t="shared" ca="1" si="13"/>
        <v>242463.38536818765</v>
      </c>
      <c r="G115" s="151">
        <f t="shared" ca="1" si="14"/>
        <v>63555.93643722366</v>
      </c>
      <c r="H115" s="151">
        <f ca="1">'HUD - Snapshot'!$K$10/12*D114</f>
        <v>12123.169268409383</v>
      </c>
      <c r="I115" s="151">
        <f t="shared" ca="1" si="15"/>
        <v>318142.49107382068</v>
      </c>
      <c r="J115" s="162"/>
      <c r="K115" s="152"/>
      <c r="L115" s="152"/>
      <c r="Q115"/>
      <c r="R115"/>
      <c r="S115"/>
      <c r="T115"/>
      <c r="U115"/>
      <c r="V115"/>
      <c r="W115"/>
      <c r="X115"/>
      <c r="Y115"/>
      <c r="Z115"/>
      <c r="AA115"/>
      <c r="AB115"/>
      <c r="AC115"/>
      <c r="AD115"/>
      <c r="AE115"/>
      <c r="AF115"/>
      <c r="AG115"/>
      <c r="AH115"/>
      <c r="AI115"/>
      <c r="AJ115"/>
      <c r="AK115"/>
      <c r="AL115"/>
      <c r="AM115"/>
      <c r="AN115"/>
      <c r="AO115"/>
      <c r="AP115"/>
      <c r="AQ115"/>
    </row>
    <row r="116" spans="2:44" s="150" customFormat="1" ht="15">
      <c r="B116" s="150">
        <v>104</v>
      </c>
      <c r="C116" s="153">
        <v>47696</v>
      </c>
      <c r="D116" s="151">
        <f t="shared" ca="1" si="11"/>
        <v>58063835.799088769</v>
      </c>
      <c r="E116" s="151">
        <f t="shared" ca="1" si="12"/>
        <v>306019.32180541131</v>
      </c>
      <c r="F116" s="151">
        <f t="shared" ca="1" si="13"/>
        <v>242198.56896636588</v>
      </c>
      <c r="G116" s="151">
        <f t="shared" ca="1" si="14"/>
        <v>63820.752839045424</v>
      </c>
      <c r="H116" s="151">
        <f ca="1">'HUD - Snapshot'!$K$10/12*D115</f>
        <v>12109.928448318295</v>
      </c>
      <c r="I116" s="151">
        <f t="shared" ca="1" si="15"/>
        <v>318129.25025372958</v>
      </c>
      <c r="J116" s="162"/>
      <c r="K116" s="152"/>
      <c r="L116" s="152"/>
      <c r="Q116"/>
      <c r="R116"/>
      <c r="S116"/>
      <c r="T116"/>
      <c r="U116"/>
      <c r="V116"/>
      <c r="W116"/>
      <c r="X116"/>
      <c r="Y116"/>
      <c r="Z116"/>
      <c r="AA116"/>
      <c r="AB116"/>
      <c r="AC116"/>
      <c r="AD116"/>
      <c r="AE116"/>
      <c r="AF116"/>
      <c r="AG116"/>
      <c r="AH116"/>
      <c r="AI116"/>
      <c r="AJ116"/>
      <c r="AK116"/>
      <c r="AL116"/>
      <c r="AM116"/>
      <c r="AN116"/>
      <c r="AO116"/>
      <c r="AP116"/>
      <c r="AQ116"/>
    </row>
    <row r="117" spans="2:44" s="150" customFormat="1" ht="15">
      <c r="B117" s="150">
        <v>105</v>
      </c>
      <c r="C117" s="153">
        <v>47727</v>
      </c>
      <c r="D117" s="151">
        <f t="shared" ca="1" si="11"/>
        <v>57999749.126446225</v>
      </c>
      <c r="E117" s="151">
        <f t="shared" ca="1" si="12"/>
        <v>306019.32180541131</v>
      </c>
      <c r="F117" s="151">
        <f t="shared" ca="1" si="13"/>
        <v>241932.64916286987</v>
      </c>
      <c r="G117" s="151">
        <f t="shared" ca="1" si="14"/>
        <v>64086.672642541438</v>
      </c>
      <c r="H117" s="151">
        <f ca="1">'HUD - Snapshot'!$K$10/12*D116</f>
        <v>12096.632458143495</v>
      </c>
      <c r="I117" s="151">
        <f t="shared" ca="1" si="15"/>
        <v>318115.95426355483</v>
      </c>
      <c r="J117" s="162"/>
      <c r="K117" s="152"/>
      <c r="L117" s="152"/>
      <c r="Q117"/>
      <c r="R117"/>
      <c r="S117"/>
      <c r="T117"/>
      <c r="U117"/>
      <c r="V117"/>
      <c r="W117"/>
      <c r="X117"/>
      <c r="Y117"/>
      <c r="Z117"/>
      <c r="AA117"/>
      <c r="AB117"/>
      <c r="AC117"/>
      <c r="AD117"/>
      <c r="AE117"/>
      <c r="AF117"/>
      <c r="AG117"/>
      <c r="AH117"/>
      <c r="AI117"/>
      <c r="AJ117"/>
      <c r="AK117"/>
      <c r="AL117"/>
      <c r="AM117"/>
      <c r="AN117"/>
      <c r="AO117"/>
      <c r="AP117"/>
      <c r="AQ117"/>
    </row>
    <row r="118" spans="2:44" s="150" customFormat="1" ht="15">
      <c r="B118" s="150">
        <v>106</v>
      </c>
      <c r="C118" s="153">
        <v>47757</v>
      </c>
      <c r="D118" s="151">
        <f t="shared" ca="1" si="11"/>
        <v>57935395.426001005</v>
      </c>
      <c r="E118" s="151">
        <f t="shared" ca="1" si="12"/>
        <v>306019.32180541131</v>
      </c>
      <c r="F118" s="151">
        <f t="shared" ca="1" si="13"/>
        <v>241665.6213601926</v>
      </c>
      <c r="G118" s="151">
        <f t="shared" ca="1" si="14"/>
        <v>64353.70044521871</v>
      </c>
      <c r="H118" s="151">
        <f ca="1">'HUD - Snapshot'!$K$10/12*D117</f>
        <v>12083.281068009632</v>
      </c>
      <c r="I118" s="151">
        <f t="shared" ca="1" si="15"/>
        <v>318102.60287342092</v>
      </c>
      <c r="J118" s="162"/>
      <c r="K118" s="152"/>
      <c r="L118" s="152"/>
      <c r="Q118"/>
      <c r="R118"/>
      <c r="S118"/>
      <c r="T118"/>
      <c r="U118"/>
      <c r="V118"/>
      <c r="W118"/>
      <c r="X118"/>
      <c r="Y118"/>
      <c r="Z118"/>
      <c r="AA118"/>
      <c r="AB118"/>
      <c r="AC118"/>
      <c r="AD118"/>
      <c r="AE118"/>
      <c r="AF118"/>
      <c r="AG118"/>
      <c r="AH118"/>
      <c r="AI118"/>
      <c r="AJ118"/>
      <c r="AK118"/>
      <c r="AL118"/>
      <c r="AM118"/>
      <c r="AN118"/>
      <c r="AO118"/>
      <c r="AP118"/>
      <c r="AQ118"/>
    </row>
    <row r="119" spans="2:44" s="150" customFormat="1" ht="15">
      <c r="B119" s="150">
        <v>107</v>
      </c>
      <c r="C119" s="153">
        <v>47788</v>
      </c>
      <c r="D119" s="151">
        <f t="shared" ca="1" si="11"/>
        <v>57870773.585137263</v>
      </c>
      <c r="E119" s="151">
        <f t="shared" ca="1" si="12"/>
        <v>306019.32180541131</v>
      </c>
      <c r="F119" s="151">
        <f t="shared" ca="1" si="13"/>
        <v>241397.48094167086</v>
      </c>
      <c r="G119" s="151">
        <f t="shared" ca="1" si="14"/>
        <v>64621.84086374045</v>
      </c>
      <c r="H119" s="151">
        <f ca="1">'HUD - Snapshot'!$K$10/12*D118</f>
        <v>12069.874047083544</v>
      </c>
      <c r="I119" s="151">
        <f t="shared" ca="1" si="15"/>
        <v>318089.19585249486</v>
      </c>
      <c r="J119" s="162"/>
      <c r="K119" s="152"/>
      <c r="L119" s="152"/>
      <c r="Q119"/>
      <c r="R119"/>
      <c r="S119"/>
      <c r="T119"/>
      <c r="U119"/>
      <c r="V119"/>
      <c r="W119"/>
      <c r="X119"/>
      <c r="Y119"/>
      <c r="Z119"/>
      <c r="AA119"/>
      <c r="AB119"/>
      <c r="AC119"/>
      <c r="AD119"/>
      <c r="AE119"/>
      <c r="AF119"/>
      <c r="AG119"/>
      <c r="AH119"/>
      <c r="AI119"/>
      <c r="AJ119"/>
      <c r="AK119"/>
      <c r="AL119"/>
      <c r="AM119"/>
      <c r="AN119"/>
      <c r="AO119"/>
      <c r="AP119"/>
      <c r="AQ119"/>
      <c r="AR119" s="159">
        <f t="shared" ref="AR119" si="22">SUM(AL108:AL119)</f>
        <v>0</v>
      </c>
    </row>
    <row r="120" spans="2:44" s="150" customFormat="1" ht="15">
      <c r="B120" s="157">
        <v>108</v>
      </c>
      <c r="C120" s="158">
        <v>47818</v>
      </c>
      <c r="D120" s="159">
        <f t="shared" ca="1" si="11"/>
        <v>57805882.48660326</v>
      </c>
      <c r="E120" s="159">
        <f t="shared" ca="1" si="12"/>
        <v>306019.32180541131</v>
      </c>
      <c r="F120" s="159">
        <f t="shared" ca="1" si="13"/>
        <v>241128.22327140527</v>
      </c>
      <c r="G120" s="159">
        <f t="shared" ca="1" si="14"/>
        <v>64891.098534006043</v>
      </c>
      <c r="H120" s="159">
        <f ca="1">'HUD - Snapshot'!$K$10/12*D119</f>
        <v>12056.411163570265</v>
      </c>
      <c r="I120" s="159">
        <f t="shared" ca="1" si="15"/>
        <v>318075.73296898155</v>
      </c>
      <c r="J120" s="162"/>
      <c r="K120" s="159">
        <f ca="1">SUM(I109:I120)</f>
        <v>3817785.1701509068</v>
      </c>
      <c r="L120" s="159">
        <f t="shared" ref="L120:N120" ca="1" si="23">SUM(F109:F120)</f>
        <v>2911066.1697194274</v>
      </c>
      <c r="M120" s="159">
        <f t="shared" ca="1" si="23"/>
        <v>761165.69194550812</v>
      </c>
      <c r="N120" s="159">
        <f t="shared" ca="1" si="23"/>
        <v>145553.30848597139</v>
      </c>
      <c r="Q120"/>
      <c r="R120"/>
      <c r="S120"/>
      <c r="T120"/>
      <c r="U120"/>
      <c r="V120"/>
      <c r="W120"/>
      <c r="X120"/>
      <c r="Y120"/>
      <c r="Z120"/>
      <c r="AA120"/>
      <c r="AB120"/>
      <c r="AC120"/>
      <c r="AD120"/>
      <c r="AE120"/>
      <c r="AF120"/>
      <c r="AG120"/>
      <c r="AH120"/>
      <c r="AI120"/>
      <c r="AJ120"/>
      <c r="AK120"/>
      <c r="AL120"/>
      <c r="AM120"/>
      <c r="AN120"/>
      <c r="AO120"/>
      <c r="AP120"/>
      <c r="AQ120"/>
    </row>
    <row r="121" spans="2:44" s="150" customFormat="1" ht="15">
      <c r="B121" s="150">
        <v>109</v>
      </c>
      <c r="C121" s="153">
        <v>47849</v>
      </c>
      <c r="D121" s="151">
        <f t="shared" ca="1" si="11"/>
        <v>57740721.00849203</v>
      </c>
      <c r="E121" s="151">
        <f t="shared" ca="1" si="12"/>
        <v>306019.32180541131</v>
      </c>
      <c r="F121" s="151">
        <f t="shared" ca="1" si="13"/>
        <v>240857.84369418025</v>
      </c>
      <c r="G121" s="151">
        <f t="shared" ca="1" si="14"/>
        <v>65161.478111231059</v>
      </c>
      <c r="H121" s="151">
        <f ca="1">'HUD - Snapshot'!$K$10/12*D120</f>
        <v>12042.892184709013</v>
      </c>
      <c r="I121" s="151">
        <f t="shared" ca="1" si="15"/>
        <v>318062.21399012033</v>
      </c>
      <c r="J121" s="162"/>
      <c r="K121" s="152"/>
      <c r="L121" s="152"/>
      <c r="Q121"/>
      <c r="R121"/>
      <c r="S121"/>
      <c r="T121"/>
      <c r="U121"/>
      <c r="V121"/>
      <c r="W121"/>
      <c r="X121"/>
      <c r="Y121"/>
      <c r="Z121"/>
      <c r="AA121"/>
      <c r="AB121"/>
      <c r="AC121"/>
      <c r="AD121"/>
      <c r="AE121"/>
      <c r="AF121"/>
      <c r="AG121"/>
      <c r="AH121"/>
      <c r="AI121"/>
      <c r="AJ121"/>
      <c r="AK121"/>
      <c r="AL121"/>
      <c r="AM121"/>
      <c r="AN121"/>
      <c r="AO121"/>
      <c r="AP121"/>
      <c r="AQ121"/>
    </row>
    <row r="122" spans="2:44" s="150" customFormat="1" ht="15">
      <c r="B122" s="150">
        <v>110</v>
      </c>
      <c r="C122" s="153">
        <v>47880</v>
      </c>
      <c r="D122" s="151">
        <f t="shared" ca="1" si="11"/>
        <v>57675288.024222001</v>
      </c>
      <c r="E122" s="151">
        <f t="shared" ca="1" si="12"/>
        <v>306019.32180541131</v>
      </c>
      <c r="F122" s="151">
        <f t="shared" ca="1" si="13"/>
        <v>240586.33753538344</v>
      </c>
      <c r="G122" s="151">
        <f t="shared" ca="1" si="14"/>
        <v>65432.984270027868</v>
      </c>
      <c r="H122" s="151">
        <f ca="1">'HUD - Snapshot'!$K$10/12*D121</f>
        <v>12029.316876769173</v>
      </c>
      <c r="I122" s="151">
        <f t="shared" ca="1" si="15"/>
        <v>318048.63868218049</v>
      </c>
      <c r="J122" s="162"/>
      <c r="K122" s="152"/>
      <c r="L122" s="152"/>
      <c r="Q122"/>
      <c r="R122"/>
      <c r="S122"/>
      <c r="T122"/>
      <c r="U122"/>
      <c r="V122"/>
      <c r="W122"/>
      <c r="X122"/>
      <c r="Y122"/>
      <c r="Z122"/>
      <c r="AA122"/>
      <c r="AB122"/>
      <c r="AC122"/>
      <c r="AD122"/>
      <c r="AE122"/>
      <c r="AF122"/>
      <c r="AG122"/>
      <c r="AH122"/>
      <c r="AI122"/>
      <c r="AJ122"/>
      <c r="AK122"/>
      <c r="AL122"/>
      <c r="AM122"/>
      <c r="AN122"/>
      <c r="AO122"/>
      <c r="AP122"/>
      <c r="AQ122"/>
    </row>
    <row r="123" spans="2:44" s="150" customFormat="1" ht="15">
      <c r="B123" s="150">
        <v>111</v>
      </c>
      <c r="C123" s="153">
        <v>47908</v>
      </c>
      <c r="D123" s="151">
        <f t="shared" ca="1" si="11"/>
        <v>57609582.402517512</v>
      </c>
      <c r="E123" s="151">
        <f t="shared" ca="1" si="12"/>
        <v>306019.32180541131</v>
      </c>
      <c r="F123" s="151">
        <f t="shared" ca="1" si="13"/>
        <v>240313.70010092499</v>
      </c>
      <c r="G123" s="151">
        <f t="shared" ca="1" si="14"/>
        <v>65705.621704486315</v>
      </c>
      <c r="H123" s="151">
        <f ca="1">'HUD - Snapshot'!$K$10/12*D122</f>
        <v>12015.685005046251</v>
      </c>
      <c r="I123" s="151">
        <f t="shared" ca="1" si="15"/>
        <v>318035.00681045756</v>
      </c>
      <c r="J123" s="162"/>
      <c r="K123" s="152"/>
      <c r="L123" s="152"/>
      <c r="Q123"/>
      <c r="R123"/>
      <c r="S123"/>
      <c r="T123"/>
      <c r="U123"/>
      <c r="V123"/>
      <c r="W123"/>
      <c r="X123"/>
      <c r="Y123"/>
      <c r="Z123"/>
      <c r="AA123"/>
      <c r="AB123"/>
      <c r="AC123"/>
      <c r="AD123"/>
      <c r="AE123"/>
      <c r="AF123"/>
      <c r="AG123"/>
      <c r="AH123"/>
      <c r="AI123"/>
      <c r="AJ123"/>
      <c r="AK123"/>
      <c r="AL123"/>
      <c r="AM123"/>
      <c r="AN123"/>
      <c r="AO123"/>
      <c r="AP123"/>
      <c r="AQ123"/>
    </row>
    <row r="124" spans="2:44" s="150" customFormat="1" ht="15">
      <c r="B124" s="150">
        <v>112</v>
      </c>
      <c r="C124" s="153">
        <v>47939</v>
      </c>
      <c r="D124" s="151">
        <f t="shared" ca="1" si="11"/>
        <v>57543603.007389255</v>
      </c>
      <c r="E124" s="151">
        <f t="shared" ca="1" si="12"/>
        <v>306019.32180541131</v>
      </c>
      <c r="F124" s="151">
        <f t="shared" ca="1" si="13"/>
        <v>240039.9266771563</v>
      </c>
      <c r="G124" s="151">
        <f t="shared" ca="1" si="14"/>
        <v>65979.395128255012</v>
      </c>
      <c r="H124" s="151">
        <f ca="1">'HUD - Snapshot'!$K$10/12*D123</f>
        <v>12001.996333857816</v>
      </c>
      <c r="I124" s="151">
        <f t="shared" ca="1" si="15"/>
        <v>318021.31813926913</v>
      </c>
      <c r="J124" s="162"/>
      <c r="K124" s="152"/>
      <c r="L124" s="152"/>
      <c r="Q124"/>
      <c r="R124"/>
      <c r="S124"/>
      <c r="T124"/>
      <c r="U124"/>
      <c r="V124"/>
      <c r="W124"/>
      <c r="X124"/>
      <c r="Y124"/>
      <c r="Z124"/>
      <c r="AA124"/>
      <c r="AB124"/>
      <c r="AC124"/>
      <c r="AD124"/>
      <c r="AE124"/>
      <c r="AF124"/>
      <c r="AG124"/>
      <c r="AH124"/>
      <c r="AI124"/>
      <c r="AJ124"/>
      <c r="AK124"/>
      <c r="AL124"/>
      <c r="AM124"/>
      <c r="AN124"/>
      <c r="AO124"/>
      <c r="AP124"/>
      <c r="AQ124"/>
    </row>
    <row r="125" spans="2:44" s="150" customFormat="1" ht="15">
      <c r="B125" s="150">
        <v>113</v>
      </c>
      <c r="C125" s="153">
        <v>47969</v>
      </c>
      <c r="D125" s="151">
        <f t="shared" ca="1" si="11"/>
        <v>57477348.698114634</v>
      </c>
      <c r="E125" s="151">
        <f t="shared" ca="1" si="12"/>
        <v>306019.32180541131</v>
      </c>
      <c r="F125" s="151">
        <f t="shared" ca="1" si="13"/>
        <v>239765.01253078855</v>
      </c>
      <c r="G125" s="151">
        <f t="shared" ca="1" si="14"/>
        <v>66254.309274622763</v>
      </c>
      <c r="H125" s="151">
        <f ca="1">'HUD - Snapshot'!$K$10/12*D124</f>
        <v>11988.25062653943</v>
      </c>
      <c r="I125" s="151">
        <f t="shared" ca="1" si="15"/>
        <v>318007.57243195071</v>
      </c>
      <c r="J125" s="162"/>
      <c r="K125" s="152"/>
      <c r="L125" s="152"/>
      <c r="Q125"/>
      <c r="R125"/>
      <c r="S125"/>
      <c r="T125"/>
      <c r="U125"/>
      <c r="V125"/>
      <c r="W125"/>
      <c r="X125"/>
      <c r="Y125"/>
      <c r="Z125"/>
      <c r="AA125"/>
      <c r="AB125"/>
      <c r="AC125"/>
      <c r="AD125"/>
      <c r="AE125"/>
      <c r="AF125"/>
      <c r="AG125"/>
      <c r="AH125"/>
      <c r="AI125"/>
      <c r="AJ125"/>
      <c r="AK125"/>
      <c r="AL125"/>
      <c r="AM125"/>
      <c r="AN125"/>
      <c r="AO125"/>
      <c r="AP125"/>
      <c r="AQ125"/>
    </row>
    <row r="126" spans="2:44" s="150" customFormat="1" ht="15">
      <c r="B126" s="150">
        <v>114</v>
      </c>
      <c r="C126" s="153">
        <v>48000</v>
      </c>
      <c r="D126" s="151">
        <f t="shared" ca="1" si="11"/>
        <v>57410818.32921803</v>
      </c>
      <c r="E126" s="151">
        <f t="shared" ca="1" si="12"/>
        <v>306019.32180541131</v>
      </c>
      <c r="F126" s="151">
        <f t="shared" ca="1" si="13"/>
        <v>239488.95290881096</v>
      </c>
      <c r="G126" s="151">
        <f t="shared" ca="1" si="14"/>
        <v>66530.368896600354</v>
      </c>
      <c r="H126" s="151">
        <f ca="1">'HUD - Snapshot'!$K$10/12*D125</f>
        <v>11974.44764544055</v>
      </c>
      <c r="I126" s="151">
        <f t="shared" ca="1" si="15"/>
        <v>317993.76945085183</v>
      </c>
      <c r="J126" s="162"/>
      <c r="K126" s="152"/>
      <c r="L126" s="152"/>
      <c r="Q126"/>
      <c r="R126"/>
      <c r="S126"/>
      <c r="T126"/>
      <c r="U126"/>
      <c r="V126"/>
      <c r="W126"/>
      <c r="X126"/>
      <c r="Y126"/>
      <c r="Z126"/>
      <c r="AA126"/>
      <c r="AB126"/>
      <c r="AC126"/>
      <c r="AD126"/>
      <c r="AE126"/>
      <c r="AF126"/>
      <c r="AG126"/>
      <c r="AH126"/>
      <c r="AI126"/>
      <c r="AJ126"/>
      <c r="AK126"/>
      <c r="AL126"/>
      <c r="AM126"/>
      <c r="AN126"/>
      <c r="AO126"/>
      <c r="AP126"/>
      <c r="AQ126"/>
    </row>
    <row r="127" spans="2:44" s="150" customFormat="1" ht="15">
      <c r="B127" s="150">
        <v>115</v>
      </c>
      <c r="C127" s="153">
        <v>48030</v>
      </c>
      <c r="D127" s="151">
        <f t="shared" ca="1" si="11"/>
        <v>57344010.750451028</v>
      </c>
      <c r="E127" s="151">
        <f t="shared" ca="1" si="12"/>
        <v>306019.32180541131</v>
      </c>
      <c r="F127" s="151">
        <f t="shared" ca="1" si="13"/>
        <v>239211.74303840846</v>
      </c>
      <c r="G127" s="151">
        <f t="shared" ca="1" si="14"/>
        <v>66807.578767002851</v>
      </c>
      <c r="H127" s="151">
        <f ca="1">'HUD - Snapshot'!$K$10/12*D126</f>
        <v>11960.587151920423</v>
      </c>
      <c r="I127" s="151">
        <f t="shared" ca="1" si="15"/>
        <v>317979.90895733173</v>
      </c>
      <c r="J127" s="162"/>
      <c r="K127" s="152"/>
      <c r="L127" s="152"/>
      <c r="Q127"/>
      <c r="R127"/>
      <c r="S127"/>
      <c r="T127"/>
      <c r="U127"/>
      <c r="V127"/>
      <c r="W127"/>
      <c r="X127"/>
      <c r="Y127"/>
      <c r="Z127"/>
      <c r="AA127"/>
      <c r="AB127"/>
      <c r="AC127"/>
      <c r="AD127"/>
      <c r="AE127"/>
      <c r="AF127"/>
      <c r="AG127"/>
      <c r="AH127"/>
      <c r="AI127"/>
      <c r="AJ127"/>
      <c r="AK127"/>
      <c r="AL127"/>
      <c r="AM127"/>
      <c r="AN127"/>
      <c r="AO127"/>
      <c r="AP127"/>
      <c r="AQ127"/>
    </row>
    <row r="128" spans="2:44" s="150" customFormat="1" ht="15">
      <c r="B128" s="150">
        <v>116</v>
      </c>
      <c r="C128" s="153">
        <v>48061</v>
      </c>
      <c r="D128" s="151">
        <f t="shared" ca="1" si="11"/>
        <v>57276924.806772493</v>
      </c>
      <c r="E128" s="151">
        <f t="shared" ca="1" si="12"/>
        <v>306019.32180541131</v>
      </c>
      <c r="F128" s="151">
        <f t="shared" ca="1" si="13"/>
        <v>238933.37812687928</v>
      </c>
      <c r="G128" s="151">
        <f t="shared" ca="1" si="14"/>
        <v>67085.943678532029</v>
      </c>
      <c r="H128" s="151">
        <f ca="1">'HUD - Snapshot'!$K$10/12*D127</f>
        <v>11946.668906343964</v>
      </c>
      <c r="I128" s="151">
        <f t="shared" ca="1" si="15"/>
        <v>317965.99071175529</v>
      </c>
      <c r="J128" s="162"/>
      <c r="K128" s="152"/>
      <c r="L128" s="152"/>
      <c r="Q128"/>
      <c r="R128"/>
      <c r="S128"/>
      <c r="T128"/>
      <c r="U128"/>
      <c r="V128"/>
      <c r="W128"/>
      <c r="X128"/>
      <c r="Y128"/>
      <c r="Z128"/>
      <c r="AA128"/>
      <c r="AB128"/>
      <c r="AC128"/>
      <c r="AD128"/>
      <c r="AE128"/>
      <c r="AF128"/>
      <c r="AG128"/>
      <c r="AH128"/>
      <c r="AI128"/>
      <c r="AJ128"/>
      <c r="AK128"/>
      <c r="AL128"/>
      <c r="AM128"/>
      <c r="AN128"/>
      <c r="AO128"/>
      <c r="AP128"/>
      <c r="AQ128"/>
    </row>
    <row r="129" spans="2:44" s="150" customFormat="1" ht="15">
      <c r="B129" s="150">
        <v>117</v>
      </c>
      <c r="C129" s="153">
        <v>48092</v>
      </c>
      <c r="D129" s="151">
        <f t="shared" ca="1" si="11"/>
        <v>57209559.338328637</v>
      </c>
      <c r="E129" s="151">
        <f t="shared" ca="1" si="12"/>
        <v>306019.32180541131</v>
      </c>
      <c r="F129" s="151">
        <f t="shared" ca="1" si="13"/>
        <v>238653.85336155206</v>
      </c>
      <c r="G129" s="151">
        <f t="shared" ca="1" si="14"/>
        <v>67365.468443859252</v>
      </c>
      <c r="H129" s="151">
        <f ca="1">'HUD - Snapshot'!$K$10/12*D128</f>
        <v>11932.692668077603</v>
      </c>
      <c r="I129" s="151">
        <f t="shared" ca="1" si="15"/>
        <v>317952.0144734889</v>
      </c>
      <c r="J129" s="162"/>
      <c r="K129" s="152"/>
      <c r="L129" s="152"/>
      <c r="Q129"/>
      <c r="R129"/>
      <c r="S129"/>
      <c r="T129"/>
      <c r="U129"/>
      <c r="V129"/>
      <c r="W129"/>
      <c r="X129"/>
      <c r="Y129"/>
      <c r="Z129"/>
      <c r="AA129"/>
      <c r="AB129"/>
      <c r="AC129"/>
      <c r="AD129"/>
      <c r="AE129"/>
      <c r="AF129"/>
      <c r="AG129"/>
      <c r="AH129"/>
      <c r="AI129"/>
      <c r="AJ129"/>
      <c r="AK129"/>
      <c r="AL129"/>
      <c r="AM129"/>
      <c r="AN129"/>
      <c r="AO129"/>
      <c r="AP129"/>
      <c r="AQ129"/>
    </row>
    <row r="130" spans="2:44" s="150" customFormat="1" ht="15">
      <c r="B130" s="150">
        <v>118</v>
      </c>
      <c r="C130" s="153">
        <v>48122</v>
      </c>
      <c r="D130" s="151">
        <f t="shared" ca="1" si="11"/>
        <v>57141913.180432931</v>
      </c>
      <c r="E130" s="151">
        <f t="shared" ca="1" si="12"/>
        <v>306019.32180541131</v>
      </c>
      <c r="F130" s="151">
        <f t="shared" ca="1" si="13"/>
        <v>238373.16390970265</v>
      </c>
      <c r="G130" s="151">
        <f t="shared" ca="1" si="14"/>
        <v>67646.15789570866</v>
      </c>
      <c r="H130" s="151">
        <f ca="1">'HUD - Snapshot'!$K$10/12*D129</f>
        <v>11918.658195485134</v>
      </c>
      <c r="I130" s="151">
        <f t="shared" ca="1" si="15"/>
        <v>317937.98000089644</v>
      </c>
      <c r="J130" s="162"/>
      <c r="K130" s="152"/>
      <c r="L130" s="152"/>
      <c r="Q130"/>
      <c r="R130"/>
      <c r="S130"/>
      <c r="T130"/>
      <c r="U130"/>
      <c r="V130"/>
      <c r="W130"/>
      <c r="X130"/>
      <c r="Y130"/>
      <c r="Z130"/>
      <c r="AA130"/>
      <c r="AB130"/>
      <c r="AC130"/>
      <c r="AD130"/>
      <c r="AE130"/>
      <c r="AF130"/>
      <c r="AG130"/>
      <c r="AH130"/>
      <c r="AI130"/>
      <c r="AJ130"/>
      <c r="AK130"/>
      <c r="AL130"/>
      <c r="AM130"/>
      <c r="AN130"/>
      <c r="AO130"/>
      <c r="AP130"/>
      <c r="AQ130"/>
    </row>
    <row r="131" spans="2:44" s="150" customFormat="1" ht="15">
      <c r="B131" s="150">
        <v>119</v>
      </c>
      <c r="C131" s="153">
        <v>48153</v>
      </c>
      <c r="D131" s="151">
        <f t="shared" ca="1" si="11"/>
        <v>57073985.163545989</v>
      </c>
      <c r="E131" s="151">
        <f t="shared" ca="1" si="12"/>
        <v>306019.32180541131</v>
      </c>
      <c r="F131" s="151">
        <f t="shared" ca="1" si="13"/>
        <v>238091.30491847053</v>
      </c>
      <c r="G131" s="151">
        <f t="shared" ca="1" si="14"/>
        <v>67928.016886940779</v>
      </c>
      <c r="H131" s="151">
        <f ca="1">'HUD - Snapshot'!$K$10/12*D130</f>
        <v>11904.565245923528</v>
      </c>
      <c r="I131" s="151">
        <f t="shared" ca="1" si="15"/>
        <v>317923.88705133484</v>
      </c>
      <c r="J131" s="162"/>
      <c r="K131" s="152"/>
      <c r="L131" s="152"/>
      <c r="Q131"/>
      <c r="R131"/>
      <c r="S131"/>
      <c r="T131"/>
      <c r="U131"/>
      <c r="V131"/>
      <c r="W131"/>
      <c r="X131"/>
      <c r="Y131"/>
      <c r="Z131"/>
      <c r="AA131"/>
      <c r="AB131"/>
      <c r="AC131"/>
      <c r="AD131"/>
      <c r="AE131"/>
      <c r="AF131"/>
      <c r="AG131"/>
      <c r="AH131"/>
      <c r="AI131"/>
      <c r="AJ131"/>
      <c r="AK131"/>
      <c r="AL131"/>
      <c r="AM131"/>
      <c r="AN131"/>
      <c r="AO131"/>
      <c r="AP131"/>
      <c r="AQ131"/>
      <c r="AR131" s="159">
        <f t="shared" ref="AR131" si="24">SUM(AL120:AL131)</f>
        <v>0</v>
      </c>
    </row>
    <row r="132" spans="2:44" s="150" customFormat="1" ht="15">
      <c r="B132" s="157">
        <v>120</v>
      </c>
      <c r="C132" s="158">
        <v>48183</v>
      </c>
      <c r="D132" s="159">
        <f t="shared" ca="1" si="11"/>
        <v>57005774.113255352</v>
      </c>
      <c r="E132" s="159">
        <f t="shared" ca="1" si="12"/>
        <v>306019.32180541131</v>
      </c>
      <c r="F132" s="159">
        <f t="shared" ca="1" si="13"/>
        <v>237808.27151477494</v>
      </c>
      <c r="G132" s="159">
        <f t="shared" ca="1" si="14"/>
        <v>68211.050290636369</v>
      </c>
      <c r="H132" s="159">
        <f ca="1">'HUD - Snapshot'!$K$10/12*D131</f>
        <v>11890.413575738748</v>
      </c>
      <c r="I132" s="159">
        <f t="shared" ca="1" si="15"/>
        <v>317909.73538115004</v>
      </c>
      <c r="J132" s="162"/>
      <c r="K132" s="159">
        <f ca="1">SUM(I121:I132)</f>
        <v>3815838.0360807874</v>
      </c>
      <c r="L132" s="159">
        <f t="shared" ref="L132:N132" ca="1" si="25">SUM(F121:F132)</f>
        <v>2872123.4883170319</v>
      </c>
      <c r="M132" s="159">
        <f t="shared" ca="1" si="25"/>
        <v>800108.37334790349</v>
      </c>
      <c r="N132" s="159">
        <f t="shared" ca="1" si="25"/>
        <v>143606.17441585165</v>
      </c>
      <c r="Q132"/>
      <c r="R132"/>
      <c r="S132"/>
      <c r="T132"/>
      <c r="U132"/>
      <c r="V132"/>
      <c r="W132"/>
      <c r="X132"/>
      <c r="Y132"/>
      <c r="Z132"/>
      <c r="AA132"/>
      <c r="AB132"/>
      <c r="AC132"/>
      <c r="AD132"/>
      <c r="AE132"/>
      <c r="AF132"/>
      <c r="AG132"/>
      <c r="AH132"/>
      <c r="AI132"/>
      <c r="AJ132"/>
      <c r="AK132"/>
      <c r="AL132"/>
      <c r="AM132"/>
      <c r="AN132"/>
      <c r="AO132"/>
      <c r="AP132"/>
      <c r="AQ132"/>
    </row>
    <row r="133" spans="2:44" s="150" customFormat="1" ht="15">
      <c r="B133" s="150">
        <v>121</v>
      </c>
      <c r="C133" s="153">
        <v>48214</v>
      </c>
      <c r="D133" s="151">
        <f t="shared" ca="1" si="11"/>
        <v>56937278.850255169</v>
      </c>
      <c r="E133" s="151">
        <f t="shared" ca="1" si="12"/>
        <v>306019.32180541131</v>
      </c>
      <c r="F133" s="151">
        <f t="shared" ca="1" si="13"/>
        <v>237524.05880523063</v>
      </c>
      <c r="G133" s="151">
        <f t="shared" ca="1" si="14"/>
        <v>68495.263000180683</v>
      </c>
      <c r="H133" s="151">
        <f ca="1">'HUD - Snapshot'!$K$10/12*D132</f>
        <v>11876.202940261532</v>
      </c>
      <c r="I133" s="151">
        <f t="shared" ca="1" si="15"/>
        <v>317895.52474567282</v>
      </c>
      <c r="J133" s="162"/>
      <c r="K133" s="152"/>
      <c r="L133" s="152"/>
      <c r="Q133"/>
      <c r="R133"/>
      <c r="S133"/>
      <c r="T133"/>
      <c r="U133"/>
      <c r="V133"/>
      <c r="W133"/>
      <c r="X133"/>
      <c r="Y133"/>
      <c r="Z133"/>
      <c r="AA133"/>
      <c r="AB133"/>
      <c r="AC133"/>
      <c r="AD133"/>
      <c r="AE133"/>
      <c r="AF133"/>
      <c r="AG133"/>
      <c r="AH133"/>
      <c r="AI133"/>
      <c r="AJ133"/>
      <c r="AK133"/>
      <c r="AL133"/>
      <c r="AM133"/>
      <c r="AN133"/>
      <c r="AO133"/>
      <c r="AP133"/>
      <c r="AQ133"/>
    </row>
    <row r="134" spans="2:44" s="150" customFormat="1" ht="15">
      <c r="B134" s="150">
        <v>122</v>
      </c>
      <c r="C134" s="153">
        <v>48245</v>
      </c>
      <c r="D134" s="151">
        <f t="shared" ca="1" si="11"/>
        <v>56868498.190325819</v>
      </c>
      <c r="E134" s="151">
        <f t="shared" ca="1" si="12"/>
        <v>306019.32180541131</v>
      </c>
      <c r="F134" s="151">
        <f t="shared" ca="1" si="13"/>
        <v>237238.66187606321</v>
      </c>
      <c r="G134" s="151">
        <f t="shared" ca="1" si="14"/>
        <v>68780.659929348098</v>
      </c>
      <c r="H134" s="151">
        <f ca="1">'HUD - Snapshot'!$K$10/12*D133</f>
        <v>11861.933093803162</v>
      </c>
      <c r="I134" s="151">
        <f t="shared" ca="1" si="15"/>
        <v>317881.25489921449</v>
      </c>
      <c r="J134" s="162"/>
      <c r="K134" s="152"/>
      <c r="L134" s="152"/>
      <c r="Q134"/>
      <c r="R134"/>
      <c r="S134"/>
      <c r="T134"/>
      <c r="U134"/>
      <c r="V134"/>
      <c r="W134"/>
      <c r="X134"/>
      <c r="Y134"/>
      <c r="Z134"/>
      <c r="AA134"/>
      <c r="AB134"/>
      <c r="AC134"/>
      <c r="AD134"/>
      <c r="AE134"/>
      <c r="AF134"/>
      <c r="AG134"/>
      <c r="AH134"/>
      <c r="AI134"/>
      <c r="AJ134"/>
      <c r="AK134"/>
      <c r="AL134"/>
      <c r="AM134"/>
      <c r="AN134"/>
      <c r="AO134"/>
      <c r="AP134"/>
      <c r="AQ134"/>
    </row>
    <row r="135" spans="2:44" s="150" customFormat="1" ht="15">
      <c r="B135" s="150">
        <v>123</v>
      </c>
      <c r="C135" s="153">
        <v>48274</v>
      </c>
      <c r="D135" s="151">
        <f t="shared" ca="1" si="11"/>
        <v>56799430.944313429</v>
      </c>
      <c r="E135" s="151">
        <f t="shared" ca="1" si="12"/>
        <v>306019.32180541131</v>
      </c>
      <c r="F135" s="151">
        <f t="shared" ca="1" si="13"/>
        <v>236952.07579302424</v>
      </c>
      <c r="G135" s="151">
        <f t="shared" ca="1" si="14"/>
        <v>69067.24601238707</v>
      </c>
      <c r="H135" s="151">
        <f ca="1">'HUD - Snapshot'!$K$10/12*D134</f>
        <v>11847.603789651213</v>
      </c>
      <c r="I135" s="151">
        <f t="shared" ca="1" si="15"/>
        <v>317866.92559506255</v>
      </c>
      <c r="J135" s="162"/>
      <c r="K135" s="152"/>
      <c r="L135" s="152"/>
      <c r="Q135"/>
      <c r="R135"/>
      <c r="S135"/>
      <c r="T135"/>
      <c r="U135"/>
      <c r="V135"/>
      <c r="W135"/>
      <c r="X135"/>
      <c r="Y135"/>
      <c r="Z135"/>
      <c r="AA135"/>
      <c r="AB135"/>
      <c r="AC135"/>
      <c r="AD135"/>
      <c r="AE135"/>
      <c r="AF135"/>
      <c r="AG135"/>
      <c r="AH135"/>
      <c r="AI135"/>
      <c r="AJ135"/>
      <c r="AK135"/>
      <c r="AL135"/>
      <c r="AM135"/>
      <c r="AN135"/>
      <c r="AO135"/>
      <c r="AP135"/>
      <c r="AQ135"/>
    </row>
    <row r="136" spans="2:44" s="150" customFormat="1" ht="15">
      <c r="B136" s="150">
        <v>124</v>
      </c>
      <c r="C136" s="153">
        <v>48305</v>
      </c>
      <c r="D136" s="151">
        <f t="shared" ca="1" si="11"/>
        <v>56730075.918109328</v>
      </c>
      <c r="E136" s="151">
        <f t="shared" ca="1" si="12"/>
        <v>306019.32180541131</v>
      </c>
      <c r="F136" s="151">
        <f t="shared" ca="1" si="13"/>
        <v>236664.29560130596</v>
      </c>
      <c r="G136" s="151">
        <f t="shared" ca="1" si="14"/>
        <v>69355.02620410535</v>
      </c>
      <c r="H136" s="151">
        <f ca="1">'HUD - Snapshot'!$K$10/12*D135</f>
        <v>11833.214780065298</v>
      </c>
      <c r="I136" s="151">
        <f t="shared" ca="1" si="15"/>
        <v>317852.5365854766</v>
      </c>
      <c r="J136" s="162"/>
      <c r="K136" s="152"/>
      <c r="L136" s="152"/>
      <c r="Q136"/>
      <c r="R136"/>
      <c r="S136"/>
      <c r="T136"/>
      <c r="U136"/>
      <c r="V136"/>
      <c r="W136"/>
      <c r="X136"/>
      <c r="Y136"/>
      <c r="Z136"/>
      <c r="AA136"/>
      <c r="AB136"/>
      <c r="AC136"/>
      <c r="AD136"/>
      <c r="AE136"/>
      <c r="AF136"/>
      <c r="AG136"/>
      <c r="AH136"/>
      <c r="AI136"/>
      <c r="AJ136"/>
      <c r="AK136"/>
      <c r="AL136"/>
      <c r="AM136"/>
      <c r="AN136"/>
      <c r="AO136"/>
      <c r="AP136"/>
      <c r="AQ136"/>
    </row>
    <row r="137" spans="2:44" s="150" customFormat="1" ht="15">
      <c r="B137" s="150">
        <v>125</v>
      </c>
      <c r="C137" s="153">
        <v>48335</v>
      </c>
      <c r="D137" s="151">
        <f t="shared" ca="1" si="11"/>
        <v>56660431.912629373</v>
      </c>
      <c r="E137" s="151">
        <f t="shared" ca="1" si="12"/>
        <v>306019.32180541131</v>
      </c>
      <c r="F137" s="151">
        <f t="shared" ca="1" si="13"/>
        <v>236375.31632545553</v>
      </c>
      <c r="G137" s="151">
        <f t="shared" ca="1" si="14"/>
        <v>69644.005479955784</v>
      </c>
      <c r="H137" s="151">
        <f ca="1">'HUD - Snapshot'!$K$10/12*D136</f>
        <v>11818.765816272777</v>
      </c>
      <c r="I137" s="151">
        <f t="shared" ca="1" si="15"/>
        <v>317838.08762168407</v>
      </c>
      <c r="J137" s="162"/>
      <c r="K137" s="152"/>
      <c r="L137" s="152"/>
      <c r="Q137"/>
      <c r="R137"/>
      <c r="S137"/>
      <c r="T137"/>
      <c r="U137"/>
      <c r="V137"/>
      <c r="W137"/>
      <c r="X137"/>
      <c r="Y137"/>
      <c r="Z137"/>
      <c r="AA137"/>
      <c r="AB137"/>
      <c r="AC137"/>
      <c r="AD137"/>
      <c r="AE137"/>
      <c r="AF137"/>
      <c r="AG137"/>
      <c r="AH137"/>
      <c r="AI137"/>
      <c r="AJ137"/>
      <c r="AK137"/>
      <c r="AL137"/>
      <c r="AM137"/>
      <c r="AN137"/>
      <c r="AO137"/>
      <c r="AP137"/>
      <c r="AQ137"/>
    </row>
    <row r="138" spans="2:44" s="150" customFormat="1" ht="15">
      <c r="B138" s="150">
        <v>126</v>
      </c>
      <c r="C138" s="153">
        <v>48366</v>
      </c>
      <c r="D138" s="151">
        <f t="shared" ca="1" si="11"/>
        <v>56590497.723793253</v>
      </c>
      <c r="E138" s="151">
        <f t="shared" ca="1" si="12"/>
        <v>306019.32180541131</v>
      </c>
      <c r="F138" s="151">
        <f t="shared" ca="1" si="13"/>
        <v>236085.13296928906</v>
      </c>
      <c r="G138" s="151">
        <f t="shared" ca="1" si="14"/>
        <v>69934.188836122252</v>
      </c>
      <c r="H138" s="151">
        <f ca="1">'HUD - Snapshot'!$K$10/12*D137</f>
        <v>11804.256648464454</v>
      </c>
      <c r="I138" s="151">
        <f t="shared" ca="1" si="15"/>
        <v>317823.57845387579</v>
      </c>
      <c r="J138" s="162"/>
      <c r="K138" s="152"/>
      <c r="L138" s="152"/>
      <c r="Q138"/>
      <c r="R138"/>
      <c r="S138"/>
      <c r="T138"/>
      <c r="U138"/>
      <c r="V138"/>
      <c r="W138"/>
      <c r="X138"/>
      <c r="Y138"/>
      <c r="Z138"/>
      <c r="AA138"/>
      <c r="AB138"/>
      <c r="AC138"/>
      <c r="AD138"/>
      <c r="AE138"/>
      <c r="AF138"/>
      <c r="AG138"/>
      <c r="AH138"/>
      <c r="AI138"/>
      <c r="AJ138"/>
      <c r="AK138"/>
      <c r="AL138"/>
      <c r="AM138"/>
      <c r="AN138"/>
      <c r="AO138"/>
      <c r="AP138"/>
      <c r="AQ138"/>
    </row>
    <row r="139" spans="2:44" s="150" customFormat="1" ht="15">
      <c r="B139" s="150">
        <v>127</v>
      </c>
      <c r="C139" s="153">
        <v>48396</v>
      </c>
      <c r="D139" s="151">
        <f t="shared" ca="1" si="11"/>
        <v>56520272.142503649</v>
      </c>
      <c r="E139" s="151">
        <f t="shared" ca="1" si="12"/>
        <v>306019.32180541131</v>
      </c>
      <c r="F139" s="151">
        <f t="shared" ca="1" si="13"/>
        <v>235793.74051580523</v>
      </c>
      <c r="G139" s="151">
        <f t="shared" ca="1" si="14"/>
        <v>70225.581289606082</v>
      </c>
      <c r="H139" s="151">
        <f ca="1">'HUD - Snapshot'!$K$10/12*D138</f>
        <v>11789.687025790261</v>
      </c>
      <c r="I139" s="151">
        <f t="shared" ca="1" si="15"/>
        <v>317809.00883120159</v>
      </c>
      <c r="J139" s="162"/>
      <c r="K139" s="152"/>
      <c r="L139" s="152"/>
      <c r="Q139"/>
      <c r="R139"/>
      <c r="S139"/>
      <c r="T139"/>
      <c r="U139"/>
      <c r="V139"/>
      <c r="W139"/>
      <c r="X139"/>
      <c r="Y139"/>
      <c r="Z139"/>
      <c r="AA139"/>
      <c r="AB139"/>
      <c r="AC139"/>
      <c r="AD139"/>
      <c r="AE139"/>
      <c r="AF139"/>
      <c r="AG139"/>
      <c r="AH139"/>
      <c r="AI139"/>
      <c r="AJ139"/>
      <c r="AK139"/>
      <c r="AL139"/>
      <c r="AM139"/>
      <c r="AN139"/>
      <c r="AO139"/>
      <c r="AP139"/>
      <c r="AQ139"/>
    </row>
    <row r="140" spans="2:44" s="150" customFormat="1" ht="15">
      <c r="B140" s="150">
        <v>128</v>
      </c>
      <c r="C140" s="153">
        <v>48427</v>
      </c>
      <c r="D140" s="151">
        <f t="shared" ca="1" si="11"/>
        <v>56449753.954625338</v>
      </c>
      <c r="E140" s="151">
        <f t="shared" ca="1" si="12"/>
        <v>306019.32180541131</v>
      </c>
      <c r="F140" s="151">
        <f t="shared" ca="1" si="13"/>
        <v>235501.13392709853</v>
      </c>
      <c r="G140" s="151">
        <f t="shared" ca="1" si="14"/>
        <v>70518.187878312776</v>
      </c>
      <c r="H140" s="151">
        <f ca="1">'HUD - Snapshot'!$K$10/12*D139</f>
        <v>11775.056696354928</v>
      </c>
      <c r="I140" s="151">
        <f t="shared" ca="1" si="15"/>
        <v>317794.37850176624</v>
      </c>
      <c r="J140" s="162"/>
      <c r="K140" s="152"/>
      <c r="L140" s="152"/>
      <c r="Q140"/>
      <c r="R140"/>
      <c r="S140"/>
      <c r="T140"/>
      <c r="U140"/>
      <c r="V140"/>
      <c r="W140"/>
      <c r="X140"/>
      <c r="Y140"/>
      <c r="Z140"/>
      <c r="AA140"/>
      <c r="AB140"/>
      <c r="AC140"/>
      <c r="AD140"/>
      <c r="AE140"/>
      <c r="AF140"/>
      <c r="AG140"/>
      <c r="AH140"/>
      <c r="AI140"/>
      <c r="AJ140"/>
      <c r="AK140"/>
      <c r="AL140"/>
      <c r="AM140"/>
      <c r="AN140"/>
      <c r="AO140"/>
      <c r="AP140"/>
      <c r="AQ140"/>
    </row>
    <row r="141" spans="2:44" s="150" customFormat="1" ht="15">
      <c r="B141" s="150">
        <v>129</v>
      </c>
      <c r="C141" s="153">
        <v>48458</v>
      </c>
      <c r="D141" s="151">
        <f t="shared" ref="D141:D204" ca="1" si="26">D140-G141</f>
        <v>56378941.9409642</v>
      </c>
      <c r="E141" s="151">
        <f t="shared" ref="E141:E204" ca="1" si="27">$D$9</f>
        <v>306019.32180541131</v>
      </c>
      <c r="F141" s="151">
        <f t="shared" ref="F141:F204" ca="1" si="28">$D$8/12*D140</f>
        <v>235207.30814427225</v>
      </c>
      <c r="G141" s="151">
        <f t="shared" ref="G141:G204" ca="1" si="29">E141-F141</f>
        <v>70812.013661139063</v>
      </c>
      <c r="H141" s="151">
        <f ca="1">'HUD - Snapshot'!$K$10/12*D140</f>
        <v>11760.365407213612</v>
      </c>
      <c r="I141" s="151">
        <f t="shared" ref="I141:I204" ca="1" si="30">SUM(F141:H141)</f>
        <v>317779.68721262494</v>
      </c>
      <c r="J141" s="162"/>
      <c r="K141" s="152"/>
      <c r="L141" s="152"/>
      <c r="Q141"/>
      <c r="R141"/>
      <c r="S141"/>
      <c r="T141"/>
      <c r="U141"/>
      <c r="V141"/>
      <c r="W141"/>
      <c r="X141"/>
      <c r="Y141"/>
      <c r="Z141"/>
      <c r="AA141"/>
      <c r="AB141"/>
      <c r="AC141"/>
      <c r="AD141"/>
      <c r="AE141"/>
      <c r="AF141"/>
      <c r="AG141"/>
      <c r="AH141"/>
      <c r="AI141"/>
      <c r="AJ141"/>
      <c r="AK141"/>
      <c r="AL141"/>
      <c r="AM141"/>
      <c r="AN141"/>
      <c r="AO141"/>
      <c r="AP141"/>
      <c r="AQ141"/>
    </row>
    <row r="142" spans="2:44" s="150" customFormat="1" ht="15">
      <c r="B142" s="150">
        <v>130</v>
      </c>
      <c r="C142" s="153">
        <v>48488</v>
      </c>
      <c r="D142" s="151">
        <f t="shared" ca="1" si="26"/>
        <v>56307834.877246141</v>
      </c>
      <c r="E142" s="151">
        <f t="shared" ca="1" si="27"/>
        <v>306019.32180541131</v>
      </c>
      <c r="F142" s="151">
        <f t="shared" ca="1" si="28"/>
        <v>234912.25808735084</v>
      </c>
      <c r="G142" s="151">
        <f t="shared" ca="1" si="29"/>
        <v>71107.063718060468</v>
      </c>
      <c r="H142" s="151">
        <f ca="1">'HUD - Snapshot'!$K$10/12*D141</f>
        <v>11745.612904367543</v>
      </c>
      <c r="I142" s="151">
        <f t="shared" ca="1" si="30"/>
        <v>317764.93470977887</v>
      </c>
      <c r="J142" s="162"/>
      <c r="K142" s="152"/>
      <c r="L142" s="152"/>
      <c r="Q142"/>
      <c r="R142"/>
      <c r="S142"/>
      <c r="T142"/>
      <c r="U142"/>
      <c r="V142"/>
      <c r="W142"/>
      <c r="X142"/>
      <c r="Y142"/>
      <c r="Z142"/>
      <c r="AA142"/>
      <c r="AB142"/>
      <c r="AC142"/>
      <c r="AD142"/>
      <c r="AE142"/>
      <c r="AF142"/>
      <c r="AG142"/>
      <c r="AH142"/>
      <c r="AI142"/>
      <c r="AJ142"/>
      <c r="AK142"/>
      <c r="AL142"/>
      <c r="AM142"/>
      <c r="AN142"/>
      <c r="AO142"/>
      <c r="AP142"/>
      <c r="AQ142"/>
    </row>
    <row r="143" spans="2:44" s="150" customFormat="1" ht="15">
      <c r="B143" s="150">
        <v>131</v>
      </c>
      <c r="C143" s="153">
        <v>48519</v>
      </c>
      <c r="D143" s="151">
        <f t="shared" ca="1" si="26"/>
        <v>56236431.534095921</v>
      </c>
      <c r="E143" s="151">
        <f t="shared" ca="1" si="27"/>
        <v>306019.32180541131</v>
      </c>
      <c r="F143" s="151">
        <f t="shared" ca="1" si="28"/>
        <v>234615.97865519224</v>
      </c>
      <c r="G143" s="151">
        <f t="shared" ca="1" si="29"/>
        <v>71403.343150219065</v>
      </c>
      <c r="H143" s="151">
        <f ca="1">'HUD - Snapshot'!$K$10/12*D142</f>
        <v>11730.798932759613</v>
      </c>
      <c r="I143" s="151">
        <f t="shared" ca="1" si="30"/>
        <v>317750.12073817092</v>
      </c>
      <c r="J143" s="162"/>
      <c r="K143" s="152"/>
      <c r="L143" s="152"/>
      <c r="Q143"/>
      <c r="R143"/>
      <c r="S143"/>
      <c r="T143"/>
      <c r="U143"/>
      <c r="V143"/>
      <c r="W143"/>
      <c r="X143"/>
      <c r="Y143"/>
      <c r="Z143"/>
      <c r="AA143"/>
      <c r="AB143"/>
      <c r="AC143"/>
      <c r="AD143"/>
      <c r="AE143"/>
      <c r="AF143"/>
      <c r="AG143"/>
      <c r="AH143"/>
      <c r="AI143"/>
      <c r="AJ143"/>
      <c r="AK143"/>
      <c r="AL143"/>
      <c r="AM143"/>
      <c r="AN143"/>
      <c r="AO143"/>
      <c r="AP143"/>
      <c r="AQ143"/>
      <c r="AR143" s="159">
        <f t="shared" ref="AR143" si="31">SUM(AL132:AL143)</f>
        <v>0</v>
      </c>
    </row>
    <row r="144" spans="2:44" s="150" customFormat="1" ht="15">
      <c r="B144" s="157">
        <v>132</v>
      </c>
      <c r="C144" s="158">
        <v>48549</v>
      </c>
      <c r="D144" s="159">
        <f t="shared" ca="1" si="26"/>
        <v>56164730.677015908</v>
      </c>
      <c r="E144" s="159">
        <f t="shared" ca="1" si="27"/>
        <v>306019.32180541131</v>
      </c>
      <c r="F144" s="159">
        <f t="shared" ca="1" si="28"/>
        <v>234318.46472539965</v>
      </c>
      <c r="G144" s="159">
        <f t="shared" ca="1" si="29"/>
        <v>71700.857080011658</v>
      </c>
      <c r="H144" s="159">
        <f ca="1">'HUD - Snapshot'!$K$10/12*D143</f>
        <v>11715.923236269984</v>
      </c>
      <c r="I144" s="159">
        <f t="shared" ca="1" si="30"/>
        <v>317735.24504168128</v>
      </c>
      <c r="J144" s="162"/>
      <c r="K144" s="159">
        <f ca="1">SUM(I133:I144)</f>
        <v>3813791.2829362112</v>
      </c>
      <c r="L144" s="159">
        <f t="shared" ref="L144" ca="1" si="32">SUM(F133:F144)</f>
        <v>2831188.4254254876</v>
      </c>
      <c r="M144" s="159">
        <f t="shared" ref="M144" ca="1" si="33">SUM(G133:G144)</f>
        <v>841043.43623944838</v>
      </c>
      <c r="N144" s="159">
        <f t="shared" ref="N144" ca="1" si="34">SUM(H133:H144)</f>
        <v>141559.42127127439</v>
      </c>
      <c r="Q144"/>
      <c r="R144"/>
      <c r="S144"/>
      <c r="T144"/>
      <c r="U144"/>
      <c r="V144"/>
      <c r="W144"/>
      <c r="X144"/>
      <c r="Y144"/>
      <c r="Z144"/>
      <c r="AA144"/>
      <c r="AB144"/>
      <c r="AC144"/>
      <c r="AD144"/>
      <c r="AE144"/>
      <c r="AF144"/>
      <c r="AG144"/>
      <c r="AH144"/>
      <c r="AI144"/>
      <c r="AJ144"/>
      <c r="AK144"/>
      <c r="AL144"/>
      <c r="AM144"/>
      <c r="AN144"/>
      <c r="AO144"/>
      <c r="AP144"/>
      <c r="AQ144"/>
    </row>
    <row r="145" spans="2:44" s="150" customFormat="1" ht="15">
      <c r="B145" s="150">
        <v>133</v>
      </c>
      <c r="C145" s="153">
        <v>48580</v>
      </c>
      <c r="D145" s="151">
        <f t="shared" ca="1" si="26"/>
        <v>56092731.066364728</v>
      </c>
      <c r="E145" s="151">
        <f t="shared" ca="1" si="27"/>
        <v>306019.32180541131</v>
      </c>
      <c r="F145" s="151">
        <f t="shared" ca="1" si="28"/>
        <v>234019.71115423294</v>
      </c>
      <c r="G145" s="151">
        <f t="shared" ca="1" si="29"/>
        <v>71999.610651178373</v>
      </c>
      <c r="H145" s="151">
        <f ca="1">'HUD - Snapshot'!$K$10/12*D144</f>
        <v>11700.985557711649</v>
      </c>
      <c r="I145" s="151">
        <f t="shared" ca="1" si="30"/>
        <v>317720.30736312293</v>
      </c>
      <c r="J145" s="162"/>
      <c r="K145" s="152"/>
      <c r="L145" s="152"/>
      <c r="Q145"/>
      <c r="R145"/>
      <c r="S145"/>
      <c r="T145"/>
      <c r="U145"/>
      <c r="V145"/>
      <c r="W145"/>
      <c r="X145"/>
      <c r="Y145"/>
      <c r="Z145"/>
      <c r="AA145"/>
      <c r="AB145"/>
      <c r="AC145"/>
      <c r="AD145"/>
      <c r="AE145"/>
      <c r="AF145"/>
      <c r="AG145"/>
      <c r="AH145"/>
      <c r="AI145"/>
      <c r="AJ145"/>
      <c r="AK145"/>
      <c r="AL145"/>
      <c r="AM145"/>
      <c r="AN145"/>
      <c r="AO145"/>
      <c r="AP145"/>
      <c r="AQ145"/>
    </row>
    <row r="146" spans="2:44" s="150" customFormat="1" ht="15">
      <c r="B146" s="150">
        <v>134</v>
      </c>
      <c r="C146" s="153">
        <v>48611</v>
      </c>
      <c r="D146" s="151">
        <f t="shared" ca="1" si="26"/>
        <v>56020431.457335837</v>
      </c>
      <c r="E146" s="151">
        <f t="shared" ca="1" si="27"/>
        <v>306019.32180541131</v>
      </c>
      <c r="F146" s="151">
        <f t="shared" ca="1" si="28"/>
        <v>233719.71277651971</v>
      </c>
      <c r="G146" s="151">
        <f t="shared" ca="1" si="29"/>
        <v>72299.609028891602</v>
      </c>
      <c r="H146" s="151">
        <f ca="1">'HUD - Snapshot'!$K$10/12*D145</f>
        <v>11685.985638825985</v>
      </c>
      <c r="I146" s="151">
        <f t="shared" ca="1" si="30"/>
        <v>317705.30744423729</v>
      </c>
      <c r="J146" s="162"/>
      <c r="K146" s="152"/>
      <c r="L146" s="152"/>
      <c r="Q146"/>
      <c r="R146"/>
      <c r="S146"/>
      <c r="T146"/>
      <c r="U146"/>
      <c r="V146"/>
      <c r="W146"/>
      <c r="X146"/>
      <c r="Y146"/>
      <c r="Z146"/>
      <c r="AA146"/>
      <c r="AB146"/>
      <c r="AC146"/>
      <c r="AD146"/>
      <c r="AE146"/>
      <c r="AF146"/>
      <c r="AG146"/>
      <c r="AH146"/>
      <c r="AI146"/>
      <c r="AJ146"/>
      <c r="AK146"/>
      <c r="AL146"/>
      <c r="AM146"/>
      <c r="AN146"/>
      <c r="AO146"/>
      <c r="AP146"/>
      <c r="AQ146"/>
    </row>
    <row r="147" spans="2:44" s="150" customFormat="1" ht="15">
      <c r="B147" s="150">
        <v>135</v>
      </c>
      <c r="C147" s="153">
        <v>48639</v>
      </c>
      <c r="D147" s="151">
        <f t="shared" ca="1" si="26"/>
        <v>55947830.599935994</v>
      </c>
      <c r="E147" s="151">
        <f t="shared" ca="1" si="27"/>
        <v>306019.32180541131</v>
      </c>
      <c r="F147" s="151">
        <f t="shared" ca="1" si="28"/>
        <v>233418.46440556599</v>
      </c>
      <c r="G147" s="151">
        <f t="shared" ca="1" si="29"/>
        <v>72600.857399845321</v>
      </c>
      <c r="H147" s="151">
        <f ca="1">'HUD - Snapshot'!$K$10/12*D146</f>
        <v>11670.923220278301</v>
      </c>
      <c r="I147" s="151">
        <f t="shared" ca="1" si="30"/>
        <v>317690.2450256896</v>
      </c>
      <c r="J147" s="162"/>
      <c r="K147" s="152"/>
      <c r="L147" s="152"/>
      <c r="Q147"/>
      <c r="R147"/>
      <c r="S147"/>
      <c r="T147"/>
      <c r="U147"/>
      <c r="V147"/>
      <c r="W147"/>
      <c r="X147"/>
      <c r="Y147"/>
      <c r="Z147"/>
      <c r="AA147"/>
      <c r="AB147"/>
      <c r="AC147"/>
      <c r="AD147"/>
      <c r="AE147"/>
      <c r="AF147"/>
      <c r="AG147"/>
      <c r="AH147"/>
      <c r="AI147"/>
      <c r="AJ147"/>
      <c r="AK147"/>
      <c r="AL147"/>
      <c r="AM147"/>
      <c r="AN147"/>
      <c r="AO147"/>
      <c r="AP147"/>
      <c r="AQ147"/>
    </row>
    <row r="148" spans="2:44" s="150" customFormat="1" ht="15">
      <c r="B148" s="150">
        <v>136</v>
      </c>
      <c r="C148" s="153">
        <v>48670</v>
      </c>
      <c r="D148" s="151">
        <f t="shared" ca="1" si="26"/>
        <v>55874927.238963649</v>
      </c>
      <c r="E148" s="151">
        <f t="shared" ca="1" si="27"/>
        <v>306019.32180541131</v>
      </c>
      <c r="F148" s="151">
        <f t="shared" ca="1" si="28"/>
        <v>233115.96083306664</v>
      </c>
      <c r="G148" s="151">
        <f t="shared" ca="1" si="29"/>
        <v>72903.360972344672</v>
      </c>
      <c r="H148" s="151">
        <f ca="1">'HUD - Snapshot'!$K$10/12*D147</f>
        <v>11655.798041653332</v>
      </c>
      <c r="I148" s="151">
        <f t="shared" ca="1" si="30"/>
        <v>317675.11984706466</v>
      </c>
      <c r="J148" s="162"/>
      <c r="K148" s="152"/>
      <c r="L148" s="152"/>
      <c r="Q148"/>
      <c r="R148"/>
      <c r="S148"/>
      <c r="T148"/>
      <c r="U148"/>
      <c r="V148"/>
      <c r="W148"/>
      <c r="X148"/>
      <c r="Y148"/>
      <c r="Z148"/>
      <c r="AA148"/>
      <c r="AB148"/>
      <c r="AC148"/>
      <c r="AD148"/>
      <c r="AE148"/>
      <c r="AF148"/>
      <c r="AG148"/>
      <c r="AH148"/>
      <c r="AI148"/>
      <c r="AJ148"/>
      <c r="AK148"/>
      <c r="AL148"/>
      <c r="AM148"/>
      <c r="AN148"/>
      <c r="AO148"/>
      <c r="AP148"/>
      <c r="AQ148"/>
    </row>
    <row r="149" spans="2:44" s="150" customFormat="1" ht="15">
      <c r="B149" s="150">
        <v>137</v>
      </c>
      <c r="C149" s="153">
        <v>48700</v>
      </c>
      <c r="D149" s="151">
        <f t="shared" ca="1" si="26"/>
        <v>55801720.113987252</v>
      </c>
      <c r="E149" s="151">
        <f t="shared" ca="1" si="27"/>
        <v>306019.32180541131</v>
      </c>
      <c r="F149" s="151">
        <f t="shared" ca="1" si="28"/>
        <v>232812.19682901519</v>
      </c>
      <c r="G149" s="151">
        <f t="shared" ca="1" si="29"/>
        <v>73207.124976396124</v>
      </c>
      <c r="H149" s="151">
        <f ca="1">'HUD - Snapshot'!$K$10/12*D148</f>
        <v>11640.609841450761</v>
      </c>
      <c r="I149" s="151">
        <f t="shared" ca="1" si="30"/>
        <v>317659.93164686207</v>
      </c>
      <c r="J149" s="162"/>
      <c r="K149" s="152"/>
      <c r="L149" s="152"/>
      <c r="Q149"/>
      <c r="R149"/>
      <c r="S149"/>
      <c r="T149"/>
      <c r="U149"/>
      <c r="V149"/>
      <c r="W149"/>
      <c r="X149"/>
      <c r="Y149"/>
      <c r="Z149"/>
      <c r="AA149"/>
      <c r="AB149"/>
      <c r="AC149"/>
      <c r="AD149"/>
      <c r="AE149"/>
      <c r="AF149"/>
      <c r="AG149"/>
      <c r="AH149"/>
      <c r="AI149"/>
      <c r="AJ149"/>
      <c r="AK149"/>
      <c r="AL149"/>
      <c r="AM149"/>
      <c r="AN149"/>
      <c r="AO149"/>
      <c r="AP149"/>
      <c r="AQ149"/>
    </row>
    <row r="150" spans="2:44" s="150" customFormat="1" ht="15">
      <c r="B150" s="150">
        <v>138</v>
      </c>
      <c r="C150" s="153">
        <v>48731</v>
      </c>
      <c r="D150" s="151">
        <f t="shared" ca="1" si="26"/>
        <v>55728207.959323451</v>
      </c>
      <c r="E150" s="151">
        <f t="shared" ca="1" si="27"/>
        <v>306019.32180541131</v>
      </c>
      <c r="F150" s="151">
        <f t="shared" ca="1" si="28"/>
        <v>232507.16714161355</v>
      </c>
      <c r="G150" s="151">
        <f t="shared" ca="1" si="29"/>
        <v>73512.154663797759</v>
      </c>
      <c r="H150" s="151">
        <f ca="1">'HUD - Snapshot'!$K$10/12*D149</f>
        <v>11625.358357080679</v>
      </c>
      <c r="I150" s="151">
        <f t="shared" ca="1" si="30"/>
        <v>317644.68016249198</v>
      </c>
      <c r="J150" s="162"/>
      <c r="K150" s="152"/>
      <c r="L150" s="152"/>
      <c r="Q150"/>
      <c r="R150"/>
      <c r="S150"/>
      <c r="T150"/>
      <c r="U150"/>
      <c r="V150"/>
      <c r="W150"/>
      <c r="X150"/>
      <c r="Y150"/>
      <c r="Z150"/>
      <c r="AA150"/>
      <c r="AB150"/>
      <c r="AC150"/>
      <c r="AD150"/>
      <c r="AE150"/>
      <c r="AF150"/>
      <c r="AG150"/>
      <c r="AH150"/>
      <c r="AI150"/>
      <c r="AJ150"/>
      <c r="AK150"/>
      <c r="AL150"/>
      <c r="AM150"/>
      <c r="AN150"/>
      <c r="AO150"/>
      <c r="AP150"/>
      <c r="AQ150"/>
    </row>
    <row r="151" spans="2:44" s="150" customFormat="1" ht="15">
      <c r="B151" s="150">
        <v>139</v>
      </c>
      <c r="C151" s="153">
        <v>48761</v>
      </c>
      <c r="D151" s="151">
        <f t="shared" ca="1" si="26"/>
        <v>55654389.504015222</v>
      </c>
      <c r="E151" s="151">
        <f t="shared" ca="1" si="27"/>
        <v>306019.32180541131</v>
      </c>
      <c r="F151" s="151">
        <f t="shared" ca="1" si="28"/>
        <v>232200.86649718104</v>
      </c>
      <c r="G151" s="151">
        <f t="shared" ca="1" si="29"/>
        <v>73818.455308230274</v>
      </c>
      <c r="H151" s="151">
        <f ca="1">'HUD - Snapshot'!$K$10/12*D150</f>
        <v>11610.043324859053</v>
      </c>
      <c r="I151" s="151">
        <f t="shared" ca="1" si="30"/>
        <v>317629.36513027037</v>
      </c>
      <c r="J151" s="162"/>
      <c r="K151" s="152"/>
      <c r="L151" s="152"/>
      <c r="Q151"/>
      <c r="R151"/>
      <c r="S151"/>
      <c r="T151"/>
      <c r="U151"/>
      <c r="V151"/>
      <c r="W151"/>
      <c r="X151"/>
      <c r="Y151"/>
      <c r="Z151"/>
      <c r="AA151"/>
      <c r="AB151"/>
      <c r="AC151"/>
      <c r="AD151"/>
      <c r="AE151"/>
      <c r="AF151"/>
      <c r="AG151"/>
      <c r="AH151"/>
      <c r="AI151"/>
      <c r="AJ151"/>
      <c r="AK151"/>
      <c r="AL151"/>
      <c r="AM151"/>
      <c r="AN151"/>
      <c r="AO151"/>
      <c r="AP151"/>
      <c r="AQ151"/>
    </row>
    <row r="152" spans="2:44" s="150" customFormat="1" ht="15">
      <c r="B152" s="150">
        <v>140</v>
      </c>
      <c r="C152" s="153">
        <v>48792</v>
      </c>
      <c r="D152" s="151">
        <f t="shared" ca="1" si="26"/>
        <v>55580263.471809871</v>
      </c>
      <c r="E152" s="151">
        <f t="shared" ca="1" si="27"/>
        <v>306019.32180541131</v>
      </c>
      <c r="F152" s="151">
        <f t="shared" ca="1" si="28"/>
        <v>231893.28960006344</v>
      </c>
      <c r="G152" s="151">
        <f t="shared" ca="1" si="29"/>
        <v>74126.032205347874</v>
      </c>
      <c r="H152" s="151">
        <f ca="1">'HUD - Snapshot'!$K$10/12*D151</f>
        <v>11594.664480003172</v>
      </c>
      <c r="I152" s="151">
        <f t="shared" ca="1" si="30"/>
        <v>317613.98628541449</v>
      </c>
      <c r="J152" s="162"/>
      <c r="K152" s="152"/>
      <c r="L152" s="152"/>
      <c r="Q152"/>
      <c r="R152"/>
      <c r="S152"/>
      <c r="T152"/>
      <c r="U152"/>
      <c r="V152"/>
      <c r="W152"/>
      <c r="X152"/>
      <c r="Y152"/>
      <c r="Z152"/>
      <c r="AA152"/>
      <c r="AB152"/>
      <c r="AC152"/>
      <c r="AD152"/>
      <c r="AE152"/>
      <c r="AF152"/>
      <c r="AG152"/>
      <c r="AH152"/>
      <c r="AI152"/>
      <c r="AJ152"/>
      <c r="AK152"/>
      <c r="AL152"/>
      <c r="AM152"/>
      <c r="AN152"/>
      <c r="AO152"/>
      <c r="AP152"/>
      <c r="AQ152"/>
    </row>
    <row r="153" spans="2:44" s="150" customFormat="1" ht="15">
      <c r="B153" s="150">
        <v>141</v>
      </c>
      <c r="C153" s="153">
        <v>48823</v>
      </c>
      <c r="D153" s="151">
        <f t="shared" ca="1" si="26"/>
        <v>55505828.581137002</v>
      </c>
      <c r="E153" s="151">
        <f t="shared" ca="1" si="27"/>
        <v>306019.32180541131</v>
      </c>
      <c r="F153" s="151">
        <f t="shared" ca="1" si="28"/>
        <v>231584.43113254113</v>
      </c>
      <c r="G153" s="151">
        <f t="shared" ca="1" si="29"/>
        <v>74434.890672870184</v>
      </c>
      <c r="H153" s="151">
        <f ca="1">'HUD - Snapshot'!$K$10/12*D152</f>
        <v>11579.221556627057</v>
      </c>
      <c r="I153" s="151">
        <f t="shared" ca="1" si="30"/>
        <v>317598.54336203838</v>
      </c>
      <c r="J153" s="162"/>
      <c r="K153" s="152"/>
      <c r="L153" s="152"/>
      <c r="Q153"/>
      <c r="R153"/>
      <c r="S153"/>
      <c r="T153"/>
      <c r="U153"/>
      <c r="V153"/>
      <c r="W153"/>
      <c r="X153"/>
      <c r="Y153"/>
      <c r="Z153"/>
      <c r="AA153"/>
      <c r="AB153"/>
      <c r="AC153"/>
      <c r="AD153"/>
      <c r="AE153"/>
      <c r="AF153"/>
      <c r="AG153"/>
      <c r="AH153"/>
      <c r="AI153"/>
      <c r="AJ153"/>
      <c r="AK153"/>
      <c r="AL153"/>
      <c r="AM153"/>
      <c r="AN153"/>
      <c r="AO153"/>
      <c r="AP153"/>
      <c r="AQ153"/>
    </row>
    <row r="154" spans="2:44" s="150" customFormat="1" ht="15">
      <c r="B154" s="150">
        <v>142</v>
      </c>
      <c r="C154" s="153">
        <v>48853</v>
      </c>
      <c r="D154" s="151">
        <f t="shared" ca="1" si="26"/>
        <v>55431083.545086324</v>
      </c>
      <c r="E154" s="151">
        <f t="shared" ca="1" si="27"/>
        <v>306019.32180541131</v>
      </c>
      <c r="F154" s="151">
        <f t="shared" ca="1" si="28"/>
        <v>231274.2857547375</v>
      </c>
      <c r="G154" s="151">
        <f t="shared" ca="1" si="29"/>
        <v>74745.036050673807</v>
      </c>
      <c r="H154" s="151">
        <f ca="1">'HUD - Snapshot'!$K$10/12*D153</f>
        <v>11563.714287736877</v>
      </c>
      <c r="I154" s="151">
        <f t="shared" ca="1" si="30"/>
        <v>317583.03609314817</v>
      </c>
      <c r="J154" s="162"/>
      <c r="K154" s="152"/>
      <c r="L154" s="152"/>
      <c r="Q154"/>
      <c r="R154"/>
      <c r="S154"/>
      <c r="T154"/>
      <c r="U154"/>
      <c r="V154"/>
      <c r="W154"/>
      <c r="X154"/>
      <c r="Y154"/>
      <c r="Z154"/>
      <c r="AA154"/>
      <c r="AB154"/>
      <c r="AC154"/>
      <c r="AD154"/>
      <c r="AE154"/>
      <c r="AF154"/>
      <c r="AG154"/>
      <c r="AH154"/>
      <c r="AI154"/>
      <c r="AJ154"/>
      <c r="AK154"/>
      <c r="AL154"/>
      <c r="AM154"/>
      <c r="AN154"/>
      <c r="AO154"/>
      <c r="AP154"/>
      <c r="AQ154"/>
    </row>
    <row r="155" spans="2:44" s="150" customFormat="1" ht="15">
      <c r="B155" s="150">
        <v>143</v>
      </c>
      <c r="C155" s="153">
        <v>48884</v>
      </c>
      <c r="D155" s="151">
        <f t="shared" ca="1" si="26"/>
        <v>55356027.071385436</v>
      </c>
      <c r="E155" s="151">
        <f t="shared" ca="1" si="27"/>
        <v>306019.32180541131</v>
      </c>
      <c r="F155" s="151">
        <f t="shared" ca="1" si="28"/>
        <v>230962.84810452635</v>
      </c>
      <c r="G155" s="151">
        <f t="shared" ca="1" si="29"/>
        <v>75056.473700884962</v>
      </c>
      <c r="H155" s="151">
        <f ca="1">'HUD - Snapshot'!$K$10/12*D154</f>
        <v>11548.142405226319</v>
      </c>
      <c r="I155" s="151">
        <f t="shared" ca="1" si="30"/>
        <v>317567.46421063761</v>
      </c>
      <c r="J155" s="162"/>
      <c r="K155" s="152"/>
      <c r="L155" s="152"/>
      <c r="Q155"/>
      <c r="R155"/>
      <c r="S155"/>
      <c r="T155"/>
      <c r="U155"/>
      <c r="V155"/>
      <c r="W155"/>
      <c r="X155"/>
      <c r="Y155"/>
      <c r="Z155"/>
      <c r="AA155"/>
      <c r="AB155"/>
      <c r="AC155"/>
      <c r="AD155"/>
      <c r="AE155"/>
      <c r="AF155"/>
      <c r="AG155"/>
      <c r="AH155"/>
      <c r="AI155"/>
      <c r="AJ155"/>
      <c r="AK155"/>
      <c r="AL155"/>
      <c r="AM155"/>
      <c r="AN155"/>
      <c r="AO155"/>
      <c r="AP155"/>
      <c r="AQ155"/>
      <c r="AR155" s="159">
        <f t="shared" ref="AR155" si="35">SUM(AL144:AL155)</f>
        <v>0</v>
      </c>
    </row>
    <row r="156" spans="2:44" s="150" customFormat="1" ht="15">
      <c r="B156" s="157">
        <v>144</v>
      </c>
      <c r="C156" s="158">
        <v>48914</v>
      </c>
      <c r="D156" s="159">
        <f t="shared" ca="1" si="26"/>
        <v>55280657.862377465</v>
      </c>
      <c r="E156" s="159">
        <f t="shared" ca="1" si="27"/>
        <v>306019.32180541131</v>
      </c>
      <c r="F156" s="159">
        <f t="shared" ca="1" si="28"/>
        <v>230650.1127974393</v>
      </c>
      <c r="G156" s="159">
        <f t="shared" ca="1" si="29"/>
        <v>75369.209007972007</v>
      </c>
      <c r="H156" s="159">
        <f ca="1">'HUD - Snapshot'!$K$10/12*D155</f>
        <v>11532.505639871966</v>
      </c>
      <c r="I156" s="159">
        <f t="shared" ca="1" si="30"/>
        <v>317551.8274452833</v>
      </c>
      <c r="J156" s="162"/>
      <c r="K156" s="159">
        <f ca="1">SUM(I145:I156)</f>
        <v>3811639.8140162611</v>
      </c>
      <c r="L156" s="159">
        <f t="shared" ref="L156" ca="1" si="36">SUM(F145:F156)</f>
        <v>2788159.0470265024</v>
      </c>
      <c r="M156" s="159">
        <f t="shared" ref="M156" ca="1" si="37">SUM(G145:G156)</f>
        <v>884072.81463843305</v>
      </c>
      <c r="N156" s="159">
        <f t="shared" ref="N156" ca="1" si="38">SUM(H145:H156)</f>
        <v>139407.95235132516</v>
      </c>
      <c r="Q156"/>
      <c r="R156"/>
      <c r="S156"/>
      <c r="T156"/>
      <c r="U156"/>
      <c r="V156"/>
      <c r="W156"/>
      <c r="X156"/>
      <c r="Y156"/>
      <c r="Z156"/>
      <c r="AA156"/>
      <c r="AB156"/>
      <c r="AC156"/>
      <c r="AD156"/>
      <c r="AE156"/>
      <c r="AF156"/>
      <c r="AG156"/>
      <c r="AH156"/>
      <c r="AI156"/>
      <c r="AJ156"/>
      <c r="AK156"/>
      <c r="AL156"/>
      <c r="AM156"/>
      <c r="AN156"/>
      <c r="AO156"/>
      <c r="AP156"/>
      <c r="AQ156"/>
    </row>
    <row r="157" spans="2:44" s="150" customFormat="1" ht="15">
      <c r="B157" s="150">
        <v>145</v>
      </c>
      <c r="C157" s="153">
        <v>48945</v>
      </c>
      <c r="D157" s="151">
        <f t="shared" ca="1" si="26"/>
        <v>55204974.614998624</v>
      </c>
      <c r="E157" s="151">
        <f t="shared" ca="1" si="27"/>
        <v>306019.32180541131</v>
      </c>
      <c r="F157" s="151">
        <f t="shared" ca="1" si="28"/>
        <v>230336.07442657277</v>
      </c>
      <c r="G157" s="151">
        <f t="shared" ca="1" si="29"/>
        <v>75683.24737883854</v>
      </c>
      <c r="H157" s="151">
        <f ca="1">'HUD - Snapshot'!$K$10/12*D156</f>
        <v>11516.803721328639</v>
      </c>
      <c r="I157" s="151">
        <f t="shared" ca="1" si="30"/>
        <v>317536.12552673992</v>
      </c>
      <c r="J157" s="162"/>
      <c r="K157" s="152"/>
      <c r="L157" s="152"/>
      <c r="Q157"/>
      <c r="R157"/>
      <c r="S157"/>
      <c r="T157"/>
      <c r="U157"/>
      <c r="V157"/>
      <c r="W157"/>
      <c r="X157"/>
      <c r="Y157"/>
      <c r="Z157"/>
      <c r="AA157"/>
      <c r="AB157"/>
      <c r="AC157"/>
      <c r="AD157"/>
      <c r="AE157"/>
      <c r="AF157"/>
      <c r="AG157"/>
      <c r="AH157"/>
      <c r="AI157"/>
      <c r="AJ157"/>
      <c r="AK157"/>
      <c r="AL157"/>
      <c r="AM157"/>
      <c r="AN157"/>
      <c r="AO157"/>
      <c r="AP157"/>
      <c r="AQ157"/>
    </row>
    <row r="158" spans="2:44" s="150" customFormat="1" ht="15">
      <c r="B158" s="150">
        <v>146</v>
      </c>
      <c r="C158" s="153">
        <v>48976</v>
      </c>
      <c r="D158" s="151">
        <f t="shared" ca="1" si="26"/>
        <v>55128976.020755708</v>
      </c>
      <c r="E158" s="151">
        <f t="shared" ca="1" si="27"/>
        <v>306019.32180541131</v>
      </c>
      <c r="F158" s="151">
        <f t="shared" ca="1" si="28"/>
        <v>230020.72756249426</v>
      </c>
      <c r="G158" s="151">
        <f t="shared" ca="1" si="29"/>
        <v>75998.594242917054</v>
      </c>
      <c r="H158" s="151">
        <f ca="1">'HUD - Snapshot'!$K$10/12*D157</f>
        <v>11501.036378124714</v>
      </c>
      <c r="I158" s="151">
        <f t="shared" ca="1" si="30"/>
        <v>317520.35818353604</v>
      </c>
      <c r="J158" s="162"/>
      <c r="K158" s="152"/>
      <c r="L158" s="152"/>
      <c r="Q158"/>
      <c r="R158"/>
      <c r="S158"/>
      <c r="T158"/>
      <c r="U158"/>
      <c r="V158"/>
      <c r="W158"/>
      <c r="X158"/>
      <c r="Y158"/>
      <c r="Z158"/>
      <c r="AA158"/>
      <c r="AB158"/>
      <c r="AC158"/>
      <c r="AD158"/>
      <c r="AE158"/>
      <c r="AF158"/>
      <c r="AG158"/>
      <c r="AH158"/>
      <c r="AI158"/>
      <c r="AJ158"/>
      <c r="AK158"/>
      <c r="AL158"/>
      <c r="AM158"/>
      <c r="AN158"/>
      <c r="AO158"/>
      <c r="AP158"/>
      <c r="AQ158"/>
    </row>
    <row r="159" spans="2:44" s="150" customFormat="1" ht="15">
      <c r="B159" s="150">
        <v>147</v>
      </c>
      <c r="C159" s="153">
        <v>49004</v>
      </c>
      <c r="D159" s="151">
        <f t="shared" ca="1" si="26"/>
        <v>55052660.765703447</v>
      </c>
      <c r="E159" s="151">
        <f t="shared" ca="1" si="27"/>
        <v>306019.32180541131</v>
      </c>
      <c r="F159" s="151">
        <f t="shared" ca="1" si="28"/>
        <v>229704.06675314877</v>
      </c>
      <c r="G159" s="151">
        <f t="shared" ca="1" si="29"/>
        <v>76315.255052262539</v>
      </c>
      <c r="H159" s="151">
        <f ca="1">'HUD - Snapshot'!$K$10/12*D158</f>
        <v>11485.20333765744</v>
      </c>
      <c r="I159" s="151">
        <f t="shared" ca="1" si="30"/>
        <v>317504.52514306875</v>
      </c>
      <c r="J159" s="162"/>
      <c r="K159" s="152"/>
      <c r="L159" s="152"/>
      <c r="Q159"/>
      <c r="R159"/>
      <c r="S159"/>
      <c r="T159"/>
      <c r="U159"/>
      <c r="V159"/>
      <c r="W159"/>
      <c r="X159"/>
      <c r="Y159"/>
      <c r="Z159"/>
      <c r="AA159"/>
      <c r="AB159"/>
      <c r="AC159"/>
      <c r="AD159"/>
      <c r="AE159"/>
      <c r="AF159"/>
      <c r="AG159"/>
      <c r="AH159"/>
      <c r="AI159"/>
      <c r="AJ159"/>
      <c r="AK159"/>
      <c r="AL159"/>
      <c r="AM159"/>
      <c r="AN159"/>
      <c r="AO159"/>
      <c r="AP159"/>
      <c r="AQ159"/>
    </row>
    <row r="160" spans="2:44" s="150" customFormat="1" ht="15">
      <c r="B160" s="150">
        <v>148</v>
      </c>
      <c r="C160" s="153">
        <v>49035</v>
      </c>
      <c r="D160" s="151">
        <f t="shared" ca="1" si="26"/>
        <v>54976027.530421801</v>
      </c>
      <c r="E160" s="151">
        <f t="shared" ca="1" si="27"/>
        <v>306019.32180541131</v>
      </c>
      <c r="F160" s="151">
        <f t="shared" ca="1" si="28"/>
        <v>229386.08652376436</v>
      </c>
      <c r="G160" s="151">
        <f t="shared" ca="1" si="29"/>
        <v>76633.23528164695</v>
      </c>
      <c r="H160" s="151">
        <f ca="1">'HUD - Snapshot'!$K$10/12*D159</f>
        <v>11469.304326188219</v>
      </c>
      <c r="I160" s="151">
        <f t="shared" ca="1" si="30"/>
        <v>317488.62613159954</v>
      </c>
      <c r="J160" s="162"/>
      <c r="K160" s="152"/>
      <c r="L160" s="152"/>
      <c r="Q160"/>
      <c r="R160"/>
      <c r="S160"/>
      <c r="T160"/>
      <c r="U160"/>
      <c r="V160"/>
      <c r="W160"/>
      <c r="X160"/>
      <c r="Y160"/>
      <c r="Z160"/>
      <c r="AA160"/>
      <c r="AB160"/>
      <c r="AC160"/>
      <c r="AD160"/>
      <c r="AE160"/>
      <c r="AF160"/>
      <c r="AG160"/>
      <c r="AH160"/>
      <c r="AI160"/>
      <c r="AJ160"/>
      <c r="AK160"/>
      <c r="AL160"/>
      <c r="AM160"/>
      <c r="AN160"/>
      <c r="AO160"/>
      <c r="AP160"/>
      <c r="AQ160"/>
    </row>
    <row r="161" spans="2:44" s="150" customFormat="1" ht="15">
      <c r="B161" s="150">
        <v>149</v>
      </c>
      <c r="C161" s="153">
        <v>49065</v>
      </c>
      <c r="D161" s="151">
        <f t="shared" ca="1" si="26"/>
        <v>54899074.989993148</v>
      </c>
      <c r="E161" s="151">
        <f t="shared" ca="1" si="27"/>
        <v>306019.32180541131</v>
      </c>
      <c r="F161" s="151">
        <f t="shared" ca="1" si="28"/>
        <v>229066.78137675751</v>
      </c>
      <c r="G161" s="151">
        <f t="shared" ca="1" si="29"/>
        <v>76952.540428653796</v>
      </c>
      <c r="H161" s="151">
        <f ca="1">'HUD - Snapshot'!$K$10/12*D160</f>
        <v>11453.339068837877</v>
      </c>
      <c r="I161" s="151">
        <f t="shared" ca="1" si="30"/>
        <v>317472.66087424918</v>
      </c>
      <c r="J161" s="162"/>
      <c r="K161" s="152"/>
      <c r="L161" s="152"/>
      <c r="Q161"/>
      <c r="R161"/>
      <c r="S161"/>
      <c r="T161"/>
      <c r="U161"/>
      <c r="V161"/>
      <c r="W161"/>
      <c r="X161"/>
      <c r="Y161"/>
      <c r="Z161"/>
      <c r="AA161"/>
      <c r="AB161"/>
      <c r="AC161"/>
      <c r="AD161"/>
      <c r="AE161"/>
      <c r="AF161"/>
      <c r="AG161"/>
      <c r="AH161"/>
      <c r="AI161"/>
      <c r="AJ161"/>
      <c r="AK161"/>
      <c r="AL161"/>
      <c r="AM161"/>
      <c r="AN161"/>
      <c r="AO161"/>
      <c r="AP161"/>
      <c r="AQ161"/>
    </row>
    <row r="162" spans="2:44" s="150" customFormat="1" ht="15">
      <c r="B162" s="150">
        <v>150</v>
      </c>
      <c r="C162" s="153">
        <v>49096</v>
      </c>
      <c r="D162" s="151">
        <f t="shared" ca="1" si="26"/>
        <v>54821801.813979372</v>
      </c>
      <c r="E162" s="151">
        <f t="shared" ca="1" si="27"/>
        <v>306019.32180541131</v>
      </c>
      <c r="F162" s="151">
        <f t="shared" ca="1" si="28"/>
        <v>228746.14579163812</v>
      </c>
      <c r="G162" s="151">
        <f t="shared" ca="1" si="29"/>
        <v>77273.176013773191</v>
      </c>
      <c r="H162" s="151">
        <f ca="1">'HUD - Snapshot'!$K$10/12*D161</f>
        <v>11437.307289581906</v>
      </c>
      <c r="I162" s="151">
        <f t="shared" ca="1" si="30"/>
        <v>317456.62909499323</v>
      </c>
      <c r="J162" s="162"/>
      <c r="K162" s="152"/>
      <c r="L162" s="152"/>
      <c r="Q162"/>
      <c r="R162"/>
      <c r="S162"/>
      <c r="T162"/>
      <c r="U162"/>
      <c r="V162"/>
      <c r="W162"/>
      <c r="X162"/>
      <c r="Y162"/>
      <c r="Z162"/>
      <c r="AA162"/>
      <c r="AB162"/>
      <c r="AC162"/>
      <c r="AD162"/>
      <c r="AE162"/>
      <c r="AF162"/>
      <c r="AG162"/>
      <c r="AH162"/>
      <c r="AI162"/>
      <c r="AJ162"/>
      <c r="AK162"/>
      <c r="AL162"/>
      <c r="AM162"/>
      <c r="AN162"/>
      <c r="AO162"/>
      <c r="AP162"/>
      <c r="AQ162"/>
    </row>
    <row r="163" spans="2:44" s="150" customFormat="1" ht="15">
      <c r="B163" s="150">
        <v>151</v>
      </c>
      <c r="C163" s="153">
        <v>49126</v>
      </c>
      <c r="D163" s="151">
        <f t="shared" ca="1" si="26"/>
        <v>54744206.666398875</v>
      </c>
      <c r="E163" s="151">
        <f t="shared" ca="1" si="27"/>
        <v>306019.32180541131</v>
      </c>
      <c r="F163" s="151">
        <f t="shared" ca="1" si="28"/>
        <v>228424.17422491405</v>
      </c>
      <c r="G163" s="151">
        <f t="shared" ca="1" si="29"/>
        <v>77595.147580497258</v>
      </c>
      <c r="H163" s="151">
        <f ca="1">'HUD - Snapshot'!$K$10/12*D162</f>
        <v>11421.208711245703</v>
      </c>
      <c r="I163" s="151">
        <f t="shared" ca="1" si="30"/>
        <v>317440.53051665699</v>
      </c>
      <c r="J163" s="162"/>
      <c r="K163" s="152"/>
      <c r="L163" s="152"/>
      <c r="Q163"/>
      <c r="R163"/>
      <c r="S163"/>
      <c r="T163"/>
      <c r="U163"/>
      <c r="V163"/>
      <c r="W163"/>
      <c r="X163"/>
      <c r="Y163"/>
      <c r="Z163"/>
      <c r="AA163"/>
      <c r="AB163"/>
      <c r="AC163"/>
      <c r="AD163"/>
      <c r="AE163"/>
      <c r="AF163"/>
      <c r="AG163"/>
      <c r="AH163"/>
      <c r="AI163"/>
      <c r="AJ163"/>
      <c r="AK163"/>
      <c r="AL163"/>
      <c r="AM163"/>
      <c r="AN163"/>
      <c r="AO163"/>
      <c r="AP163"/>
      <c r="AQ163"/>
    </row>
    <row r="164" spans="2:44" s="150" customFormat="1" ht="15">
      <c r="B164" s="150">
        <v>152</v>
      </c>
      <c r="C164" s="153">
        <v>49157</v>
      </c>
      <c r="D164" s="151">
        <f t="shared" ca="1" si="26"/>
        <v>54666288.20570346</v>
      </c>
      <c r="E164" s="151">
        <f t="shared" ca="1" si="27"/>
        <v>306019.32180541131</v>
      </c>
      <c r="F164" s="151">
        <f t="shared" ca="1" si="28"/>
        <v>228100.86110999531</v>
      </c>
      <c r="G164" s="151">
        <f t="shared" ca="1" si="29"/>
        <v>77918.460695415997</v>
      </c>
      <c r="H164" s="151">
        <f ca="1">'HUD - Snapshot'!$K$10/12*D163</f>
        <v>11405.043055499766</v>
      </c>
      <c r="I164" s="151">
        <f t="shared" ca="1" si="30"/>
        <v>317424.3648609111</v>
      </c>
      <c r="J164" s="162"/>
      <c r="K164" s="152"/>
      <c r="L164" s="152"/>
      <c r="Q164"/>
      <c r="R164"/>
      <c r="S164"/>
      <c r="T164"/>
      <c r="U164"/>
      <c r="V164"/>
      <c r="W164"/>
      <c r="X164"/>
      <c r="Y164"/>
      <c r="Z164"/>
      <c r="AA164"/>
      <c r="AB164"/>
      <c r="AC164"/>
      <c r="AD164"/>
      <c r="AE164"/>
      <c r="AF164"/>
      <c r="AG164"/>
      <c r="AH164"/>
      <c r="AI164"/>
      <c r="AJ164"/>
      <c r="AK164"/>
      <c r="AL164"/>
      <c r="AM164"/>
      <c r="AN164"/>
      <c r="AO164"/>
      <c r="AP164"/>
      <c r="AQ164"/>
    </row>
    <row r="165" spans="2:44" s="150" customFormat="1" ht="15">
      <c r="B165" s="150">
        <v>153</v>
      </c>
      <c r="C165" s="153">
        <v>49188</v>
      </c>
      <c r="D165" s="151">
        <f t="shared" ca="1" si="26"/>
        <v>54588045.084755145</v>
      </c>
      <c r="E165" s="151">
        <f t="shared" ca="1" si="27"/>
        <v>306019.32180541131</v>
      </c>
      <c r="F165" s="151">
        <f t="shared" ca="1" si="28"/>
        <v>227776.20085709775</v>
      </c>
      <c r="G165" s="151">
        <f t="shared" ca="1" si="29"/>
        <v>78243.120948313561</v>
      </c>
      <c r="H165" s="151">
        <f ca="1">'HUD - Snapshot'!$K$10/12*D164</f>
        <v>11388.810042854888</v>
      </c>
      <c r="I165" s="151">
        <f t="shared" ca="1" si="30"/>
        <v>317408.13184826617</v>
      </c>
      <c r="J165" s="162"/>
      <c r="K165" s="152"/>
      <c r="L165" s="152"/>
      <c r="Q165"/>
      <c r="R165"/>
      <c r="S165"/>
      <c r="T165"/>
      <c r="U165"/>
      <c r="V165"/>
      <c r="W165"/>
      <c r="X165"/>
      <c r="Y165"/>
      <c r="Z165"/>
      <c r="AA165"/>
      <c r="AB165"/>
      <c r="AC165"/>
      <c r="AD165"/>
      <c r="AE165"/>
      <c r="AF165"/>
      <c r="AG165"/>
      <c r="AH165"/>
      <c r="AI165"/>
      <c r="AJ165"/>
      <c r="AK165"/>
      <c r="AL165"/>
      <c r="AM165"/>
      <c r="AN165"/>
      <c r="AO165"/>
      <c r="AP165"/>
      <c r="AQ165"/>
    </row>
    <row r="166" spans="2:44" s="150" customFormat="1" ht="15">
      <c r="B166" s="150">
        <v>154</v>
      </c>
      <c r="C166" s="153">
        <v>49218</v>
      </c>
      <c r="D166" s="151">
        <f t="shared" ca="1" si="26"/>
        <v>54509475.950802878</v>
      </c>
      <c r="E166" s="151">
        <f t="shared" ca="1" si="27"/>
        <v>306019.32180541131</v>
      </c>
      <c r="F166" s="151">
        <f t="shared" ca="1" si="28"/>
        <v>227450.18785314643</v>
      </c>
      <c r="G166" s="151">
        <f t="shared" ca="1" si="29"/>
        <v>78569.133952264878</v>
      </c>
      <c r="H166" s="151">
        <f ca="1">'HUD - Snapshot'!$K$10/12*D165</f>
        <v>11372.509392657323</v>
      </c>
      <c r="I166" s="151">
        <f t="shared" ca="1" si="30"/>
        <v>317391.83119806863</v>
      </c>
      <c r="J166" s="162"/>
      <c r="K166" s="152"/>
      <c r="L166" s="152"/>
      <c r="Q166"/>
      <c r="R166"/>
      <c r="S166"/>
      <c r="T166"/>
      <c r="U166"/>
      <c r="V166"/>
      <c r="W166"/>
      <c r="X166"/>
      <c r="Y166"/>
      <c r="Z166"/>
      <c r="AA166"/>
      <c r="AB166"/>
      <c r="AC166"/>
      <c r="AD166"/>
      <c r="AE166"/>
      <c r="AF166"/>
      <c r="AG166"/>
      <c r="AH166"/>
      <c r="AI166"/>
      <c r="AJ166"/>
      <c r="AK166"/>
      <c r="AL166"/>
      <c r="AM166"/>
      <c r="AN166"/>
      <c r="AO166"/>
      <c r="AP166"/>
      <c r="AQ166"/>
    </row>
    <row r="167" spans="2:44" s="150" customFormat="1" ht="15">
      <c r="B167" s="150">
        <v>155</v>
      </c>
      <c r="C167" s="153">
        <v>49249</v>
      </c>
      <c r="D167" s="151">
        <f t="shared" ca="1" si="26"/>
        <v>54430579.445459142</v>
      </c>
      <c r="E167" s="151">
        <f t="shared" ca="1" si="27"/>
        <v>306019.32180541131</v>
      </c>
      <c r="F167" s="151">
        <f t="shared" ca="1" si="28"/>
        <v>227122.81646167865</v>
      </c>
      <c r="G167" s="151">
        <f t="shared" ca="1" si="29"/>
        <v>78896.505343732657</v>
      </c>
      <c r="H167" s="151">
        <f ca="1">'HUD - Snapshot'!$K$10/12*D166</f>
        <v>11356.140823083933</v>
      </c>
      <c r="I167" s="151">
        <f t="shared" ca="1" si="30"/>
        <v>317375.46262849524</v>
      </c>
      <c r="J167" s="162"/>
      <c r="K167" s="152"/>
      <c r="L167" s="152"/>
      <c r="Q167"/>
      <c r="R167"/>
      <c r="S167"/>
      <c r="T167"/>
      <c r="U167"/>
      <c r="V167"/>
      <c r="W167"/>
      <c r="X167"/>
      <c r="Y167"/>
      <c r="Z167"/>
      <c r="AA167"/>
      <c r="AB167"/>
      <c r="AC167"/>
      <c r="AD167"/>
      <c r="AE167"/>
      <c r="AF167"/>
      <c r="AG167"/>
      <c r="AH167"/>
      <c r="AI167"/>
      <c r="AJ167"/>
      <c r="AK167"/>
      <c r="AL167"/>
      <c r="AM167"/>
      <c r="AN167"/>
      <c r="AO167"/>
      <c r="AP167"/>
      <c r="AQ167"/>
      <c r="AR167" s="159">
        <f t="shared" ref="AR167" si="39">SUM(AL156:AL167)</f>
        <v>0</v>
      </c>
    </row>
    <row r="168" spans="2:44" s="150" customFormat="1" ht="15">
      <c r="B168" s="150">
        <v>156</v>
      </c>
      <c r="C168" s="153">
        <v>49279</v>
      </c>
      <c r="D168" s="151">
        <f t="shared" ca="1" si="26"/>
        <v>54351354.204676479</v>
      </c>
      <c r="E168" s="151">
        <f t="shared" ca="1" si="27"/>
        <v>306019.32180541131</v>
      </c>
      <c r="F168" s="151">
        <f t="shared" ca="1" si="28"/>
        <v>226794.08102274642</v>
      </c>
      <c r="G168" s="151">
        <f t="shared" ca="1" si="29"/>
        <v>79225.240782664885</v>
      </c>
      <c r="H168" s="151">
        <f ca="1">'HUD - Snapshot'!$K$10/12*D167</f>
        <v>11339.704051137322</v>
      </c>
      <c r="I168" s="151">
        <f t="shared" ca="1" si="30"/>
        <v>317359.02585654863</v>
      </c>
      <c r="J168" s="162"/>
      <c r="K168" s="159">
        <f ca="1">SUM(I157:I168)</f>
        <v>3809378.2718631336</v>
      </c>
      <c r="L168" s="159">
        <f t="shared" ref="L168" ca="1" si="40">SUM(F157:F168)</f>
        <v>2742928.2039639545</v>
      </c>
      <c r="M168" s="159">
        <f t="shared" ref="M168" ca="1" si="41">SUM(G157:G168)</f>
        <v>929303.65770098125</v>
      </c>
      <c r="N168" s="159">
        <f t="shared" ref="N168" ca="1" si="42">SUM(H157:H168)</f>
        <v>137146.41019819773</v>
      </c>
      <c r="Q168"/>
      <c r="R168"/>
      <c r="S168"/>
      <c r="T168"/>
      <c r="U168"/>
      <c r="V168"/>
      <c r="W168"/>
      <c r="X168"/>
      <c r="Y168"/>
      <c r="Z168"/>
      <c r="AA168"/>
      <c r="AB168"/>
      <c r="AC168"/>
      <c r="AD168"/>
      <c r="AE168"/>
      <c r="AF168"/>
      <c r="AG168"/>
      <c r="AH168"/>
      <c r="AI168"/>
      <c r="AJ168"/>
      <c r="AK168"/>
      <c r="AL168"/>
      <c r="AM168"/>
      <c r="AN168"/>
      <c r="AO168"/>
      <c r="AP168"/>
      <c r="AQ168"/>
    </row>
    <row r="169" spans="2:44" s="150" customFormat="1" ht="15">
      <c r="B169" s="150">
        <v>157</v>
      </c>
      <c r="C169" s="153">
        <v>49310</v>
      </c>
      <c r="D169" s="151">
        <f t="shared" ca="1" si="26"/>
        <v>54271798.858723886</v>
      </c>
      <c r="E169" s="151">
        <f t="shared" ca="1" si="27"/>
        <v>306019.32180541131</v>
      </c>
      <c r="F169" s="151">
        <f t="shared" ca="1" si="28"/>
        <v>226463.97585281866</v>
      </c>
      <c r="G169" s="151">
        <f t="shared" ca="1" si="29"/>
        <v>79555.345952592645</v>
      </c>
      <c r="H169" s="151">
        <f ca="1">'HUD - Snapshot'!$K$10/12*D168</f>
        <v>11323.198792640935</v>
      </c>
      <c r="I169" s="151">
        <f t="shared" ca="1" si="30"/>
        <v>317342.52059805224</v>
      </c>
      <c r="J169" s="162"/>
      <c r="K169" s="152"/>
      <c r="L169" s="152"/>
      <c r="Q169"/>
      <c r="R169"/>
      <c r="S169"/>
      <c r="T169"/>
      <c r="U169"/>
      <c r="V169"/>
      <c r="W169"/>
      <c r="X169"/>
      <c r="Y169"/>
      <c r="Z169"/>
      <c r="AA169"/>
      <c r="AB169"/>
      <c r="AC169"/>
      <c r="AD169"/>
      <c r="AE169"/>
      <c r="AF169"/>
      <c r="AG169"/>
      <c r="AH169"/>
      <c r="AI169"/>
      <c r="AJ169"/>
      <c r="AK169"/>
      <c r="AL169"/>
      <c r="AM169"/>
      <c r="AN169"/>
      <c r="AO169"/>
      <c r="AP169"/>
      <c r="AQ169"/>
    </row>
    <row r="170" spans="2:44" s="150" customFormat="1" ht="15">
      <c r="B170" s="150">
        <v>158</v>
      </c>
      <c r="C170" s="153">
        <v>49341</v>
      </c>
      <c r="D170" s="151">
        <f t="shared" ca="1" si="26"/>
        <v>54191912.032163158</v>
      </c>
      <c r="E170" s="151">
        <f t="shared" ca="1" si="27"/>
        <v>306019.32180541131</v>
      </c>
      <c r="F170" s="151">
        <f t="shared" ca="1" si="28"/>
        <v>226132.49524468285</v>
      </c>
      <c r="G170" s="151">
        <f t="shared" ca="1" si="29"/>
        <v>79886.826560728456</v>
      </c>
      <c r="H170" s="151">
        <f ca="1">'HUD - Snapshot'!$K$10/12*D169</f>
        <v>11306.624762234143</v>
      </c>
      <c r="I170" s="151">
        <f t="shared" ca="1" si="30"/>
        <v>317325.94656764547</v>
      </c>
      <c r="J170" s="162"/>
      <c r="K170" s="152"/>
      <c r="L170" s="152"/>
      <c r="Q170"/>
      <c r="R170"/>
      <c r="S170"/>
      <c r="T170"/>
      <c r="U170"/>
      <c r="V170"/>
      <c r="W170"/>
      <c r="X170"/>
      <c r="Y170"/>
      <c r="Z170"/>
      <c r="AA170"/>
      <c r="AB170"/>
      <c r="AC170"/>
      <c r="AD170"/>
      <c r="AE170"/>
      <c r="AF170"/>
      <c r="AG170"/>
      <c r="AH170"/>
      <c r="AI170"/>
      <c r="AJ170"/>
      <c r="AK170"/>
      <c r="AL170"/>
      <c r="AM170"/>
      <c r="AN170"/>
      <c r="AO170"/>
      <c r="AP170"/>
      <c r="AQ170"/>
    </row>
    <row r="171" spans="2:44" s="150" customFormat="1" ht="15">
      <c r="B171" s="150">
        <v>159</v>
      </c>
      <c r="C171" s="153">
        <v>49369</v>
      </c>
      <c r="D171" s="151">
        <f t="shared" ca="1" si="26"/>
        <v>54111692.343825094</v>
      </c>
      <c r="E171" s="151">
        <f t="shared" ca="1" si="27"/>
        <v>306019.32180541131</v>
      </c>
      <c r="F171" s="151">
        <f t="shared" ca="1" si="28"/>
        <v>225799.63346734649</v>
      </c>
      <c r="G171" s="151">
        <f t="shared" ca="1" si="29"/>
        <v>80219.688338064821</v>
      </c>
      <c r="H171" s="151">
        <f ca="1">'HUD - Snapshot'!$K$10/12*D170</f>
        <v>11289.981673367325</v>
      </c>
      <c r="I171" s="151">
        <f t="shared" ca="1" si="30"/>
        <v>317309.30347877863</v>
      </c>
      <c r="J171" s="162"/>
      <c r="K171" s="152"/>
      <c r="L171" s="152"/>
      <c r="Q171"/>
      <c r="R171"/>
      <c r="S171"/>
      <c r="T171"/>
      <c r="U171"/>
      <c r="V171"/>
      <c r="W171"/>
      <c r="X171"/>
      <c r="Y171"/>
      <c r="Z171"/>
      <c r="AA171"/>
      <c r="AB171"/>
      <c r="AC171"/>
      <c r="AD171"/>
      <c r="AE171"/>
      <c r="AF171"/>
      <c r="AG171"/>
      <c r="AH171"/>
      <c r="AI171"/>
      <c r="AJ171"/>
      <c r="AK171"/>
      <c r="AL171"/>
      <c r="AM171"/>
      <c r="AN171"/>
      <c r="AO171"/>
      <c r="AP171"/>
      <c r="AQ171"/>
    </row>
    <row r="172" spans="2:44" s="150" customFormat="1" ht="15">
      <c r="B172" s="150">
        <v>160</v>
      </c>
      <c r="C172" s="153">
        <v>49400</v>
      </c>
      <c r="D172" s="151">
        <f t="shared" ca="1" si="26"/>
        <v>54031138.406785622</v>
      </c>
      <c r="E172" s="151">
        <f t="shared" ca="1" si="27"/>
        <v>306019.32180541131</v>
      </c>
      <c r="F172" s="151">
        <f t="shared" ca="1" si="28"/>
        <v>225465.3847659379</v>
      </c>
      <c r="G172" s="151">
        <f t="shared" ca="1" si="29"/>
        <v>80553.937039473414</v>
      </c>
      <c r="H172" s="151">
        <f ca="1">'HUD - Snapshot'!$K$10/12*D171</f>
        <v>11273.269238296896</v>
      </c>
      <c r="I172" s="151">
        <f t="shared" ca="1" si="30"/>
        <v>317292.59104370821</v>
      </c>
      <c r="J172" s="162"/>
      <c r="K172" s="152"/>
      <c r="L172" s="152"/>
      <c r="Q172"/>
      <c r="R172"/>
      <c r="S172"/>
      <c r="T172"/>
      <c r="U172"/>
      <c r="V172"/>
      <c r="W172"/>
      <c r="X172"/>
      <c r="Y172"/>
      <c r="Z172"/>
      <c r="AA172"/>
      <c r="AB172"/>
      <c r="AC172"/>
      <c r="AD172"/>
      <c r="AE172"/>
      <c r="AF172"/>
      <c r="AG172"/>
      <c r="AH172"/>
      <c r="AI172"/>
      <c r="AJ172"/>
      <c r="AK172"/>
      <c r="AL172"/>
      <c r="AM172"/>
      <c r="AN172"/>
      <c r="AO172"/>
      <c r="AP172"/>
      <c r="AQ172"/>
    </row>
    <row r="173" spans="2:44" s="150" customFormat="1" ht="15">
      <c r="B173" s="150">
        <v>161</v>
      </c>
      <c r="C173" s="153">
        <v>49430</v>
      </c>
      <c r="D173" s="151">
        <f t="shared" ca="1" si="26"/>
        <v>53950248.828341819</v>
      </c>
      <c r="E173" s="151">
        <f t="shared" ca="1" si="27"/>
        <v>306019.32180541131</v>
      </c>
      <c r="F173" s="151">
        <f t="shared" ca="1" si="28"/>
        <v>225129.74336160676</v>
      </c>
      <c r="G173" s="151">
        <f t="shared" ca="1" si="29"/>
        <v>80889.578443804552</v>
      </c>
      <c r="H173" s="151">
        <f ca="1">'HUD - Snapshot'!$K$10/12*D172</f>
        <v>11256.487168080339</v>
      </c>
      <c r="I173" s="151">
        <f t="shared" ca="1" si="30"/>
        <v>317275.80897349166</v>
      </c>
      <c r="J173" s="162"/>
      <c r="K173" s="152"/>
      <c r="L173" s="152"/>
      <c r="Q173"/>
      <c r="R173"/>
      <c r="S173"/>
      <c r="T173"/>
      <c r="U173"/>
      <c r="V173"/>
      <c r="W173"/>
      <c r="X173"/>
      <c r="Y173"/>
      <c r="Z173"/>
      <c r="AA173"/>
      <c r="AB173"/>
      <c r="AC173"/>
      <c r="AD173"/>
      <c r="AE173"/>
      <c r="AF173"/>
      <c r="AG173"/>
      <c r="AH173"/>
      <c r="AI173"/>
      <c r="AJ173"/>
      <c r="AK173"/>
      <c r="AL173"/>
      <c r="AM173"/>
      <c r="AN173"/>
      <c r="AO173"/>
      <c r="AP173"/>
      <c r="AQ173"/>
    </row>
    <row r="174" spans="2:44" s="150" customFormat="1" ht="15">
      <c r="B174" s="150">
        <v>162</v>
      </c>
      <c r="C174" s="153">
        <v>49461</v>
      </c>
      <c r="D174" s="151">
        <f t="shared" ca="1" si="26"/>
        <v>53869022.209987834</v>
      </c>
      <c r="E174" s="151">
        <f t="shared" ca="1" si="27"/>
        <v>306019.32180541131</v>
      </c>
      <c r="F174" s="151">
        <f t="shared" ca="1" si="28"/>
        <v>224792.70345142426</v>
      </c>
      <c r="G174" s="151">
        <f t="shared" ca="1" si="29"/>
        <v>81226.618353987054</v>
      </c>
      <c r="H174" s="151">
        <f ca="1">'HUD - Snapshot'!$K$10/12*D173</f>
        <v>11239.635172571214</v>
      </c>
      <c r="I174" s="151">
        <f t="shared" ca="1" si="30"/>
        <v>317258.95697798254</v>
      </c>
      <c r="J174" s="162"/>
      <c r="K174" s="152"/>
      <c r="L174" s="152"/>
      <c r="Q174"/>
      <c r="R174"/>
      <c r="S174"/>
      <c r="T174"/>
      <c r="U174"/>
      <c r="V174"/>
      <c r="W174"/>
      <c r="X174"/>
      <c r="Y174"/>
      <c r="Z174"/>
      <c r="AA174"/>
      <c r="AB174"/>
      <c r="AC174"/>
      <c r="AD174"/>
      <c r="AE174"/>
      <c r="AF174"/>
      <c r="AG174"/>
      <c r="AH174"/>
      <c r="AI174"/>
      <c r="AJ174"/>
      <c r="AK174"/>
      <c r="AL174"/>
      <c r="AM174"/>
      <c r="AN174"/>
      <c r="AO174"/>
      <c r="AP174"/>
      <c r="AQ174"/>
    </row>
    <row r="175" spans="2:44" s="150" customFormat="1" ht="15">
      <c r="B175" s="150">
        <v>163</v>
      </c>
      <c r="C175" s="153">
        <v>49491</v>
      </c>
      <c r="D175" s="151">
        <f t="shared" ca="1" si="26"/>
        <v>53787457.147390708</v>
      </c>
      <c r="E175" s="151">
        <f t="shared" ca="1" si="27"/>
        <v>306019.32180541131</v>
      </c>
      <c r="F175" s="151">
        <f t="shared" ca="1" si="28"/>
        <v>224454.25920828263</v>
      </c>
      <c r="G175" s="151">
        <f t="shared" ca="1" si="29"/>
        <v>81565.062597128679</v>
      </c>
      <c r="H175" s="151">
        <f ca="1">'HUD - Snapshot'!$K$10/12*D174</f>
        <v>11222.712960414134</v>
      </c>
      <c r="I175" s="151">
        <f t="shared" ca="1" si="30"/>
        <v>317242.03476582543</v>
      </c>
      <c r="J175" s="162"/>
      <c r="K175" s="152"/>
      <c r="L175" s="152"/>
      <c r="Q175"/>
      <c r="R175"/>
      <c r="S175"/>
      <c r="T175"/>
      <c r="U175"/>
      <c r="V175"/>
      <c r="W175"/>
      <c r="X175"/>
      <c r="Y175"/>
      <c r="Z175"/>
      <c r="AA175"/>
      <c r="AB175"/>
      <c r="AC175"/>
      <c r="AD175"/>
      <c r="AE175"/>
      <c r="AF175"/>
      <c r="AG175"/>
      <c r="AH175"/>
      <c r="AI175"/>
      <c r="AJ175"/>
      <c r="AK175"/>
      <c r="AL175"/>
      <c r="AM175"/>
      <c r="AN175"/>
      <c r="AO175"/>
      <c r="AP175"/>
      <c r="AQ175"/>
    </row>
    <row r="176" spans="2:44" s="150" customFormat="1" ht="15">
      <c r="B176" s="150">
        <v>164</v>
      </c>
      <c r="C176" s="153">
        <v>49522</v>
      </c>
      <c r="D176" s="151">
        <f t="shared" ca="1" si="26"/>
        <v>53705552.230366088</v>
      </c>
      <c r="E176" s="151">
        <f t="shared" ca="1" si="27"/>
        <v>306019.32180541131</v>
      </c>
      <c r="F176" s="151">
        <f t="shared" ca="1" si="28"/>
        <v>224114.4047807946</v>
      </c>
      <c r="G176" s="151">
        <f t="shared" ca="1" si="29"/>
        <v>81904.917024616705</v>
      </c>
      <c r="H176" s="151">
        <f ca="1">'HUD - Snapshot'!$K$10/12*D175</f>
        <v>11205.720239039732</v>
      </c>
      <c r="I176" s="151">
        <f t="shared" ca="1" si="30"/>
        <v>317225.04204445105</v>
      </c>
      <c r="J176" s="162"/>
      <c r="K176" s="152"/>
      <c r="L176" s="152"/>
      <c r="Q176"/>
      <c r="R176"/>
      <c r="S176"/>
      <c r="T176"/>
      <c r="U176"/>
      <c r="V176"/>
      <c r="W176"/>
      <c r="X176"/>
      <c r="Y176"/>
      <c r="Z176"/>
      <c r="AA176"/>
      <c r="AB176"/>
      <c r="AC176"/>
      <c r="AD176"/>
      <c r="AE176"/>
      <c r="AF176"/>
      <c r="AG176"/>
      <c r="AH176"/>
      <c r="AI176"/>
      <c r="AJ176"/>
      <c r="AK176"/>
      <c r="AL176"/>
      <c r="AM176"/>
      <c r="AN176"/>
      <c r="AO176"/>
      <c r="AP176"/>
      <c r="AQ176"/>
    </row>
    <row r="177" spans="2:44" s="150" customFormat="1" ht="15">
      <c r="B177" s="150">
        <v>165</v>
      </c>
      <c r="C177" s="153">
        <v>49553</v>
      </c>
      <c r="D177" s="151">
        <f t="shared" ca="1" si="26"/>
        <v>53623306.042853869</v>
      </c>
      <c r="E177" s="151">
        <f t="shared" ca="1" si="27"/>
        <v>306019.32180541131</v>
      </c>
      <c r="F177" s="151">
        <f t="shared" ca="1" si="28"/>
        <v>223773.13429319204</v>
      </c>
      <c r="G177" s="151">
        <f t="shared" ca="1" si="29"/>
        <v>82246.187512219272</v>
      </c>
      <c r="H177" s="151">
        <f ca="1">'HUD - Snapshot'!$K$10/12*D176</f>
        <v>11188.656714659603</v>
      </c>
      <c r="I177" s="151">
        <f t="shared" ca="1" si="30"/>
        <v>317207.9785200709</v>
      </c>
      <c r="J177" s="162"/>
      <c r="K177" s="152"/>
      <c r="L177" s="152"/>
      <c r="Q177"/>
      <c r="R177"/>
      <c r="S177"/>
      <c r="T177"/>
      <c r="U177"/>
      <c r="V177"/>
      <c r="W177"/>
      <c r="X177"/>
      <c r="Y177"/>
      <c r="Z177"/>
      <c r="AA177"/>
      <c r="AB177"/>
      <c r="AC177"/>
      <c r="AD177"/>
      <c r="AE177"/>
      <c r="AF177"/>
      <c r="AG177"/>
      <c r="AH177"/>
      <c r="AI177"/>
      <c r="AJ177"/>
      <c r="AK177"/>
      <c r="AL177"/>
      <c r="AM177"/>
      <c r="AN177"/>
      <c r="AO177"/>
      <c r="AP177"/>
      <c r="AQ177"/>
    </row>
    <row r="178" spans="2:44" s="150" customFormat="1" ht="15">
      <c r="B178" s="150">
        <v>166</v>
      </c>
      <c r="C178" s="153">
        <v>49583</v>
      </c>
      <c r="D178" s="151">
        <f t="shared" ca="1" si="26"/>
        <v>53540717.162893683</v>
      </c>
      <c r="E178" s="151">
        <f t="shared" ca="1" si="27"/>
        <v>306019.32180541131</v>
      </c>
      <c r="F178" s="151">
        <f t="shared" ca="1" si="28"/>
        <v>223430.44184522444</v>
      </c>
      <c r="G178" s="151">
        <f t="shared" ca="1" si="29"/>
        <v>82588.879960186867</v>
      </c>
      <c r="H178" s="151">
        <f ca="1">'HUD - Snapshot'!$K$10/12*D177</f>
        <v>11171.522092261224</v>
      </c>
      <c r="I178" s="151">
        <f t="shared" ca="1" si="30"/>
        <v>317190.84389767254</v>
      </c>
      <c r="J178" s="162"/>
      <c r="K178" s="152"/>
      <c r="L178" s="152"/>
      <c r="Q178"/>
      <c r="R178"/>
      <c r="S178"/>
      <c r="T178"/>
      <c r="U178"/>
      <c r="V178"/>
      <c r="W178"/>
      <c r="X178"/>
      <c r="Y178"/>
      <c r="Z178"/>
      <c r="AA178"/>
      <c r="AB178"/>
      <c r="AC178"/>
      <c r="AD178"/>
      <c r="AE178"/>
      <c r="AF178"/>
      <c r="AG178"/>
      <c r="AH178"/>
      <c r="AI178"/>
      <c r="AJ178"/>
      <c r="AK178"/>
      <c r="AL178"/>
      <c r="AM178"/>
      <c r="AN178"/>
      <c r="AO178"/>
      <c r="AP178"/>
      <c r="AQ178"/>
    </row>
    <row r="179" spans="2:44" s="150" customFormat="1" ht="15">
      <c r="B179" s="150">
        <v>167</v>
      </c>
      <c r="C179" s="153">
        <v>49614</v>
      </c>
      <c r="D179" s="151">
        <f t="shared" ca="1" si="26"/>
        <v>53457784.162600331</v>
      </c>
      <c r="E179" s="151">
        <f t="shared" ca="1" si="27"/>
        <v>306019.32180541131</v>
      </c>
      <c r="F179" s="151">
        <f t="shared" ca="1" si="28"/>
        <v>223086.32151205701</v>
      </c>
      <c r="G179" s="151">
        <f t="shared" ca="1" si="29"/>
        <v>82933.0002933543</v>
      </c>
      <c r="H179" s="151">
        <f ca="1">'HUD - Snapshot'!$K$10/12*D178</f>
        <v>11154.316075602852</v>
      </c>
      <c r="I179" s="151">
        <f t="shared" ca="1" si="30"/>
        <v>317173.63788101415</v>
      </c>
      <c r="J179" s="162"/>
      <c r="K179" s="152"/>
      <c r="L179" s="152"/>
      <c r="Q179"/>
      <c r="R179"/>
      <c r="S179"/>
      <c r="T179"/>
      <c r="U179"/>
      <c r="V179"/>
      <c r="W179"/>
      <c r="X179"/>
      <c r="Y179"/>
      <c r="Z179"/>
      <c r="AA179"/>
      <c r="AB179"/>
      <c r="AC179"/>
      <c r="AD179"/>
      <c r="AE179"/>
      <c r="AF179"/>
      <c r="AG179"/>
      <c r="AH179"/>
      <c r="AI179"/>
      <c r="AJ179"/>
      <c r="AK179"/>
      <c r="AL179"/>
      <c r="AM179"/>
      <c r="AN179"/>
      <c r="AO179"/>
      <c r="AP179"/>
      <c r="AQ179"/>
      <c r="AR179" s="159">
        <f t="shared" ref="AR179" si="43">SUM(AL168:AL179)</f>
        <v>0</v>
      </c>
    </row>
    <row r="180" spans="2:44" s="150" customFormat="1" ht="15">
      <c r="B180" s="150">
        <v>168</v>
      </c>
      <c r="C180" s="153">
        <v>49644</v>
      </c>
      <c r="D180" s="151">
        <f t="shared" ca="1" si="26"/>
        <v>53374505.60813909</v>
      </c>
      <c r="E180" s="151">
        <f t="shared" ca="1" si="27"/>
        <v>306019.32180541131</v>
      </c>
      <c r="F180" s="151">
        <f t="shared" ca="1" si="28"/>
        <v>222740.76734416804</v>
      </c>
      <c r="G180" s="151">
        <f t="shared" ca="1" si="29"/>
        <v>83278.554461243271</v>
      </c>
      <c r="H180" s="151">
        <f ca="1">'HUD - Snapshot'!$K$10/12*D179</f>
        <v>11137.038367208403</v>
      </c>
      <c r="I180" s="151">
        <f t="shared" ca="1" si="30"/>
        <v>317156.36017261969</v>
      </c>
      <c r="J180" s="162"/>
      <c r="K180" s="159">
        <f ca="1">SUM(I169:I180)</f>
        <v>3807001.024921312</v>
      </c>
      <c r="L180" s="159">
        <f t="shared" ref="L180" ca="1" si="44">SUM(F169:F180)</f>
        <v>2695383.2651275354</v>
      </c>
      <c r="M180" s="159">
        <f t="shared" ref="M180" ca="1" si="45">SUM(G169:G180)</f>
        <v>976848.59653740004</v>
      </c>
      <c r="N180" s="159">
        <f t="shared" ref="N180" ca="1" si="46">SUM(H169:H180)</f>
        <v>134769.16325637681</v>
      </c>
      <c r="Q180"/>
      <c r="R180"/>
      <c r="S180"/>
      <c r="T180"/>
      <c r="U180"/>
      <c r="V180"/>
      <c r="W180"/>
      <c r="X180"/>
      <c r="Y180"/>
      <c r="Z180"/>
      <c r="AA180"/>
      <c r="AB180"/>
      <c r="AC180"/>
      <c r="AD180"/>
      <c r="AE180"/>
      <c r="AF180"/>
      <c r="AG180"/>
      <c r="AH180"/>
      <c r="AI180"/>
      <c r="AJ180"/>
      <c r="AK180"/>
      <c r="AL180"/>
      <c r="AM180"/>
      <c r="AN180"/>
      <c r="AO180"/>
      <c r="AP180"/>
      <c r="AQ180"/>
    </row>
    <row r="181" spans="2:44" s="150" customFormat="1" ht="15">
      <c r="B181" s="150">
        <v>169</v>
      </c>
      <c r="C181" s="153">
        <v>49675</v>
      </c>
      <c r="D181" s="151">
        <f t="shared" ca="1" si="26"/>
        <v>53290880.059700929</v>
      </c>
      <c r="E181" s="151">
        <f t="shared" ca="1" si="27"/>
        <v>306019.32180541131</v>
      </c>
      <c r="F181" s="151">
        <f t="shared" ca="1" si="28"/>
        <v>222393.77336724621</v>
      </c>
      <c r="G181" s="151">
        <f t="shared" ca="1" si="29"/>
        <v>83625.548438165104</v>
      </c>
      <c r="H181" s="151">
        <f ca="1">'HUD - Snapshot'!$K$10/12*D180</f>
        <v>11119.688668362311</v>
      </c>
      <c r="I181" s="151">
        <f t="shared" ca="1" si="30"/>
        <v>317139.01047377364</v>
      </c>
      <c r="J181" s="162"/>
      <c r="K181" s="152"/>
      <c r="L181" s="152"/>
      <c r="Q181"/>
      <c r="R181"/>
      <c r="S181"/>
      <c r="T181"/>
      <c r="U181"/>
      <c r="V181"/>
      <c r="W181"/>
      <c r="X181"/>
      <c r="Y181"/>
      <c r="Z181"/>
      <c r="AA181"/>
      <c r="AB181"/>
      <c r="AC181"/>
      <c r="AD181"/>
      <c r="AE181"/>
      <c r="AF181"/>
      <c r="AG181"/>
      <c r="AH181"/>
      <c r="AI181"/>
      <c r="AJ181"/>
      <c r="AK181"/>
      <c r="AL181"/>
      <c r="AM181"/>
      <c r="AN181"/>
      <c r="AO181"/>
      <c r="AP181"/>
      <c r="AQ181"/>
    </row>
    <row r="182" spans="2:44" s="150" customFormat="1" ht="15">
      <c r="B182" s="150">
        <v>170</v>
      </c>
      <c r="C182" s="153">
        <v>49706</v>
      </c>
      <c r="D182" s="151">
        <f t="shared" ca="1" si="26"/>
        <v>53206906.071477607</v>
      </c>
      <c r="E182" s="151">
        <f t="shared" ca="1" si="27"/>
        <v>306019.32180541131</v>
      </c>
      <c r="F182" s="151">
        <f t="shared" ca="1" si="28"/>
        <v>222045.33358208719</v>
      </c>
      <c r="G182" s="151">
        <f t="shared" ca="1" si="29"/>
        <v>83973.988223324122</v>
      </c>
      <c r="H182" s="151">
        <f ca="1">'HUD - Snapshot'!$K$10/12*D181</f>
        <v>11102.266679104361</v>
      </c>
      <c r="I182" s="151">
        <f t="shared" ca="1" si="30"/>
        <v>317121.58848451567</v>
      </c>
      <c r="J182" s="162"/>
      <c r="K182" s="152"/>
      <c r="L182" s="152"/>
      <c r="Q182"/>
      <c r="R182"/>
      <c r="S182"/>
      <c r="T182"/>
      <c r="U182"/>
      <c r="V182"/>
      <c r="W182"/>
      <c r="X182"/>
      <c r="Y182"/>
      <c r="Z182"/>
      <c r="AA182"/>
      <c r="AB182"/>
      <c r="AC182"/>
      <c r="AD182"/>
      <c r="AE182"/>
      <c r="AF182"/>
      <c r="AG182"/>
      <c r="AH182"/>
      <c r="AI182"/>
      <c r="AJ182"/>
      <c r="AK182"/>
      <c r="AL182"/>
      <c r="AM182"/>
      <c r="AN182"/>
      <c r="AO182"/>
      <c r="AP182"/>
      <c r="AQ182"/>
    </row>
    <row r="183" spans="2:44" s="150" customFormat="1" ht="15">
      <c r="B183" s="150">
        <v>171</v>
      </c>
      <c r="C183" s="153">
        <v>49735</v>
      </c>
      <c r="D183" s="151">
        <f t="shared" ca="1" si="26"/>
        <v>53122582.191636689</v>
      </c>
      <c r="E183" s="151">
        <f t="shared" ca="1" si="27"/>
        <v>306019.32180541131</v>
      </c>
      <c r="F183" s="151">
        <f t="shared" ca="1" si="28"/>
        <v>221695.44196449002</v>
      </c>
      <c r="G183" s="151">
        <f t="shared" ca="1" si="29"/>
        <v>84323.87984092129</v>
      </c>
      <c r="H183" s="151">
        <f ca="1">'HUD - Snapshot'!$K$10/12*D182</f>
        <v>11084.772098224503</v>
      </c>
      <c r="I183" s="151">
        <f t="shared" ca="1" si="30"/>
        <v>317104.0939036358</v>
      </c>
      <c r="J183" s="162"/>
      <c r="K183" s="152"/>
      <c r="L183" s="152"/>
      <c r="Q183"/>
      <c r="R183"/>
      <c r="S183"/>
      <c r="T183"/>
      <c r="U183"/>
      <c r="V183"/>
      <c r="W183"/>
      <c r="X183"/>
      <c r="Y183"/>
      <c r="Z183"/>
      <c r="AA183"/>
      <c r="AB183"/>
      <c r="AC183"/>
      <c r="AD183"/>
      <c r="AE183"/>
      <c r="AF183"/>
      <c r="AG183"/>
      <c r="AH183"/>
      <c r="AI183"/>
      <c r="AJ183"/>
      <c r="AK183"/>
      <c r="AL183"/>
      <c r="AM183"/>
      <c r="AN183"/>
      <c r="AO183"/>
      <c r="AP183"/>
      <c r="AQ183"/>
    </row>
    <row r="184" spans="2:44" s="150" customFormat="1" ht="15">
      <c r="B184" s="150">
        <v>172</v>
      </c>
      <c r="C184" s="153">
        <v>49766</v>
      </c>
      <c r="D184" s="151">
        <f t="shared" ca="1" si="26"/>
        <v>53037906.962296434</v>
      </c>
      <c r="E184" s="151">
        <f t="shared" ca="1" si="27"/>
        <v>306019.32180541131</v>
      </c>
      <c r="F184" s="151">
        <f t="shared" ca="1" si="28"/>
        <v>221344.09246515288</v>
      </c>
      <c r="G184" s="151">
        <f t="shared" ca="1" si="29"/>
        <v>84675.229340258433</v>
      </c>
      <c r="H184" s="151">
        <f ca="1">'HUD - Snapshot'!$K$10/12*D183</f>
        <v>11067.204623257645</v>
      </c>
      <c r="I184" s="151">
        <f t="shared" ca="1" si="30"/>
        <v>317086.52642866893</v>
      </c>
      <c r="J184" s="162"/>
      <c r="K184" s="152"/>
      <c r="L184" s="152"/>
      <c r="Q184"/>
      <c r="R184"/>
      <c r="S184"/>
      <c r="T184"/>
      <c r="U184"/>
      <c r="V184"/>
      <c r="W184"/>
      <c r="X184"/>
      <c r="Y184"/>
      <c r="Z184"/>
      <c r="AA184"/>
      <c r="AB184"/>
      <c r="AC184"/>
      <c r="AD184"/>
      <c r="AE184"/>
      <c r="AF184"/>
      <c r="AG184"/>
      <c r="AH184"/>
      <c r="AI184"/>
      <c r="AJ184"/>
      <c r="AK184"/>
      <c r="AL184"/>
      <c r="AM184"/>
      <c r="AN184"/>
      <c r="AO184"/>
      <c r="AP184"/>
      <c r="AQ184"/>
    </row>
    <row r="185" spans="2:44" s="150" customFormat="1" ht="15">
      <c r="B185" s="150">
        <v>173</v>
      </c>
      <c r="C185" s="153">
        <v>49796</v>
      </c>
      <c r="D185" s="151">
        <f t="shared" ca="1" si="26"/>
        <v>52952878.919500589</v>
      </c>
      <c r="E185" s="151">
        <f t="shared" ca="1" si="27"/>
        <v>306019.32180541131</v>
      </c>
      <c r="F185" s="151">
        <f t="shared" ca="1" si="28"/>
        <v>220991.27900956848</v>
      </c>
      <c r="G185" s="151">
        <f t="shared" ca="1" si="29"/>
        <v>85028.042795842834</v>
      </c>
      <c r="H185" s="151">
        <f ca="1">'HUD - Snapshot'!$K$10/12*D184</f>
        <v>11049.563950478425</v>
      </c>
      <c r="I185" s="151">
        <f t="shared" ca="1" si="30"/>
        <v>317068.88575588976</v>
      </c>
      <c r="J185" s="162"/>
      <c r="K185" s="152"/>
      <c r="L185" s="152"/>
      <c r="Q185"/>
      <c r="R185"/>
      <c r="S185"/>
      <c r="T185"/>
      <c r="U185"/>
      <c r="V185"/>
      <c r="W185"/>
      <c r="X185"/>
      <c r="Y185"/>
      <c r="Z185"/>
      <c r="AA185"/>
      <c r="AB185"/>
      <c r="AC185"/>
      <c r="AD185"/>
      <c r="AE185"/>
      <c r="AF185"/>
      <c r="AG185"/>
      <c r="AH185"/>
      <c r="AI185"/>
      <c r="AJ185"/>
      <c r="AK185"/>
      <c r="AL185"/>
      <c r="AM185"/>
      <c r="AN185"/>
      <c r="AO185"/>
      <c r="AP185"/>
      <c r="AQ185"/>
    </row>
    <row r="186" spans="2:44" s="150" customFormat="1" ht="15">
      <c r="B186" s="150">
        <v>174</v>
      </c>
      <c r="C186" s="153">
        <v>49827</v>
      </c>
      <c r="D186" s="151">
        <f t="shared" ca="1" si="26"/>
        <v>52867496.593193099</v>
      </c>
      <c r="E186" s="151">
        <f t="shared" ca="1" si="27"/>
        <v>306019.32180541131</v>
      </c>
      <c r="F186" s="151">
        <f t="shared" ca="1" si="28"/>
        <v>220636.99549791912</v>
      </c>
      <c r="G186" s="151">
        <f t="shared" ca="1" si="29"/>
        <v>85382.326307492185</v>
      </c>
      <c r="H186" s="151">
        <f ca="1">'HUD - Snapshot'!$K$10/12*D185</f>
        <v>11031.849774895956</v>
      </c>
      <c r="I186" s="151">
        <f t="shared" ca="1" si="30"/>
        <v>317051.17158030724</v>
      </c>
      <c r="J186" s="162"/>
      <c r="K186" s="152"/>
      <c r="L186" s="152"/>
      <c r="Q186"/>
      <c r="R186"/>
      <c r="S186"/>
      <c r="T186"/>
      <c r="U186"/>
      <c r="V186"/>
      <c r="W186"/>
      <c r="X186"/>
      <c r="Y186"/>
      <c r="Z186"/>
      <c r="AA186"/>
      <c r="AB186"/>
      <c r="AC186"/>
      <c r="AD186"/>
      <c r="AE186"/>
      <c r="AF186"/>
      <c r="AG186"/>
      <c r="AH186"/>
      <c r="AI186"/>
      <c r="AJ186"/>
      <c r="AK186"/>
      <c r="AL186"/>
      <c r="AM186"/>
      <c r="AN186"/>
      <c r="AO186"/>
      <c r="AP186"/>
      <c r="AQ186"/>
    </row>
    <row r="187" spans="2:44" s="150" customFormat="1" ht="15">
      <c r="B187" s="150">
        <v>175</v>
      </c>
      <c r="C187" s="153">
        <v>49857</v>
      </c>
      <c r="D187" s="151">
        <f t="shared" ca="1" si="26"/>
        <v>52781758.507192656</v>
      </c>
      <c r="E187" s="151">
        <f t="shared" ca="1" si="27"/>
        <v>306019.32180541131</v>
      </c>
      <c r="F187" s="151">
        <f t="shared" ca="1" si="28"/>
        <v>220281.23580497125</v>
      </c>
      <c r="G187" s="151">
        <f t="shared" ca="1" si="29"/>
        <v>85738.08600044006</v>
      </c>
      <c r="H187" s="151">
        <f ca="1">'HUD - Snapshot'!$K$10/12*D186</f>
        <v>11014.061790248563</v>
      </c>
      <c r="I187" s="151">
        <f t="shared" ca="1" si="30"/>
        <v>317033.38359565986</v>
      </c>
      <c r="J187" s="162"/>
      <c r="K187" s="152"/>
      <c r="L187" s="152"/>
      <c r="Q187"/>
      <c r="R187"/>
      <c r="S187"/>
      <c r="T187"/>
      <c r="U187"/>
      <c r="V187"/>
      <c r="W187"/>
      <c r="X187"/>
      <c r="Y187"/>
      <c r="Z187"/>
      <c r="AA187"/>
      <c r="AB187"/>
      <c r="AC187"/>
      <c r="AD187"/>
      <c r="AE187"/>
      <c r="AF187"/>
      <c r="AG187"/>
      <c r="AH187"/>
      <c r="AI187"/>
      <c r="AJ187"/>
      <c r="AK187"/>
      <c r="AL187"/>
      <c r="AM187"/>
      <c r="AN187"/>
      <c r="AO187"/>
      <c r="AP187"/>
      <c r="AQ187"/>
    </row>
    <row r="188" spans="2:44" s="150" customFormat="1" ht="15">
      <c r="B188" s="150">
        <v>176</v>
      </c>
      <c r="C188" s="153">
        <v>49888</v>
      </c>
      <c r="D188" s="151">
        <f t="shared" ca="1" si="26"/>
        <v>52695663.179167211</v>
      </c>
      <c r="E188" s="151">
        <f t="shared" ca="1" si="27"/>
        <v>306019.32180541131</v>
      </c>
      <c r="F188" s="151">
        <f t="shared" ca="1" si="28"/>
        <v>219923.9937799694</v>
      </c>
      <c r="G188" s="151">
        <f t="shared" ca="1" si="29"/>
        <v>86095.328025441908</v>
      </c>
      <c r="H188" s="151">
        <f ca="1">'HUD - Snapshot'!$K$10/12*D187</f>
        <v>10996.199688998471</v>
      </c>
      <c r="I188" s="151">
        <f t="shared" ca="1" si="30"/>
        <v>317015.52149440977</v>
      </c>
      <c r="J188" s="162"/>
      <c r="K188" s="152"/>
      <c r="L188" s="152"/>
      <c r="Q188"/>
      <c r="R188"/>
      <c r="S188"/>
      <c r="T188"/>
      <c r="U188"/>
      <c r="V188"/>
      <c r="W188"/>
      <c r="X188"/>
      <c r="Y188"/>
      <c r="Z188"/>
      <c r="AA188"/>
      <c r="AB188"/>
      <c r="AC188"/>
      <c r="AD188"/>
      <c r="AE188"/>
      <c r="AF188"/>
      <c r="AG188"/>
      <c r="AH188"/>
      <c r="AI188"/>
      <c r="AJ188"/>
      <c r="AK188"/>
      <c r="AL188"/>
      <c r="AM188"/>
      <c r="AN188"/>
      <c r="AO188"/>
      <c r="AP188"/>
      <c r="AQ188"/>
    </row>
    <row r="189" spans="2:44" s="150" customFormat="1" ht="15">
      <c r="B189" s="150">
        <v>177</v>
      </c>
      <c r="C189" s="153">
        <v>49919</v>
      </c>
      <c r="D189" s="151">
        <f t="shared" ca="1" si="26"/>
        <v>52609209.12060833</v>
      </c>
      <c r="E189" s="151">
        <f t="shared" ca="1" si="27"/>
        <v>306019.32180541131</v>
      </c>
      <c r="F189" s="151">
        <f t="shared" ca="1" si="28"/>
        <v>219565.26324653006</v>
      </c>
      <c r="G189" s="151">
        <f t="shared" ca="1" si="29"/>
        <v>86454.058558881254</v>
      </c>
      <c r="H189" s="151">
        <f ca="1">'HUD - Snapshot'!$K$10/12*D188</f>
        <v>10978.263162326502</v>
      </c>
      <c r="I189" s="151">
        <f t="shared" ca="1" si="30"/>
        <v>316997.58496773778</v>
      </c>
      <c r="J189" s="162"/>
      <c r="K189" s="152"/>
      <c r="L189" s="152"/>
      <c r="Q189"/>
      <c r="R189"/>
      <c r="S189"/>
      <c r="T189"/>
      <c r="U189"/>
      <c r="V189"/>
      <c r="W189"/>
      <c r="X189"/>
      <c r="Y189"/>
      <c r="Z189"/>
      <c r="AA189"/>
      <c r="AB189"/>
      <c r="AC189"/>
      <c r="AD189"/>
      <c r="AE189"/>
      <c r="AF189"/>
      <c r="AG189"/>
      <c r="AH189"/>
      <c r="AI189"/>
      <c r="AJ189"/>
      <c r="AK189"/>
      <c r="AL189"/>
      <c r="AM189"/>
      <c r="AN189"/>
      <c r="AO189"/>
      <c r="AP189"/>
      <c r="AQ189"/>
    </row>
    <row r="190" spans="2:44" s="150" customFormat="1" ht="15">
      <c r="B190" s="150">
        <v>178</v>
      </c>
      <c r="C190" s="153">
        <v>49949</v>
      </c>
      <c r="D190" s="151">
        <f t="shared" ca="1" si="26"/>
        <v>52522394.836805455</v>
      </c>
      <c r="E190" s="151">
        <f t="shared" ca="1" si="27"/>
        <v>306019.32180541131</v>
      </c>
      <c r="F190" s="151">
        <f t="shared" ca="1" si="28"/>
        <v>219205.03800253471</v>
      </c>
      <c r="G190" s="151">
        <f t="shared" ca="1" si="29"/>
        <v>86814.283802876598</v>
      </c>
      <c r="H190" s="151">
        <f ca="1">'HUD - Snapshot'!$K$10/12*D189</f>
        <v>10960.251900126736</v>
      </c>
      <c r="I190" s="151">
        <f t="shared" ca="1" si="30"/>
        <v>316979.57370553806</v>
      </c>
      <c r="J190" s="162"/>
      <c r="K190" s="152"/>
      <c r="L190" s="152"/>
      <c r="Q190"/>
      <c r="R190"/>
      <c r="S190"/>
      <c r="T190"/>
      <c r="U190"/>
      <c r="V190"/>
      <c r="W190"/>
      <c r="X190"/>
      <c r="Y190"/>
      <c r="Z190"/>
      <c r="AA190"/>
      <c r="AB190"/>
      <c r="AC190"/>
      <c r="AD190"/>
      <c r="AE190"/>
      <c r="AF190"/>
      <c r="AG190"/>
      <c r="AH190"/>
      <c r="AI190"/>
      <c r="AJ190"/>
      <c r="AK190"/>
      <c r="AL190"/>
      <c r="AM190"/>
      <c r="AN190"/>
      <c r="AO190"/>
      <c r="AP190"/>
      <c r="AQ190"/>
    </row>
    <row r="191" spans="2:44" s="150" customFormat="1" ht="15">
      <c r="B191" s="150">
        <v>179</v>
      </c>
      <c r="C191" s="153">
        <v>49980</v>
      </c>
      <c r="D191" s="151">
        <f t="shared" ca="1" si="26"/>
        <v>52435218.826820068</v>
      </c>
      <c r="E191" s="151">
        <f t="shared" ca="1" si="27"/>
        <v>306019.32180541131</v>
      </c>
      <c r="F191" s="151">
        <f t="shared" ca="1" si="28"/>
        <v>218843.31182002273</v>
      </c>
      <c r="G191" s="151">
        <f t="shared" ca="1" si="29"/>
        <v>87176.009985388577</v>
      </c>
      <c r="H191" s="151">
        <f ca="1">'HUD - Snapshot'!$K$10/12*D190</f>
        <v>10942.165591001138</v>
      </c>
      <c r="I191" s="151">
        <f t="shared" ca="1" si="30"/>
        <v>316961.48739641247</v>
      </c>
      <c r="J191" s="162"/>
      <c r="K191" s="152"/>
      <c r="L191" s="152"/>
      <c r="Q191"/>
      <c r="R191"/>
      <c r="S191"/>
      <c r="T191"/>
      <c r="U191"/>
      <c r="V191"/>
      <c r="W191"/>
      <c r="X191"/>
      <c r="Y191"/>
      <c r="Z191"/>
      <c r="AA191"/>
      <c r="AB191"/>
      <c r="AC191"/>
      <c r="AD191"/>
      <c r="AE191"/>
      <c r="AF191"/>
      <c r="AG191"/>
      <c r="AH191"/>
      <c r="AI191"/>
      <c r="AJ191"/>
      <c r="AK191"/>
      <c r="AL191"/>
      <c r="AM191"/>
      <c r="AN191"/>
      <c r="AO191"/>
      <c r="AP191"/>
      <c r="AQ191"/>
    </row>
    <row r="192" spans="2:44" s="150" customFormat="1" ht="15">
      <c r="B192" s="150">
        <v>180</v>
      </c>
      <c r="C192" s="153">
        <v>50010</v>
      </c>
      <c r="D192" s="151">
        <f t="shared" ca="1" si="26"/>
        <v>52347679.583459742</v>
      </c>
      <c r="E192" s="151">
        <f t="shared" ca="1" si="27"/>
        <v>306019.32180541131</v>
      </c>
      <c r="F192" s="151">
        <f t="shared" ca="1" si="28"/>
        <v>218480.07844508361</v>
      </c>
      <c r="G192" s="151">
        <f t="shared" ca="1" si="29"/>
        <v>87539.243360327702</v>
      </c>
      <c r="H192" s="151">
        <f ca="1">'HUD - Snapshot'!$K$10/12*D191</f>
        <v>10924.003922254182</v>
      </c>
      <c r="I192" s="151">
        <f t="shared" ca="1" si="30"/>
        <v>316943.32572766551</v>
      </c>
      <c r="J192" s="162"/>
      <c r="K192" s="152">
        <f ca="1">SUM(I181:I192)</f>
        <v>3804502.1535142153</v>
      </c>
      <c r="L192" s="152">
        <f ca="1">SUM(F181:F192)</f>
        <v>2645405.8369855755</v>
      </c>
      <c r="Q192"/>
      <c r="R192"/>
      <c r="S192"/>
      <c r="T192"/>
      <c r="U192"/>
      <c r="V192"/>
      <c r="W192"/>
      <c r="X192"/>
      <c r="Y192"/>
      <c r="Z192"/>
      <c r="AA192"/>
      <c r="AB192"/>
      <c r="AC192"/>
      <c r="AD192"/>
      <c r="AE192"/>
      <c r="AF192"/>
      <c r="AG192"/>
      <c r="AH192"/>
      <c r="AI192"/>
      <c r="AJ192"/>
      <c r="AK192"/>
      <c r="AL192"/>
      <c r="AM192"/>
      <c r="AN192"/>
      <c r="AO192"/>
      <c r="AP192"/>
      <c r="AQ192"/>
    </row>
    <row r="193" spans="2:43" s="150" customFormat="1" ht="15">
      <c r="B193" s="150">
        <v>181</v>
      </c>
      <c r="C193" s="153">
        <v>50041</v>
      </c>
      <c r="D193" s="151">
        <f t="shared" ca="1" si="26"/>
        <v>52259775.593252078</v>
      </c>
      <c r="E193" s="151">
        <f t="shared" ca="1" si="27"/>
        <v>306019.32180541131</v>
      </c>
      <c r="F193" s="151">
        <f t="shared" ca="1" si="28"/>
        <v>218115.33159774891</v>
      </c>
      <c r="G193" s="151">
        <f t="shared" ca="1" si="29"/>
        <v>87903.990207662398</v>
      </c>
      <c r="H193" s="151">
        <f ca="1">'HUD - Snapshot'!$K$10/12*D192</f>
        <v>10905.766579887448</v>
      </c>
      <c r="I193" s="151">
        <f t="shared" ca="1" si="30"/>
        <v>316925.08838529873</v>
      </c>
      <c r="J193" s="162"/>
      <c r="K193" s="152"/>
      <c r="L193" s="152"/>
      <c r="Q193"/>
      <c r="R193"/>
      <c r="S193"/>
      <c r="T193"/>
      <c r="U193"/>
      <c r="V193"/>
      <c r="W193"/>
      <c r="X193"/>
      <c r="Y193"/>
      <c r="Z193"/>
      <c r="AA193"/>
      <c r="AB193"/>
      <c r="AC193"/>
      <c r="AD193"/>
      <c r="AE193"/>
      <c r="AF193"/>
      <c r="AG193"/>
      <c r="AH193"/>
      <c r="AI193"/>
      <c r="AJ193"/>
      <c r="AK193"/>
      <c r="AL193"/>
      <c r="AM193"/>
      <c r="AN193"/>
      <c r="AO193"/>
      <c r="AP193"/>
      <c r="AQ193"/>
    </row>
    <row r="194" spans="2:43" s="150" customFormat="1" ht="15">
      <c r="B194" s="150">
        <v>182</v>
      </c>
      <c r="C194" s="153">
        <v>50072</v>
      </c>
      <c r="D194" s="151">
        <f t="shared" ca="1" si="26"/>
        <v>52171505.336418547</v>
      </c>
      <c r="E194" s="151">
        <f t="shared" ca="1" si="27"/>
        <v>306019.32180541131</v>
      </c>
      <c r="F194" s="151">
        <f t="shared" ca="1" si="28"/>
        <v>217749.06497188366</v>
      </c>
      <c r="G194" s="151">
        <f t="shared" ca="1" si="29"/>
        <v>88270.256833527645</v>
      </c>
      <c r="H194" s="151">
        <f ca="1">'HUD - Snapshot'!$K$10/12*D193</f>
        <v>10887.453248594184</v>
      </c>
      <c r="I194" s="151">
        <f t="shared" ca="1" si="30"/>
        <v>316906.7750540055</v>
      </c>
      <c r="J194" s="162"/>
      <c r="K194" s="152"/>
      <c r="L194" s="152"/>
      <c r="Q194"/>
      <c r="R194"/>
      <c r="S194"/>
      <c r="T194"/>
      <c r="U194"/>
      <c r="V194"/>
      <c r="W194"/>
      <c r="X194"/>
      <c r="Y194"/>
      <c r="Z194"/>
      <c r="AA194"/>
      <c r="AB194"/>
      <c r="AC194"/>
      <c r="AD194"/>
      <c r="AE194"/>
      <c r="AF194"/>
      <c r="AG194"/>
      <c r="AH194"/>
      <c r="AI194"/>
      <c r="AJ194"/>
      <c r="AK194"/>
      <c r="AL194"/>
      <c r="AM194"/>
      <c r="AN194"/>
      <c r="AO194"/>
      <c r="AP194"/>
      <c r="AQ194"/>
    </row>
    <row r="195" spans="2:43" s="150" customFormat="1" ht="15">
      <c r="B195" s="150">
        <v>183</v>
      </c>
      <c r="C195" s="153">
        <v>50100</v>
      </c>
      <c r="D195" s="151">
        <f t="shared" ca="1" si="26"/>
        <v>52082867.28684821</v>
      </c>
      <c r="E195" s="151">
        <f t="shared" ca="1" si="27"/>
        <v>306019.32180541131</v>
      </c>
      <c r="F195" s="151">
        <f t="shared" ca="1" si="28"/>
        <v>217381.27223507728</v>
      </c>
      <c r="G195" s="151">
        <f t="shared" ca="1" si="29"/>
        <v>88638.049570334028</v>
      </c>
      <c r="H195" s="151">
        <f ca="1">'HUD - Snapshot'!$K$10/12*D194</f>
        <v>10869.063611753865</v>
      </c>
      <c r="I195" s="151">
        <f t="shared" ca="1" si="30"/>
        <v>316888.38541716518</v>
      </c>
      <c r="J195" s="162"/>
      <c r="K195" s="152"/>
      <c r="L195" s="152"/>
      <c r="Q195"/>
      <c r="R195"/>
      <c r="S195"/>
      <c r="T195"/>
      <c r="U195"/>
      <c r="V195"/>
      <c r="W195"/>
      <c r="X195"/>
      <c r="Y195"/>
      <c r="Z195"/>
      <c r="AA195"/>
      <c r="AB195"/>
      <c r="AC195"/>
      <c r="AD195"/>
      <c r="AE195"/>
      <c r="AF195"/>
      <c r="AG195"/>
      <c r="AH195"/>
      <c r="AI195"/>
      <c r="AJ195"/>
      <c r="AK195"/>
      <c r="AL195"/>
      <c r="AM195"/>
      <c r="AN195"/>
      <c r="AO195"/>
      <c r="AP195"/>
      <c r="AQ195"/>
    </row>
    <row r="196" spans="2:43" s="150" customFormat="1" ht="15">
      <c r="B196" s="150">
        <v>184</v>
      </c>
      <c r="C196" s="153">
        <v>50131</v>
      </c>
      <c r="D196" s="151">
        <f t="shared" ca="1" si="26"/>
        <v>51993859.912071332</v>
      </c>
      <c r="E196" s="151">
        <f t="shared" ca="1" si="27"/>
        <v>306019.32180541131</v>
      </c>
      <c r="F196" s="151">
        <f t="shared" ca="1" si="28"/>
        <v>217011.9470285342</v>
      </c>
      <c r="G196" s="151">
        <f t="shared" ca="1" si="29"/>
        <v>89007.374776877114</v>
      </c>
      <c r="H196" s="151">
        <f ca="1">'HUD - Snapshot'!$K$10/12*D195</f>
        <v>10850.597351426712</v>
      </c>
      <c r="I196" s="151">
        <f t="shared" ca="1" si="30"/>
        <v>316869.91915683803</v>
      </c>
      <c r="J196" s="162"/>
      <c r="K196" s="152"/>
      <c r="L196" s="152"/>
      <c r="Q196"/>
      <c r="R196"/>
      <c r="S196"/>
      <c r="T196"/>
      <c r="U196"/>
      <c r="V196"/>
      <c r="W196"/>
      <c r="X196"/>
      <c r="Y196"/>
      <c r="Z196"/>
      <c r="AA196"/>
      <c r="AB196"/>
      <c r="AC196"/>
      <c r="AD196"/>
      <c r="AE196"/>
      <c r="AF196"/>
      <c r="AG196"/>
      <c r="AH196"/>
      <c r="AI196"/>
      <c r="AJ196"/>
      <c r="AK196"/>
      <c r="AL196"/>
      <c r="AM196"/>
      <c r="AN196"/>
      <c r="AO196"/>
      <c r="AP196"/>
      <c r="AQ196"/>
    </row>
    <row r="197" spans="2:43" s="150" customFormat="1" ht="15">
      <c r="B197" s="150">
        <v>185</v>
      </c>
      <c r="C197" s="153">
        <v>50161</v>
      </c>
      <c r="D197" s="151">
        <f t="shared" ca="1" si="26"/>
        <v>51904481.673232883</v>
      </c>
      <c r="E197" s="151">
        <f t="shared" ca="1" si="27"/>
        <v>306019.32180541131</v>
      </c>
      <c r="F197" s="151">
        <f t="shared" ca="1" si="28"/>
        <v>216641.08296696388</v>
      </c>
      <c r="G197" s="151">
        <f t="shared" ca="1" si="29"/>
        <v>89378.238838447432</v>
      </c>
      <c r="H197" s="151">
        <f ca="1">'HUD - Snapshot'!$K$10/12*D196</f>
        <v>10832.054148348196</v>
      </c>
      <c r="I197" s="151">
        <f t="shared" ca="1" si="30"/>
        <v>316851.37595375953</v>
      </c>
      <c r="J197" s="162"/>
      <c r="K197" s="152"/>
      <c r="L197" s="152"/>
      <c r="Q197"/>
      <c r="R197"/>
      <c r="S197"/>
      <c r="T197"/>
      <c r="U197"/>
      <c r="V197"/>
      <c r="W197"/>
      <c r="X197"/>
      <c r="Y197"/>
      <c r="Z197"/>
      <c r="AA197"/>
      <c r="AB197"/>
      <c r="AC197"/>
      <c r="AD197"/>
      <c r="AE197"/>
      <c r="AF197"/>
      <c r="AG197"/>
      <c r="AH197"/>
      <c r="AI197"/>
      <c r="AJ197"/>
      <c r="AK197"/>
      <c r="AL197"/>
      <c r="AM197"/>
      <c r="AN197"/>
      <c r="AO197"/>
      <c r="AP197"/>
      <c r="AQ197"/>
    </row>
    <row r="198" spans="2:43" s="150" customFormat="1" ht="15">
      <c r="B198" s="150">
        <v>186</v>
      </c>
      <c r="C198" s="153">
        <v>50192</v>
      </c>
      <c r="D198" s="151">
        <f t="shared" ca="1" si="26"/>
        <v>51814731.025065944</v>
      </c>
      <c r="E198" s="151">
        <f t="shared" ca="1" si="27"/>
        <v>306019.32180541131</v>
      </c>
      <c r="F198" s="151">
        <f t="shared" ca="1" si="28"/>
        <v>216268.67363847035</v>
      </c>
      <c r="G198" s="151">
        <f t="shared" ca="1" si="29"/>
        <v>89750.648166940955</v>
      </c>
      <c r="H198" s="151">
        <f ca="1">'HUD - Snapshot'!$K$10/12*D197</f>
        <v>10813.433681923518</v>
      </c>
      <c r="I198" s="151">
        <f t="shared" ca="1" si="30"/>
        <v>316832.7554873348</v>
      </c>
      <c r="J198" s="162"/>
      <c r="K198" s="152"/>
      <c r="L198" s="152"/>
      <c r="Q198"/>
      <c r="R198"/>
      <c r="S198"/>
      <c r="T198"/>
      <c r="U198"/>
      <c r="V198"/>
      <c r="W198"/>
      <c r="X198"/>
      <c r="Y198"/>
      <c r="Z198"/>
      <c r="AA198"/>
      <c r="AB198"/>
      <c r="AC198"/>
      <c r="AD198"/>
      <c r="AE198"/>
      <c r="AF198"/>
      <c r="AG198"/>
      <c r="AH198"/>
      <c r="AI198"/>
      <c r="AJ198"/>
      <c r="AK198"/>
      <c r="AL198"/>
      <c r="AM198"/>
      <c r="AN198"/>
      <c r="AO198"/>
      <c r="AP198"/>
      <c r="AQ198"/>
    </row>
    <row r="199" spans="2:43" s="150" customFormat="1" ht="15">
      <c r="B199" s="150">
        <v>187</v>
      </c>
      <c r="C199" s="153">
        <v>50222</v>
      </c>
      <c r="D199" s="151">
        <f t="shared" ca="1" si="26"/>
        <v>51724606.415864974</v>
      </c>
      <c r="E199" s="151">
        <f t="shared" ca="1" si="27"/>
        <v>306019.32180541131</v>
      </c>
      <c r="F199" s="151">
        <f t="shared" ca="1" si="28"/>
        <v>215894.71260444142</v>
      </c>
      <c r="G199" s="151">
        <f t="shared" ca="1" si="29"/>
        <v>90124.609200969891</v>
      </c>
      <c r="H199" s="151">
        <f ca="1">'HUD - Snapshot'!$K$10/12*D198</f>
        <v>10794.735630222072</v>
      </c>
      <c r="I199" s="151">
        <f t="shared" ca="1" si="30"/>
        <v>316814.05743563338</v>
      </c>
      <c r="J199" s="162"/>
      <c r="K199" s="152"/>
      <c r="L199" s="152"/>
      <c r="Q199"/>
      <c r="R199"/>
      <c r="S199"/>
      <c r="T199"/>
      <c r="U199"/>
      <c r="V199"/>
      <c r="W199"/>
      <c r="X199"/>
      <c r="Y199"/>
      <c r="Z199"/>
      <c r="AA199"/>
      <c r="AB199"/>
      <c r="AC199"/>
      <c r="AD199"/>
      <c r="AE199"/>
      <c r="AF199"/>
      <c r="AG199"/>
      <c r="AH199"/>
      <c r="AI199"/>
      <c r="AJ199"/>
      <c r="AK199"/>
      <c r="AL199"/>
      <c r="AM199"/>
      <c r="AN199"/>
      <c r="AO199"/>
      <c r="AP199"/>
      <c r="AQ199"/>
    </row>
    <row r="200" spans="2:43" s="150" customFormat="1" ht="15">
      <c r="B200" s="150">
        <v>188</v>
      </c>
      <c r="C200" s="153">
        <v>50253</v>
      </c>
      <c r="D200" s="151">
        <f t="shared" ca="1" si="26"/>
        <v>51634106.287459001</v>
      </c>
      <c r="E200" s="151">
        <f t="shared" ca="1" si="27"/>
        <v>306019.32180541131</v>
      </c>
      <c r="F200" s="151">
        <f t="shared" ca="1" si="28"/>
        <v>215519.19339943738</v>
      </c>
      <c r="G200" s="151">
        <f t="shared" ca="1" si="29"/>
        <v>90500.128405973926</v>
      </c>
      <c r="H200" s="151">
        <f ca="1">'HUD - Snapshot'!$K$10/12*D199</f>
        <v>10775.95966997187</v>
      </c>
      <c r="I200" s="151">
        <f t="shared" ca="1" si="30"/>
        <v>316795.28147538321</v>
      </c>
      <c r="J200" s="162"/>
      <c r="K200" s="152"/>
      <c r="L200" s="152"/>
      <c r="Q200"/>
      <c r="R200"/>
      <c r="S200"/>
      <c r="T200"/>
      <c r="U200"/>
      <c r="V200"/>
      <c r="W200"/>
      <c r="X200"/>
      <c r="Y200"/>
      <c r="Z200"/>
      <c r="AA200"/>
      <c r="AB200"/>
      <c r="AC200"/>
      <c r="AD200"/>
      <c r="AE200"/>
      <c r="AF200"/>
      <c r="AG200"/>
      <c r="AH200"/>
      <c r="AI200"/>
      <c r="AJ200"/>
      <c r="AK200"/>
      <c r="AL200"/>
      <c r="AM200"/>
      <c r="AN200"/>
      <c r="AO200"/>
      <c r="AP200"/>
      <c r="AQ200"/>
    </row>
    <row r="201" spans="2:43" s="150" customFormat="1" ht="15">
      <c r="B201" s="150">
        <v>189</v>
      </c>
      <c r="C201" s="153">
        <v>50284</v>
      </c>
      <c r="D201" s="151">
        <f t="shared" ca="1" si="26"/>
        <v>51543229.075184666</v>
      </c>
      <c r="E201" s="151">
        <f t="shared" ca="1" si="27"/>
        <v>306019.32180541131</v>
      </c>
      <c r="F201" s="151">
        <f t="shared" ca="1" si="28"/>
        <v>215142.10953107916</v>
      </c>
      <c r="G201" s="151">
        <f t="shared" ca="1" si="29"/>
        <v>90877.212274332152</v>
      </c>
      <c r="H201" s="151">
        <f ca="1">'HUD - Snapshot'!$K$10/12*D200</f>
        <v>10757.105476553959</v>
      </c>
      <c r="I201" s="151">
        <f t="shared" ca="1" si="30"/>
        <v>316776.42728196527</v>
      </c>
      <c r="J201" s="162"/>
      <c r="K201" s="152"/>
      <c r="L201" s="152"/>
      <c r="Q201"/>
      <c r="R201"/>
      <c r="S201"/>
      <c r="T201"/>
      <c r="U201"/>
      <c r="V201"/>
      <c r="W201"/>
      <c r="X201"/>
      <c r="Y201"/>
      <c r="Z201"/>
      <c r="AA201"/>
      <c r="AB201"/>
      <c r="AC201"/>
      <c r="AD201"/>
      <c r="AE201"/>
      <c r="AF201"/>
      <c r="AG201"/>
      <c r="AH201"/>
      <c r="AI201"/>
      <c r="AJ201"/>
      <c r="AK201"/>
      <c r="AL201"/>
      <c r="AM201"/>
      <c r="AN201"/>
      <c r="AO201"/>
      <c r="AP201"/>
      <c r="AQ201"/>
    </row>
    <row r="202" spans="2:43" s="150" customFormat="1" ht="15">
      <c r="B202" s="150">
        <v>190</v>
      </c>
      <c r="C202" s="153">
        <v>50314</v>
      </c>
      <c r="D202" s="151">
        <f t="shared" ca="1" si="26"/>
        <v>51451973.207859188</v>
      </c>
      <c r="E202" s="151">
        <f t="shared" ca="1" si="27"/>
        <v>306019.32180541131</v>
      </c>
      <c r="F202" s="151">
        <f t="shared" ca="1" si="28"/>
        <v>214763.4544799361</v>
      </c>
      <c r="G202" s="151">
        <f t="shared" ca="1" si="29"/>
        <v>91255.867325475207</v>
      </c>
      <c r="H202" s="151">
        <f ca="1">'HUD - Snapshot'!$K$10/12*D201</f>
        <v>10738.172723996806</v>
      </c>
      <c r="I202" s="151">
        <f t="shared" ca="1" si="30"/>
        <v>316757.49452940811</v>
      </c>
      <c r="J202" s="162"/>
      <c r="K202" s="152"/>
      <c r="L202" s="152"/>
      <c r="Q202"/>
      <c r="R202"/>
      <c r="S202"/>
      <c r="T202"/>
      <c r="U202"/>
      <c r="V202"/>
      <c r="W202"/>
      <c r="X202"/>
      <c r="Y202"/>
      <c r="Z202"/>
      <c r="AA202"/>
      <c r="AB202"/>
      <c r="AC202"/>
      <c r="AD202"/>
      <c r="AE202"/>
      <c r="AF202"/>
      <c r="AG202"/>
      <c r="AH202"/>
      <c r="AI202"/>
      <c r="AJ202"/>
      <c r="AK202"/>
      <c r="AL202"/>
      <c r="AM202"/>
      <c r="AN202"/>
      <c r="AO202"/>
      <c r="AP202"/>
      <c r="AQ202"/>
    </row>
    <row r="203" spans="2:43" s="150" customFormat="1" ht="15">
      <c r="B203" s="150">
        <v>191</v>
      </c>
      <c r="C203" s="153">
        <v>50345</v>
      </c>
      <c r="D203" s="151">
        <f t="shared" ca="1" si="26"/>
        <v>51360337.107753187</v>
      </c>
      <c r="E203" s="151">
        <f t="shared" ca="1" si="27"/>
        <v>306019.32180541131</v>
      </c>
      <c r="F203" s="151">
        <f t="shared" ca="1" si="28"/>
        <v>214383.22169941329</v>
      </c>
      <c r="G203" s="151">
        <f t="shared" ca="1" si="29"/>
        <v>91636.100105998019</v>
      </c>
      <c r="H203" s="151">
        <f ca="1">'HUD - Snapshot'!$K$10/12*D202</f>
        <v>10719.161084970665</v>
      </c>
      <c r="I203" s="151">
        <f t="shared" ca="1" si="30"/>
        <v>316738.482890382</v>
      </c>
      <c r="J203" s="162"/>
      <c r="K203" s="152"/>
      <c r="L203" s="152"/>
      <c r="Q203"/>
      <c r="R203"/>
      <c r="S203"/>
      <c r="T203"/>
      <c r="U203"/>
      <c r="V203"/>
      <c r="W203"/>
      <c r="X203"/>
      <c r="Y203"/>
      <c r="Z203"/>
      <c r="AA203"/>
      <c r="AB203"/>
      <c r="AC203"/>
      <c r="AD203"/>
      <c r="AE203"/>
      <c r="AF203"/>
      <c r="AG203"/>
      <c r="AH203"/>
      <c r="AI203"/>
      <c r="AJ203"/>
      <c r="AK203"/>
      <c r="AL203"/>
      <c r="AM203"/>
      <c r="AN203"/>
      <c r="AO203"/>
      <c r="AP203"/>
      <c r="AQ203"/>
    </row>
    <row r="204" spans="2:43" s="150" customFormat="1" ht="15">
      <c r="B204" s="150">
        <v>192</v>
      </c>
      <c r="C204" s="153">
        <v>50375</v>
      </c>
      <c r="D204" s="151">
        <f t="shared" ca="1" si="26"/>
        <v>51268319.190563418</v>
      </c>
      <c r="E204" s="151">
        <f t="shared" ca="1" si="27"/>
        <v>306019.32180541131</v>
      </c>
      <c r="F204" s="151">
        <f t="shared" ca="1" si="28"/>
        <v>214001.40461563828</v>
      </c>
      <c r="G204" s="151">
        <f t="shared" ca="1" si="29"/>
        <v>92017.917189773027</v>
      </c>
      <c r="H204" s="151">
        <f ca="1">'HUD - Snapshot'!$K$10/12*D203</f>
        <v>10700.070230781916</v>
      </c>
      <c r="I204" s="151">
        <f t="shared" ca="1" si="30"/>
        <v>316719.39203619323</v>
      </c>
      <c r="J204" s="162"/>
      <c r="K204" s="152">
        <f ca="1">SUM(I193:I204)</f>
        <v>3801875.4351033662</v>
      </c>
      <c r="L204" s="152">
        <f ca="1">SUM(F193:F204)</f>
        <v>2592871.4687686246</v>
      </c>
      <c r="Q204"/>
      <c r="R204"/>
      <c r="S204"/>
      <c r="T204"/>
      <c r="U204"/>
      <c r="V204"/>
      <c r="W204"/>
      <c r="X204"/>
      <c r="Y204"/>
      <c r="Z204"/>
      <c r="AA204"/>
      <c r="AB204"/>
      <c r="AC204"/>
      <c r="AD204"/>
      <c r="AE204"/>
      <c r="AF204"/>
      <c r="AG204"/>
      <c r="AH204"/>
      <c r="AI204"/>
      <c r="AJ204"/>
      <c r="AK204"/>
      <c r="AL204"/>
      <c r="AM204"/>
      <c r="AN204"/>
      <c r="AO204"/>
      <c r="AP204"/>
      <c r="AQ204"/>
    </row>
    <row r="205" spans="2:43" s="150" customFormat="1" ht="15">
      <c r="B205" s="150">
        <v>193</v>
      </c>
      <c r="C205" s="153">
        <v>50406</v>
      </c>
      <c r="D205" s="151">
        <f t="shared" ref="D205:D268" ca="1" si="47">D204-G205</f>
        <v>51175917.865385354</v>
      </c>
      <c r="E205" s="151">
        <f t="shared" ref="E205:E268" ca="1" si="48">$D$9</f>
        <v>306019.32180541131</v>
      </c>
      <c r="F205" s="151">
        <f t="shared" ref="F205:F268" ca="1" si="49">$D$8/12*D204</f>
        <v>213617.99662734757</v>
      </c>
      <c r="G205" s="151">
        <f t="shared" ref="G205:G268" ca="1" si="50">E205-F205</f>
        <v>92401.325178063737</v>
      </c>
      <c r="H205" s="151">
        <f ca="1">'HUD - Snapshot'!$K$10/12*D204</f>
        <v>10680.89983136738</v>
      </c>
      <c r="I205" s="151">
        <f t="shared" ref="I205:I268" ca="1" si="51">SUM(F205:H205)</f>
        <v>316700.22163677868</v>
      </c>
      <c r="J205" s="162"/>
      <c r="K205" s="152"/>
      <c r="L205" s="152"/>
      <c r="Q205"/>
      <c r="R205"/>
      <c r="S205"/>
      <c r="T205"/>
      <c r="U205"/>
      <c r="V205"/>
      <c r="W205"/>
      <c r="X205"/>
      <c r="Y205"/>
      <c r="Z205"/>
      <c r="AA205"/>
      <c r="AB205"/>
      <c r="AC205"/>
      <c r="AD205"/>
      <c r="AE205"/>
      <c r="AF205"/>
      <c r="AG205"/>
      <c r="AH205"/>
      <c r="AI205"/>
      <c r="AJ205"/>
      <c r="AK205"/>
      <c r="AL205"/>
      <c r="AM205"/>
      <c r="AN205"/>
      <c r="AO205"/>
      <c r="AP205"/>
      <c r="AQ205"/>
    </row>
    <row r="206" spans="2:43" s="150" customFormat="1" ht="15">
      <c r="B206" s="150">
        <v>194</v>
      </c>
      <c r="C206" s="153">
        <v>50437</v>
      </c>
      <c r="D206" s="151">
        <f t="shared" ca="1" si="47"/>
        <v>51083131.534685716</v>
      </c>
      <c r="E206" s="151">
        <f t="shared" ca="1" si="48"/>
        <v>306019.32180541131</v>
      </c>
      <c r="F206" s="151">
        <f t="shared" ca="1" si="49"/>
        <v>213232.99110577229</v>
      </c>
      <c r="G206" s="151">
        <f t="shared" ca="1" si="50"/>
        <v>92786.330699639017</v>
      </c>
      <c r="H206" s="151">
        <f ca="1">'HUD - Snapshot'!$K$10/12*D205</f>
        <v>10661.649555288615</v>
      </c>
      <c r="I206" s="151">
        <f t="shared" ca="1" si="51"/>
        <v>316680.97136069991</v>
      </c>
      <c r="J206" s="162"/>
      <c r="K206" s="152"/>
      <c r="L206" s="152"/>
      <c r="Q206"/>
      <c r="R206"/>
      <c r="S206"/>
      <c r="T206"/>
      <c r="U206"/>
      <c r="V206"/>
      <c r="W206"/>
      <c r="X206"/>
      <c r="Y206"/>
      <c r="Z206"/>
      <c r="AA206"/>
      <c r="AB206"/>
      <c r="AC206"/>
      <c r="AD206"/>
      <c r="AE206"/>
      <c r="AF206"/>
      <c r="AG206"/>
      <c r="AH206"/>
      <c r="AI206"/>
      <c r="AJ206"/>
      <c r="AK206"/>
      <c r="AL206"/>
      <c r="AM206"/>
      <c r="AN206"/>
      <c r="AO206"/>
      <c r="AP206"/>
      <c r="AQ206"/>
    </row>
    <row r="207" spans="2:43" s="150" customFormat="1" ht="15">
      <c r="B207" s="150">
        <v>195</v>
      </c>
      <c r="C207" s="153">
        <v>50465</v>
      </c>
      <c r="D207" s="151">
        <f t="shared" ca="1" si="47"/>
        <v>50989958.594274826</v>
      </c>
      <c r="E207" s="151">
        <f t="shared" ca="1" si="48"/>
        <v>306019.32180541131</v>
      </c>
      <c r="F207" s="151">
        <f t="shared" ca="1" si="49"/>
        <v>212846.38139452381</v>
      </c>
      <c r="G207" s="151">
        <f t="shared" ca="1" si="50"/>
        <v>93172.940410887502</v>
      </c>
      <c r="H207" s="151">
        <f ca="1">'HUD - Snapshot'!$K$10/12*D206</f>
        <v>10642.319069726191</v>
      </c>
      <c r="I207" s="151">
        <f t="shared" ca="1" si="51"/>
        <v>316661.64087513753</v>
      </c>
      <c r="J207" s="162"/>
      <c r="K207" s="152"/>
      <c r="L207" s="152"/>
      <c r="Q207"/>
      <c r="R207"/>
      <c r="S207"/>
      <c r="T207"/>
      <c r="U207"/>
      <c r="V207"/>
      <c r="W207"/>
      <c r="X207"/>
      <c r="Y207"/>
      <c r="Z207"/>
      <c r="AA207"/>
      <c r="AB207"/>
      <c r="AC207"/>
      <c r="AD207"/>
      <c r="AE207"/>
      <c r="AF207"/>
      <c r="AG207"/>
      <c r="AH207"/>
      <c r="AI207"/>
      <c r="AJ207"/>
      <c r="AK207"/>
      <c r="AL207"/>
      <c r="AM207"/>
      <c r="AN207"/>
      <c r="AO207"/>
      <c r="AP207"/>
      <c r="AQ207"/>
    </row>
    <row r="208" spans="2:43" s="150" customFormat="1" ht="15">
      <c r="B208" s="150">
        <v>196</v>
      </c>
      <c r="C208" s="153">
        <v>50496</v>
      </c>
      <c r="D208" s="151">
        <f t="shared" ca="1" si="47"/>
        <v>50896397.433278896</v>
      </c>
      <c r="E208" s="151">
        <f t="shared" ca="1" si="48"/>
        <v>306019.32180541131</v>
      </c>
      <c r="F208" s="151">
        <f t="shared" ca="1" si="49"/>
        <v>212458.16080947843</v>
      </c>
      <c r="G208" s="151">
        <f t="shared" ca="1" si="50"/>
        <v>93561.160995932878</v>
      </c>
      <c r="H208" s="151">
        <f ca="1">'HUD - Snapshot'!$K$10/12*D207</f>
        <v>10622.908040473923</v>
      </c>
      <c r="I208" s="151">
        <f t="shared" ca="1" si="51"/>
        <v>316642.22984588525</v>
      </c>
      <c r="J208" s="162"/>
      <c r="K208" s="152"/>
      <c r="L208" s="152"/>
      <c r="Q208"/>
      <c r="R208"/>
      <c r="S208"/>
      <c r="T208"/>
      <c r="U208"/>
      <c r="V208"/>
      <c r="W208"/>
      <c r="X208"/>
      <c r="Y208"/>
      <c r="Z208"/>
      <c r="AA208"/>
      <c r="AB208"/>
      <c r="AC208"/>
      <c r="AD208"/>
      <c r="AE208"/>
      <c r="AF208"/>
      <c r="AG208"/>
      <c r="AH208"/>
      <c r="AI208"/>
      <c r="AJ208"/>
      <c r="AK208"/>
      <c r="AL208"/>
      <c r="AM208"/>
      <c r="AN208"/>
      <c r="AO208"/>
      <c r="AP208"/>
      <c r="AQ208"/>
    </row>
    <row r="209" spans="2:43" s="150" customFormat="1" ht="15">
      <c r="B209" s="150">
        <v>197</v>
      </c>
      <c r="C209" s="153">
        <v>50526</v>
      </c>
      <c r="D209" s="151">
        <f t="shared" ca="1" si="47"/>
        <v>50802446.434112146</v>
      </c>
      <c r="E209" s="151">
        <f t="shared" ca="1" si="48"/>
        <v>306019.32180541131</v>
      </c>
      <c r="F209" s="151">
        <f t="shared" ca="1" si="49"/>
        <v>212068.32263866207</v>
      </c>
      <c r="G209" s="151">
        <f t="shared" ca="1" si="50"/>
        <v>93950.999166749243</v>
      </c>
      <c r="H209" s="151">
        <f ca="1">'HUD - Snapshot'!$K$10/12*D208</f>
        <v>10603.416131933103</v>
      </c>
      <c r="I209" s="151">
        <f t="shared" ca="1" si="51"/>
        <v>316622.73793734441</v>
      </c>
      <c r="J209" s="162"/>
      <c r="K209" s="152"/>
      <c r="L209" s="152"/>
      <c r="Q209"/>
      <c r="R209"/>
      <c r="S209"/>
      <c r="T209"/>
      <c r="U209"/>
      <c r="V209"/>
      <c r="W209"/>
      <c r="X209"/>
      <c r="Y209"/>
      <c r="Z209"/>
      <c r="AA209"/>
      <c r="AB209"/>
      <c r="AC209"/>
      <c r="AD209"/>
      <c r="AE209"/>
      <c r="AF209"/>
      <c r="AG209"/>
      <c r="AH209"/>
      <c r="AI209"/>
      <c r="AJ209"/>
      <c r="AK209"/>
      <c r="AL209"/>
      <c r="AM209"/>
      <c r="AN209"/>
      <c r="AO209"/>
      <c r="AP209"/>
      <c r="AQ209"/>
    </row>
    <row r="210" spans="2:43" s="150" customFormat="1" ht="15">
      <c r="B210" s="150">
        <v>198</v>
      </c>
      <c r="C210" s="153">
        <v>50557</v>
      </c>
      <c r="D210" s="151">
        <f t="shared" ca="1" si="47"/>
        <v>50708103.972448871</v>
      </c>
      <c r="E210" s="151">
        <f t="shared" ca="1" si="48"/>
        <v>306019.32180541131</v>
      </c>
      <c r="F210" s="151">
        <f t="shared" ca="1" si="49"/>
        <v>211676.86014213393</v>
      </c>
      <c r="G210" s="151">
        <f t="shared" ca="1" si="50"/>
        <v>94342.461663277383</v>
      </c>
      <c r="H210" s="151">
        <f ca="1">'HUD - Snapshot'!$K$10/12*D209</f>
        <v>10583.843007106698</v>
      </c>
      <c r="I210" s="151">
        <f t="shared" ca="1" si="51"/>
        <v>316603.16481251799</v>
      </c>
      <c r="J210" s="162"/>
      <c r="K210" s="152"/>
      <c r="L210" s="152"/>
      <c r="Q210"/>
      <c r="R210"/>
      <c r="S210"/>
      <c r="T210"/>
      <c r="U210"/>
      <c r="V210"/>
      <c r="W210"/>
      <c r="X210"/>
      <c r="Y210"/>
      <c r="Z210"/>
      <c r="AA210"/>
      <c r="AB210"/>
      <c r="AC210"/>
      <c r="AD210"/>
      <c r="AE210"/>
      <c r="AF210"/>
      <c r="AG210"/>
      <c r="AH210"/>
      <c r="AI210"/>
      <c r="AJ210"/>
      <c r="AK210"/>
      <c r="AL210"/>
      <c r="AM210"/>
      <c r="AN210"/>
      <c r="AO210"/>
      <c r="AP210"/>
      <c r="AQ210"/>
    </row>
    <row r="211" spans="2:43" s="150" customFormat="1" ht="15">
      <c r="B211" s="150">
        <v>199</v>
      </c>
      <c r="C211" s="153">
        <v>50587</v>
      </c>
      <c r="D211" s="151">
        <f t="shared" ca="1" si="47"/>
        <v>50613368.417195328</v>
      </c>
      <c r="E211" s="151">
        <f t="shared" ca="1" si="48"/>
        <v>306019.32180541131</v>
      </c>
      <c r="F211" s="151">
        <f t="shared" ca="1" si="49"/>
        <v>211283.7665518703</v>
      </c>
      <c r="G211" s="151">
        <f t="shared" ca="1" si="50"/>
        <v>94735.55525354101</v>
      </c>
      <c r="H211" s="151">
        <f ca="1">'HUD - Snapshot'!$K$10/12*D210</f>
        <v>10564.188327593516</v>
      </c>
      <c r="I211" s="151">
        <f t="shared" ca="1" si="51"/>
        <v>316583.51013300481</v>
      </c>
      <c r="J211" s="162"/>
      <c r="K211" s="152"/>
      <c r="L211" s="152"/>
      <c r="Q211"/>
      <c r="R211"/>
      <c r="S211"/>
      <c r="T211"/>
      <c r="U211"/>
      <c r="V211"/>
      <c r="W211"/>
      <c r="X211"/>
      <c r="Y211"/>
      <c r="Z211"/>
      <c r="AA211"/>
      <c r="AB211"/>
      <c r="AC211"/>
      <c r="AD211"/>
      <c r="AE211"/>
      <c r="AF211"/>
      <c r="AG211"/>
      <c r="AH211"/>
      <c r="AI211"/>
      <c r="AJ211"/>
      <c r="AK211"/>
      <c r="AL211"/>
      <c r="AM211"/>
      <c r="AN211"/>
      <c r="AO211"/>
      <c r="AP211"/>
      <c r="AQ211"/>
    </row>
    <row r="212" spans="2:43" s="150" customFormat="1" ht="15">
      <c r="B212" s="150">
        <v>200</v>
      </c>
      <c r="C212" s="153">
        <v>50618</v>
      </c>
      <c r="D212" s="151">
        <f t="shared" ca="1" si="47"/>
        <v>50518238.130461566</v>
      </c>
      <c r="E212" s="151">
        <f t="shared" ca="1" si="48"/>
        <v>306019.32180541131</v>
      </c>
      <c r="F212" s="151">
        <f t="shared" ca="1" si="49"/>
        <v>210889.0350716472</v>
      </c>
      <c r="G212" s="151">
        <f t="shared" ca="1" si="50"/>
        <v>95130.286733764107</v>
      </c>
      <c r="H212" s="151">
        <f ca="1">'HUD - Snapshot'!$K$10/12*D211</f>
        <v>10544.45175358236</v>
      </c>
      <c r="I212" s="151">
        <f t="shared" ca="1" si="51"/>
        <v>316563.77355899365</v>
      </c>
      <c r="J212" s="162"/>
      <c r="K212" s="152"/>
      <c r="L212" s="152"/>
      <c r="Q212"/>
      <c r="R212"/>
      <c r="S212"/>
      <c r="T212"/>
      <c r="U212"/>
      <c r="V212"/>
      <c r="W212"/>
      <c r="X212"/>
      <c r="Y212"/>
      <c r="Z212"/>
      <c r="AA212"/>
      <c r="AB212"/>
      <c r="AC212"/>
      <c r="AD212"/>
      <c r="AE212"/>
      <c r="AF212"/>
      <c r="AG212"/>
      <c r="AH212"/>
      <c r="AI212"/>
      <c r="AJ212"/>
      <c r="AK212"/>
      <c r="AL212"/>
      <c r="AM212"/>
      <c r="AN212"/>
      <c r="AO212"/>
      <c r="AP212"/>
      <c r="AQ212"/>
    </row>
    <row r="213" spans="2:43" s="150" customFormat="1" ht="15">
      <c r="B213" s="150">
        <v>201</v>
      </c>
      <c r="C213" s="153">
        <v>50649</v>
      </c>
      <c r="D213" s="151">
        <f t="shared" ca="1" si="47"/>
        <v>50422711.467533074</v>
      </c>
      <c r="E213" s="151">
        <f t="shared" ca="1" si="48"/>
        <v>306019.32180541131</v>
      </c>
      <c r="F213" s="151">
        <f t="shared" ca="1" si="49"/>
        <v>210492.65887692317</v>
      </c>
      <c r="G213" s="151">
        <f t="shared" ca="1" si="50"/>
        <v>95526.662928488135</v>
      </c>
      <c r="H213" s="151">
        <f ca="1">'HUD - Snapshot'!$K$10/12*D212</f>
        <v>10524.63294384616</v>
      </c>
      <c r="I213" s="151">
        <f t="shared" ca="1" si="51"/>
        <v>316543.95474925748</v>
      </c>
      <c r="J213" s="162"/>
      <c r="K213" s="152"/>
      <c r="L213" s="152"/>
      <c r="Q213"/>
      <c r="R213"/>
      <c r="S213"/>
      <c r="T213"/>
      <c r="U213"/>
      <c r="V213"/>
      <c r="W213"/>
      <c r="X213"/>
      <c r="Y213"/>
      <c r="Z213"/>
      <c r="AA213"/>
      <c r="AB213"/>
      <c r="AC213"/>
      <c r="AD213"/>
      <c r="AE213"/>
      <c r="AF213"/>
      <c r="AG213"/>
      <c r="AH213"/>
      <c r="AI213"/>
      <c r="AJ213"/>
      <c r="AK213"/>
      <c r="AL213"/>
      <c r="AM213"/>
      <c r="AN213"/>
      <c r="AO213"/>
      <c r="AP213"/>
      <c r="AQ213"/>
    </row>
    <row r="214" spans="2:43" s="150" customFormat="1" ht="15">
      <c r="B214" s="150">
        <v>202</v>
      </c>
      <c r="C214" s="153">
        <v>50679</v>
      </c>
      <c r="D214" s="151">
        <f t="shared" ca="1" si="47"/>
        <v>50326786.776842386</v>
      </c>
      <c r="E214" s="151">
        <f t="shared" ca="1" si="48"/>
        <v>306019.32180541131</v>
      </c>
      <c r="F214" s="151">
        <f t="shared" ca="1" si="49"/>
        <v>210094.63111472115</v>
      </c>
      <c r="G214" s="151">
        <f t="shared" ca="1" si="50"/>
        <v>95924.690690690157</v>
      </c>
      <c r="H214" s="151">
        <f ca="1">'HUD - Snapshot'!$K$10/12*D213</f>
        <v>10504.731555736058</v>
      </c>
      <c r="I214" s="151">
        <f t="shared" ca="1" si="51"/>
        <v>316524.05336114735</v>
      </c>
      <c r="J214" s="162"/>
      <c r="K214" s="152"/>
      <c r="L214" s="152"/>
      <c r="Q214"/>
      <c r="R214"/>
      <c r="S214"/>
      <c r="T214"/>
      <c r="U214"/>
      <c r="V214"/>
      <c r="W214"/>
      <c r="X214"/>
      <c r="Y214"/>
      <c r="Z214"/>
      <c r="AA214"/>
      <c r="AB214"/>
      <c r="AC214"/>
      <c r="AD214"/>
      <c r="AE214"/>
      <c r="AF214"/>
      <c r="AG214"/>
      <c r="AH214"/>
      <c r="AI214"/>
      <c r="AJ214"/>
      <c r="AK214"/>
      <c r="AL214"/>
      <c r="AM214"/>
      <c r="AN214"/>
      <c r="AO214"/>
      <c r="AP214"/>
      <c r="AQ214"/>
    </row>
    <row r="215" spans="2:43" s="150" customFormat="1" ht="15">
      <c r="B215" s="150">
        <v>203</v>
      </c>
      <c r="C215" s="153">
        <v>50710</v>
      </c>
      <c r="D215" s="151">
        <f t="shared" ca="1" si="47"/>
        <v>50230462.399940483</v>
      </c>
      <c r="E215" s="151">
        <f t="shared" ca="1" si="48"/>
        <v>306019.32180541131</v>
      </c>
      <c r="F215" s="151">
        <f t="shared" ca="1" si="49"/>
        <v>209694.94490350992</v>
      </c>
      <c r="G215" s="151">
        <f t="shared" ca="1" si="50"/>
        <v>96324.376901901385</v>
      </c>
      <c r="H215" s="151">
        <f ca="1">'HUD - Snapshot'!$K$10/12*D214</f>
        <v>10484.747245175498</v>
      </c>
      <c r="I215" s="151">
        <f t="shared" ca="1" si="51"/>
        <v>316504.06905058678</v>
      </c>
      <c r="J215" s="162"/>
      <c r="K215" s="152"/>
      <c r="L215" s="152"/>
      <c r="Q215"/>
      <c r="R215"/>
      <c r="S215"/>
      <c r="T215"/>
      <c r="U215"/>
      <c r="V215"/>
      <c r="W215"/>
      <c r="X215"/>
      <c r="Y215"/>
      <c r="Z215"/>
      <c r="AA215"/>
      <c r="AB215"/>
      <c r="AC215"/>
      <c r="AD215"/>
      <c r="AE215"/>
      <c r="AF215"/>
      <c r="AG215"/>
      <c r="AH215"/>
      <c r="AI215"/>
      <c r="AJ215"/>
      <c r="AK215"/>
      <c r="AL215"/>
      <c r="AM215"/>
      <c r="AN215"/>
      <c r="AO215"/>
      <c r="AP215"/>
      <c r="AQ215"/>
    </row>
    <row r="216" spans="2:43" s="150" customFormat="1" ht="15">
      <c r="B216" s="150">
        <v>204</v>
      </c>
      <c r="C216" s="153">
        <v>50740</v>
      </c>
      <c r="D216" s="151">
        <f t="shared" ca="1" si="47"/>
        <v>50133736.671468154</v>
      </c>
      <c r="E216" s="151">
        <f t="shared" ca="1" si="48"/>
        <v>306019.32180541131</v>
      </c>
      <c r="F216" s="151">
        <f t="shared" ca="1" si="49"/>
        <v>209293.59333308536</v>
      </c>
      <c r="G216" s="151">
        <f t="shared" ca="1" si="50"/>
        <v>96725.728472325951</v>
      </c>
      <c r="H216" s="151">
        <f ca="1">'HUD - Snapshot'!$K$10/12*D215</f>
        <v>10464.679666654269</v>
      </c>
      <c r="I216" s="151">
        <f t="shared" ca="1" si="51"/>
        <v>316484.00147206557</v>
      </c>
      <c r="J216" s="162"/>
      <c r="K216" s="152">
        <f ca="1">SUM(I205:I216)</f>
        <v>3799114.3287934195</v>
      </c>
      <c r="L216" s="152">
        <f ca="1">SUM(F205:F216)</f>
        <v>2537649.3425696758</v>
      </c>
      <c r="Q216"/>
      <c r="R216"/>
      <c r="S216"/>
      <c r="T216"/>
      <c r="U216"/>
      <c r="V216"/>
      <c r="W216"/>
      <c r="X216"/>
      <c r="Y216"/>
      <c r="Z216"/>
      <c r="AA216"/>
      <c r="AB216"/>
      <c r="AC216"/>
      <c r="AD216"/>
      <c r="AE216"/>
      <c r="AF216"/>
      <c r="AG216"/>
      <c r="AH216"/>
      <c r="AI216"/>
      <c r="AJ216"/>
      <c r="AK216"/>
      <c r="AL216"/>
      <c r="AM216"/>
      <c r="AN216"/>
      <c r="AO216"/>
      <c r="AP216"/>
      <c r="AQ216"/>
    </row>
    <row r="217" spans="2:43" s="150" customFormat="1" ht="15">
      <c r="B217" s="150">
        <v>205</v>
      </c>
      <c r="C217" s="153">
        <v>50771</v>
      </c>
      <c r="D217" s="151">
        <f t="shared" ca="1" si="47"/>
        <v>50036607.919127196</v>
      </c>
      <c r="E217" s="151">
        <f t="shared" ca="1" si="48"/>
        <v>306019.32180541131</v>
      </c>
      <c r="F217" s="151">
        <f t="shared" ca="1" si="49"/>
        <v>208890.56946445064</v>
      </c>
      <c r="G217" s="151">
        <f t="shared" ca="1" si="50"/>
        <v>97128.752340960666</v>
      </c>
      <c r="H217" s="151">
        <f ca="1">'HUD - Snapshot'!$K$10/12*D216</f>
        <v>10444.528473222532</v>
      </c>
      <c r="I217" s="151">
        <f t="shared" ca="1" si="51"/>
        <v>316463.85027863382</v>
      </c>
      <c r="J217" s="162"/>
      <c r="K217" s="152"/>
      <c r="L217" s="152"/>
      <c r="Q217"/>
      <c r="R217"/>
      <c r="S217"/>
      <c r="T217"/>
      <c r="U217"/>
      <c r="V217"/>
      <c r="W217"/>
      <c r="X217"/>
      <c r="Y217"/>
      <c r="Z217"/>
      <c r="AA217"/>
      <c r="AB217"/>
      <c r="AC217"/>
      <c r="AD217"/>
      <c r="AE217"/>
      <c r="AF217"/>
      <c r="AG217"/>
      <c r="AH217"/>
      <c r="AI217"/>
      <c r="AJ217"/>
      <c r="AK217"/>
      <c r="AL217"/>
      <c r="AM217"/>
      <c r="AN217"/>
      <c r="AO217"/>
      <c r="AP217"/>
      <c r="AQ217"/>
    </row>
    <row r="218" spans="2:43" s="150" customFormat="1" ht="15">
      <c r="B218" s="150">
        <v>206</v>
      </c>
      <c r="C218" s="153">
        <v>50802</v>
      </c>
      <c r="D218" s="151">
        <f t="shared" ca="1" si="47"/>
        <v>49939074.463651478</v>
      </c>
      <c r="E218" s="151">
        <f t="shared" ca="1" si="48"/>
        <v>306019.32180541131</v>
      </c>
      <c r="F218" s="151">
        <f t="shared" ca="1" si="49"/>
        <v>208485.86632969664</v>
      </c>
      <c r="G218" s="151">
        <f t="shared" ca="1" si="50"/>
        <v>97533.455475714669</v>
      </c>
      <c r="H218" s="151">
        <f ca="1">'HUD - Snapshot'!$K$10/12*D217</f>
        <v>10424.293316484833</v>
      </c>
      <c r="I218" s="151">
        <f t="shared" ca="1" si="51"/>
        <v>316443.61512189615</v>
      </c>
      <c r="J218" s="162"/>
      <c r="K218" s="152"/>
      <c r="L218" s="152"/>
      <c r="Q218"/>
      <c r="R218"/>
      <c r="S218"/>
      <c r="T218"/>
      <c r="U218"/>
      <c r="V218"/>
      <c r="W218"/>
      <c r="X218"/>
      <c r="Y218"/>
      <c r="Z218"/>
      <c r="AA218"/>
      <c r="AB218"/>
      <c r="AC218"/>
      <c r="AD218"/>
      <c r="AE218"/>
      <c r="AF218"/>
      <c r="AG218"/>
      <c r="AH218"/>
      <c r="AI218"/>
      <c r="AJ218"/>
      <c r="AK218"/>
      <c r="AL218"/>
      <c r="AM218"/>
      <c r="AN218"/>
      <c r="AO218"/>
      <c r="AP218"/>
      <c r="AQ218"/>
    </row>
    <row r="219" spans="2:43" s="150" customFormat="1" ht="15">
      <c r="B219" s="150">
        <v>207</v>
      </c>
      <c r="C219" s="153">
        <v>50830</v>
      </c>
      <c r="D219" s="151">
        <f t="shared" ca="1" si="47"/>
        <v>49841134.618777946</v>
      </c>
      <c r="E219" s="151">
        <f t="shared" ca="1" si="48"/>
        <v>306019.32180541131</v>
      </c>
      <c r="F219" s="151">
        <f t="shared" ca="1" si="49"/>
        <v>208079.47693188116</v>
      </c>
      <c r="G219" s="151">
        <f t="shared" ca="1" si="50"/>
        <v>97939.84487353015</v>
      </c>
      <c r="H219" s="151">
        <f ca="1">'HUD - Snapshot'!$K$10/12*D218</f>
        <v>10403.973846594059</v>
      </c>
      <c r="I219" s="151">
        <f t="shared" ca="1" si="51"/>
        <v>316423.29565200536</v>
      </c>
      <c r="J219" s="162"/>
      <c r="K219" s="152"/>
      <c r="L219" s="152"/>
      <c r="Q219"/>
      <c r="R219"/>
      <c r="S219"/>
      <c r="T219"/>
      <c r="U219"/>
      <c r="V219"/>
      <c r="W219"/>
      <c r="X219"/>
      <c r="Y219"/>
      <c r="Z219"/>
      <c r="AA219"/>
      <c r="AB219"/>
      <c r="AC219"/>
      <c r="AD219"/>
      <c r="AE219"/>
      <c r="AF219"/>
      <c r="AG219"/>
      <c r="AH219"/>
      <c r="AI219"/>
      <c r="AJ219"/>
      <c r="AK219"/>
      <c r="AL219"/>
      <c r="AM219"/>
      <c r="AN219"/>
      <c r="AO219"/>
      <c r="AP219"/>
      <c r="AQ219"/>
    </row>
    <row r="220" spans="2:43" s="150" customFormat="1" ht="15">
      <c r="B220" s="150">
        <v>208</v>
      </c>
      <c r="C220" s="153">
        <v>50861</v>
      </c>
      <c r="D220" s="151">
        <f t="shared" ca="1" si="47"/>
        <v>49742786.691217445</v>
      </c>
      <c r="E220" s="151">
        <f t="shared" ca="1" si="48"/>
        <v>306019.32180541131</v>
      </c>
      <c r="F220" s="151">
        <f t="shared" ca="1" si="49"/>
        <v>207671.39424490809</v>
      </c>
      <c r="G220" s="151">
        <f t="shared" ca="1" si="50"/>
        <v>98347.927560503216</v>
      </c>
      <c r="H220" s="151">
        <f ca="1">'HUD - Snapshot'!$K$10/12*D219</f>
        <v>10383.569712245406</v>
      </c>
      <c r="I220" s="151">
        <f t="shared" ca="1" si="51"/>
        <v>316402.89151765674</v>
      </c>
      <c r="J220" s="162"/>
      <c r="K220" s="152"/>
      <c r="L220" s="152"/>
      <c r="Q220"/>
      <c r="R220"/>
      <c r="S220"/>
      <c r="T220"/>
      <c r="U220"/>
      <c r="V220"/>
      <c r="W220"/>
      <c r="X220"/>
      <c r="Y220"/>
      <c r="Z220"/>
      <c r="AA220"/>
      <c r="AB220"/>
      <c r="AC220"/>
      <c r="AD220"/>
      <c r="AE220"/>
      <c r="AF220"/>
      <c r="AG220"/>
      <c r="AH220"/>
      <c r="AI220"/>
      <c r="AJ220"/>
      <c r="AK220"/>
      <c r="AL220"/>
      <c r="AM220"/>
      <c r="AN220"/>
      <c r="AO220"/>
      <c r="AP220"/>
      <c r="AQ220"/>
    </row>
    <row r="221" spans="2:43" s="150" customFormat="1" ht="15">
      <c r="B221" s="150">
        <v>209</v>
      </c>
      <c r="C221" s="153">
        <v>50891</v>
      </c>
      <c r="D221" s="151">
        <f t="shared" ca="1" si="47"/>
        <v>49644028.980625443</v>
      </c>
      <c r="E221" s="151">
        <f t="shared" ca="1" si="48"/>
        <v>306019.32180541131</v>
      </c>
      <c r="F221" s="151">
        <f t="shared" ca="1" si="49"/>
        <v>207261.61121340602</v>
      </c>
      <c r="G221" s="151">
        <f t="shared" ca="1" si="50"/>
        <v>98757.710592005285</v>
      </c>
      <c r="H221" s="151">
        <f ca="1">'HUD - Snapshot'!$K$10/12*D220</f>
        <v>10363.080560670302</v>
      </c>
      <c r="I221" s="151">
        <f t="shared" ca="1" si="51"/>
        <v>316382.4023660816</v>
      </c>
      <c r="J221" s="162"/>
      <c r="K221" s="152"/>
      <c r="L221" s="152"/>
      <c r="Q221"/>
      <c r="R221"/>
      <c r="S221"/>
      <c r="T221"/>
      <c r="U221"/>
      <c r="V221"/>
      <c r="W221"/>
      <c r="X221"/>
      <c r="Y221"/>
      <c r="Z221"/>
      <c r="AA221"/>
      <c r="AB221"/>
      <c r="AC221"/>
      <c r="AD221"/>
      <c r="AE221"/>
      <c r="AF221"/>
      <c r="AG221"/>
      <c r="AH221"/>
      <c r="AI221"/>
      <c r="AJ221"/>
      <c r="AK221"/>
      <c r="AL221"/>
      <c r="AM221"/>
      <c r="AN221"/>
      <c r="AO221"/>
      <c r="AP221"/>
      <c r="AQ221"/>
    </row>
    <row r="222" spans="2:43" s="150" customFormat="1" ht="15">
      <c r="B222" s="150">
        <v>210</v>
      </c>
      <c r="C222" s="153">
        <v>50922</v>
      </c>
      <c r="D222" s="151">
        <f t="shared" ca="1" si="47"/>
        <v>49544859.779572636</v>
      </c>
      <c r="E222" s="151">
        <f t="shared" ca="1" si="48"/>
        <v>306019.32180541131</v>
      </c>
      <c r="F222" s="151">
        <f t="shared" ca="1" si="49"/>
        <v>206850.12075260602</v>
      </c>
      <c r="G222" s="151">
        <f t="shared" ca="1" si="50"/>
        <v>99169.201052805292</v>
      </c>
      <c r="H222" s="151">
        <f ca="1">'HUD - Snapshot'!$K$10/12*D221</f>
        <v>10342.506037630301</v>
      </c>
      <c r="I222" s="151">
        <f t="shared" ca="1" si="51"/>
        <v>316361.82784304162</v>
      </c>
      <c r="J222" s="162"/>
      <c r="K222" s="152"/>
      <c r="L222" s="152"/>
      <c r="Q222"/>
      <c r="R222"/>
      <c r="S222"/>
      <c r="T222"/>
      <c r="U222"/>
      <c r="V222"/>
      <c r="W222"/>
      <c r="X222"/>
      <c r="Y222"/>
      <c r="Z222"/>
      <c r="AA222"/>
      <c r="AB222"/>
      <c r="AC222"/>
      <c r="AD222"/>
      <c r="AE222"/>
      <c r="AF222"/>
      <c r="AG222"/>
      <c r="AH222"/>
      <c r="AI222"/>
      <c r="AJ222"/>
      <c r="AK222"/>
      <c r="AL222"/>
      <c r="AM222"/>
      <c r="AN222"/>
      <c r="AO222"/>
      <c r="AP222"/>
      <c r="AQ222"/>
    </row>
    <row r="223" spans="2:43" s="150" customFormat="1" ht="15">
      <c r="B223" s="150">
        <v>211</v>
      </c>
      <c r="C223" s="153">
        <v>50952</v>
      </c>
      <c r="D223" s="151">
        <f t="shared" ca="1" si="47"/>
        <v>49445277.373515442</v>
      </c>
      <c r="E223" s="151">
        <f t="shared" ca="1" si="48"/>
        <v>306019.32180541131</v>
      </c>
      <c r="F223" s="151">
        <f t="shared" ca="1" si="49"/>
        <v>206436.91574821933</v>
      </c>
      <c r="G223" s="151">
        <f t="shared" ca="1" si="50"/>
        <v>99582.406057191984</v>
      </c>
      <c r="H223" s="151">
        <f ca="1">'HUD - Snapshot'!$K$10/12*D222</f>
        <v>10321.845787410966</v>
      </c>
      <c r="I223" s="151">
        <f t="shared" ca="1" si="51"/>
        <v>316341.16759282228</v>
      </c>
      <c r="J223" s="162"/>
      <c r="K223" s="152"/>
      <c r="L223" s="152"/>
      <c r="Q223"/>
      <c r="R223"/>
      <c r="S223"/>
      <c r="T223"/>
      <c r="U223"/>
      <c r="V223"/>
      <c r="W223"/>
      <c r="X223"/>
      <c r="Y223"/>
      <c r="Z223"/>
      <c r="AA223"/>
      <c r="AB223"/>
      <c r="AC223"/>
      <c r="AD223"/>
      <c r="AE223"/>
      <c r="AF223"/>
      <c r="AG223"/>
      <c r="AH223"/>
      <c r="AI223"/>
      <c r="AJ223"/>
      <c r="AK223"/>
      <c r="AL223"/>
      <c r="AM223"/>
      <c r="AN223"/>
      <c r="AO223"/>
      <c r="AP223"/>
      <c r="AQ223"/>
    </row>
    <row r="224" spans="2:43" s="150" customFormat="1" ht="15">
      <c r="B224" s="150">
        <v>212</v>
      </c>
      <c r="C224" s="153">
        <v>50983</v>
      </c>
      <c r="D224" s="151">
        <f t="shared" ca="1" si="47"/>
        <v>49345280.040766343</v>
      </c>
      <c r="E224" s="151">
        <f t="shared" ca="1" si="48"/>
        <v>306019.32180541131</v>
      </c>
      <c r="F224" s="151">
        <f t="shared" ca="1" si="49"/>
        <v>206021.98905631434</v>
      </c>
      <c r="G224" s="151">
        <f t="shared" ca="1" si="50"/>
        <v>99997.332749096968</v>
      </c>
      <c r="H224" s="151">
        <f ca="1">'HUD - Snapshot'!$K$10/12*D223</f>
        <v>10301.099452815717</v>
      </c>
      <c r="I224" s="151">
        <f t="shared" ca="1" si="51"/>
        <v>316320.42125822703</v>
      </c>
      <c r="J224" s="162"/>
      <c r="K224" s="152"/>
      <c r="L224" s="152"/>
      <c r="Q224"/>
      <c r="R224"/>
      <c r="S224"/>
      <c r="T224"/>
      <c r="U224"/>
      <c r="V224"/>
      <c r="W224"/>
      <c r="X224"/>
      <c r="Y224"/>
      <c r="Z224"/>
      <c r="AA224"/>
      <c r="AB224"/>
      <c r="AC224"/>
      <c r="AD224"/>
      <c r="AE224"/>
      <c r="AF224"/>
      <c r="AG224"/>
      <c r="AH224"/>
      <c r="AI224"/>
      <c r="AJ224"/>
      <c r="AK224"/>
      <c r="AL224"/>
      <c r="AM224"/>
      <c r="AN224"/>
      <c r="AO224"/>
      <c r="AP224"/>
      <c r="AQ224"/>
    </row>
    <row r="225" spans="2:43" s="150" customFormat="1" ht="15">
      <c r="B225" s="150">
        <v>213</v>
      </c>
      <c r="C225" s="153">
        <v>51014</v>
      </c>
      <c r="D225" s="151">
        <f t="shared" ca="1" si="47"/>
        <v>49244866.052464128</v>
      </c>
      <c r="E225" s="151">
        <f t="shared" ca="1" si="48"/>
        <v>306019.32180541131</v>
      </c>
      <c r="F225" s="151">
        <f t="shared" ca="1" si="49"/>
        <v>205605.33350319311</v>
      </c>
      <c r="G225" s="151">
        <f t="shared" ca="1" si="50"/>
        <v>100413.9883022182</v>
      </c>
      <c r="H225" s="151">
        <f ca="1">'HUD - Snapshot'!$K$10/12*D224</f>
        <v>10280.266675159655</v>
      </c>
      <c r="I225" s="151">
        <f t="shared" ca="1" si="51"/>
        <v>316299.58848057094</v>
      </c>
      <c r="J225" s="162"/>
      <c r="K225" s="152"/>
      <c r="L225" s="152"/>
      <c r="Q225"/>
      <c r="R225"/>
      <c r="S225"/>
      <c r="T225"/>
      <c r="U225"/>
      <c r="V225"/>
      <c r="W225"/>
      <c r="X225"/>
      <c r="Y225"/>
      <c r="Z225"/>
      <c r="AA225"/>
      <c r="AB225"/>
      <c r="AC225"/>
      <c r="AD225"/>
      <c r="AE225"/>
      <c r="AF225"/>
      <c r="AG225"/>
      <c r="AH225"/>
      <c r="AI225"/>
      <c r="AJ225"/>
      <c r="AK225"/>
      <c r="AL225"/>
      <c r="AM225"/>
      <c r="AN225"/>
      <c r="AO225"/>
      <c r="AP225"/>
      <c r="AQ225"/>
    </row>
    <row r="226" spans="2:43" s="150" customFormat="1" ht="15">
      <c r="B226" s="150">
        <v>214</v>
      </c>
      <c r="C226" s="153">
        <v>51044</v>
      </c>
      <c r="D226" s="151">
        <f t="shared" ca="1" si="47"/>
        <v>49144033.67254398</v>
      </c>
      <c r="E226" s="151">
        <f t="shared" ca="1" si="48"/>
        <v>306019.32180541131</v>
      </c>
      <c r="F226" s="151">
        <f t="shared" ca="1" si="49"/>
        <v>205186.94188526721</v>
      </c>
      <c r="G226" s="151">
        <f t="shared" ca="1" si="50"/>
        <v>100832.3799201441</v>
      </c>
      <c r="H226" s="151">
        <f ca="1">'HUD - Snapshot'!$K$10/12*D225</f>
        <v>10259.347094263361</v>
      </c>
      <c r="I226" s="151">
        <f t="shared" ca="1" si="51"/>
        <v>316278.66889967467</v>
      </c>
      <c r="J226" s="162"/>
      <c r="K226" s="152"/>
      <c r="L226" s="152"/>
      <c r="Q226"/>
      <c r="R226"/>
      <c r="S226"/>
      <c r="T226"/>
      <c r="U226"/>
      <c r="V226"/>
      <c r="W226"/>
      <c r="X226"/>
      <c r="Y226"/>
      <c r="Z226"/>
      <c r="AA226"/>
      <c r="AB226"/>
      <c r="AC226"/>
      <c r="AD226"/>
      <c r="AE226"/>
      <c r="AF226"/>
      <c r="AG226"/>
      <c r="AH226"/>
      <c r="AI226"/>
      <c r="AJ226"/>
      <c r="AK226"/>
      <c r="AL226"/>
      <c r="AM226"/>
      <c r="AN226"/>
      <c r="AO226"/>
      <c r="AP226"/>
      <c r="AQ226"/>
    </row>
    <row r="227" spans="2:43" s="150" customFormat="1" ht="15">
      <c r="B227" s="150">
        <v>215</v>
      </c>
      <c r="C227" s="153">
        <v>51075</v>
      </c>
      <c r="D227" s="151">
        <f t="shared" ca="1" si="47"/>
        <v>49042781.157707505</v>
      </c>
      <c r="E227" s="151">
        <f t="shared" ca="1" si="48"/>
        <v>306019.32180541131</v>
      </c>
      <c r="F227" s="151">
        <f t="shared" ca="1" si="49"/>
        <v>204766.80696893326</v>
      </c>
      <c r="G227" s="151">
        <f t="shared" ca="1" si="50"/>
        <v>101252.51483647805</v>
      </c>
      <c r="H227" s="151">
        <f ca="1">'HUD - Snapshot'!$K$10/12*D226</f>
        <v>10238.340348446663</v>
      </c>
      <c r="I227" s="151">
        <f t="shared" ca="1" si="51"/>
        <v>316257.66215385799</v>
      </c>
      <c r="J227" s="162"/>
      <c r="K227" s="152"/>
      <c r="L227" s="152"/>
      <c r="Q227"/>
      <c r="R227"/>
      <c r="S227"/>
      <c r="T227"/>
      <c r="U227"/>
      <c r="V227"/>
      <c r="W227"/>
      <c r="X227"/>
      <c r="Y227"/>
      <c r="Z227"/>
      <c r="AA227"/>
      <c r="AB227"/>
      <c r="AC227"/>
      <c r="AD227"/>
      <c r="AE227"/>
      <c r="AF227"/>
      <c r="AG227"/>
      <c r="AH227"/>
      <c r="AI227"/>
      <c r="AJ227"/>
      <c r="AK227"/>
      <c r="AL227"/>
      <c r="AM227"/>
      <c r="AN227"/>
      <c r="AO227"/>
      <c r="AP227"/>
      <c r="AQ227"/>
    </row>
    <row r="228" spans="2:43" s="150" customFormat="1" ht="15">
      <c r="B228" s="150">
        <v>216</v>
      </c>
      <c r="C228" s="153">
        <v>51105</v>
      </c>
      <c r="D228" s="151">
        <f t="shared" ca="1" si="47"/>
        <v>48941106.757392541</v>
      </c>
      <c r="E228" s="151">
        <f t="shared" ca="1" si="48"/>
        <v>306019.32180541131</v>
      </c>
      <c r="F228" s="151">
        <f t="shared" ca="1" si="49"/>
        <v>204344.92149044794</v>
      </c>
      <c r="G228" s="151">
        <f t="shared" ca="1" si="50"/>
        <v>101674.40031496336</v>
      </c>
      <c r="H228" s="151">
        <f ca="1">'HUD - Snapshot'!$K$10/12*D227</f>
        <v>10217.246074522398</v>
      </c>
      <c r="I228" s="151">
        <f t="shared" ca="1" si="51"/>
        <v>316236.56787993369</v>
      </c>
      <c r="J228" s="162"/>
      <c r="K228" s="152">
        <f ca="1">SUM(I217:I228)</f>
        <v>3796211.9590444015</v>
      </c>
      <c r="L228" s="152">
        <f ca="1">SUM(F217:F228)</f>
        <v>2479601.9475893239</v>
      </c>
      <c r="Q228"/>
      <c r="R228"/>
      <c r="S228"/>
      <c r="T228"/>
      <c r="U228"/>
      <c r="V228"/>
      <c r="W228"/>
      <c r="X228"/>
      <c r="Y228"/>
      <c r="Z228"/>
      <c r="AA228"/>
      <c r="AB228"/>
      <c r="AC228"/>
      <c r="AD228"/>
      <c r="AE228"/>
      <c r="AF228"/>
      <c r="AG228"/>
      <c r="AH228"/>
      <c r="AI228"/>
      <c r="AJ228"/>
      <c r="AK228"/>
      <c r="AL228"/>
      <c r="AM228"/>
      <c r="AN228"/>
      <c r="AO228"/>
      <c r="AP228"/>
      <c r="AQ228"/>
    </row>
    <row r="229" spans="2:43" s="150" customFormat="1" ht="15">
      <c r="B229" s="150">
        <v>217</v>
      </c>
      <c r="C229" s="153">
        <v>51136</v>
      </c>
      <c r="D229" s="151">
        <f t="shared" ca="1" si="47"/>
        <v>48839008.713742934</v>
      </c>
      <c r="E229" s="151">
        <f t="shared" ca="1" si="48"/>
        <v>306019.32180541131</v>
      </c>
      <c r="F229" s="151">
        <f t="shared" ca="1" si="49"/>
        <v>203921.27815580225</v>
      </c>
      <c r="G229" s="151">
        <f t="shared" ca="1" si="50"/>
        <v>102098.04364960906</v>
      </c>
      <c r="H229" s="151">
        <f ca="1">'HUD - Snapshot'!$K$10/12*D228</f>
        <v>10196.063907790114</v>
      </c>
      <c r="I229" s="151">
        <f t="shared" ca="1" si="51"/>
        <v>316215.38571320142</v>
      </c>
      <c r="J229" s="162"/>
      <c r="K229" s="152"/>
      <c r="L229" s="152"/>
      <c r="Q229"/>
      <c r="R229"/>
      <c r="S229"/>
      <c r="T229"/>
      <c r="U229"/>
      <c r="V229"/>
      <c r="W229"/>
      <c r="X229"/>
      <c r="Y229"/>
      <c r="Z229"/>
      <c r="AA229"/>
      <c r="AB229"/>
      <c r="AC229"/>
      <c r="AD229"/>
      <c r="AE229"/>
      <c r="AF229"/>
      <c r="AG229"/>
      <c r="AH229"/>
      <c r="AI229"/>
      <c r="AJ229"/>
      <c r="AK229"/>
      <c r="AL229"/>
      <c r="AM229"/>
      <c r="AN229"/>
      <c r="AO229"/>
      <c r="AP229"/>
      <c r="AQ229"/>
    </row>
    <row r="230" spans="2:43" s="150" customFormat="1" ht="15">
      <c r="B230" s="150">
        <v>218</v>
      </c>
      <c r="C230" s="153">
        <v>51167</v>
      </c>
      <c r="D230" s="151">
        <f t="shared" ca="1" si="47"/>
        <v>48736485.26157812</v>
      </c>
      <c r="E230" s="151">
        <f t="shared" ca="1" si="48"/>
        <v>306019.32180541131</v>
      </c>
      <c r="F230" s="151">
        <f t="shared" ca="1" si="49"/>
        <v>203495.86964059557</v>
      </c>
      <c r="G230" s="151">
        <f t="shared" ca="1" si="50"/>
        <v>102523.45216481574</v>
      </c>
      <c r="H230" s="151">
        <f ca="1">'HUD - Snapshot'!$K$10/12*D229</f>
        <v>10174.793482029778</v>
      </c>
      <c r="I230" s="151">
        <f t="shared" ca="1" si="51"/>
        <v>316194.11528744106</v>
      </c>
      <c r="J230" s="162"/>
      <c r="K230" s="152"/>
      <c r="L230" s="152"/>
      <c r="Q230"/>
      <c r="R230"/>
      <c r="S230"/>
      <c r="T230"/>
      <c r="U230"/>
      <c r="V230"/>
      <c r="W230"/>
      <c r="X230"/>
      <c r="Y230"/>
      <c r="Z230"/>
      <c r="AA230"/>
      <c r="AB230"/>
      <c r="AC230"/>
      <c r="AD230"/>
      <c r="AE230"/>
      <c r="AF230"/>
      <c r="AG230"/>
      <c r="AH230"/>
      <c r="AI230"/>
      <c r="AJ230"/>
      <c r="AK230"/>
      <c r="AL230"/>
      <c r="AM230"/>
      <c r="AN230"/>
      <c r="AO230"/>
      <c r="AP230"/>
      <c r="AQ230"/>
    </row>
    <row r="231" spans="2:43" s="150" customFormat="1" ht="15">
      <c r="B231" s="150">
        <v>219</v>
      </c>
      <c r="C231" s="153">
        <v>51196</v>
      </c>
      <c r="D231" s="151">
        <f t="shared" ca="1" si="47"/>
        <v>48633534.628362618</v>
      </c>
      <c r="E231" s="151">
        <f t="shared" ca="1" si="48"/>
        <v>306019.32180541131</v>
      </c>
      <c r="F231" s="151">
        <f t="shared" ca="1" si="49"/>
        <v>203068.68858990882</v>
      </c>
      <c r="G231" s="151">
        <f t="shared" ca="1" si="50"/>
        <v>102950.63321550249</v>
      </c>
      <c r="H231" s="151">
        <f ca="1">'HUD - Snapshot'!$K$10/12*D230</f>
        <v>10153.434429495443</v>
      </c>
      <c r="I231" s="151">
        <f t="shared" ca="1" si="51"/>
        <v>316172.75623490673</v>
      </c>
      <c r="J231" s="162"/>
      <c r="K231" s="152"/>
      <c r="L231" s="152"/>
      <c r="Q231"/>
      <c r="R231"/>
      <c r="S231"/>
      <c r="T231"/>
      <c r="U231"/>
      <c r="V231"/>
      <c r="W231"/>
      <c r="X231"/>
      <c r="Y231"/>
      <c r="Z231"/>
      <c r="AA231"/>
      <c r="AB231"/>
      <c r="AC231"/>
      <c r="AD231"/>
      <c r="AE231"/>
      <c r="AF231"/>
      <c r="AG231"/>
      <c r="AH231"/>
      <c r="AI231"/>
      <c r="AJ231"/>
      <c r="AK231"/>
      <c r="AL231"/>
      <c r="AM231"/>
      <c r="AN231"/>
      <c r="AO231"/>
      <c r="AP231"/>
      <c r="AQ231"/>
    </row>
    <row r="232" spans="2:43" s="150" customFormat="1" ht="15">
      <c r="B232" s="150">
        <v>220</v>
      </c>
      <c r="C232" s="153">
        <v>51227</v>
      </c>
      <c r="D232" s="151">
        <f t="shared" ca="1" si="47"/>
        <v>48530155.034175381</v>
      </c>
      <c r="E232" s="151">
        <f t="shared" ca="1" si="48"/>
        <v>306019.32180541131</v>
      </c>
      <c r="F232" s="151">
        <f t="shared" ca="1" si="49"/>
        <v>202639.72761817757</v>
      </c>
      <c r="G232" s="151">
        <f t="shared" ca="1" si="50"/>
        <v>103379.59418723374</v>
      </c>
      <c r="H232" s="151">
        <f ca="1">'HUD - Snapshot'!$K$10/12*D231</f>
        <v>10131.98638090888</v>
      </c>
      <c r="I232" s="151">
        <f t="shared" ca="1" si="51"/>
        <v>316151.30818632018</v>
      </c>
      <c r="J232" s="162"/>
      <c r="K232" s="152"/>
      <c r="L232" s="152"/>
      <c r="Q232"/>
      <c r="R232"/>
      <c r="S232"/>
      <c r="T232"/>
      <c r="U232"/>
      <c r="V232"/>
      <c r="W232"/>
      <c r="X232"/>
      <c r="Y232"/>
      <c r="Z232"/>
      <c r="AA232"/>
      <c r="AB232"/>
      <c r="AC232"/>
      <c r="AD232"/>
      <c r="AE232"/>
      <c r="AF232"/>
      <c r="AG232"/>
      <c r="AH232"/>
      <c r="AI232"/>
      <c r="AJ232"/>
      <c r="AK232"/>
      <c r="AL232"/>
      <c r="AM232"/>
      <c r="AN232"/>
      <c r="AO232"/>
      <c r="AP232"/>
      <c r="AQ232"/>
    </row>
    <row r="233" spans="2:43" s="150" customFormat="1" ht="15">
      <c r="B233" s="150">
        <v>221</v>
      </c>
      <c r="C233" s="153">
        <v>51257</v>
      </c>
      <c r="D233" s="151">
        <f t="shared" ca="1" si="47"/>
        <v>48426344.691679031</v>
      </c>
      <c r="E233" s="151">
        <f t="shared" ca="1" si="48"/>
        <v>306019.32180541131</v>
      </c>
      <c r="F233" s="151">
        <f t="shared" ca="1" si="49"/>
        <v>202208.97930906407</v>
      </c>
      <c r="G233" s="151">
        <f t="shared" ca="1" si="50"/>
        <v>103810.34249634724</v>
      </c>
      <c r="H233" s="151">
        <f ca="1">'HUD - Snapshot'!$K$10/12*D232</f>
        <v>10110.448965453204</v>
      </c>
      <c r="I233" s="151">
        <f t="shared" ca="1" si="51"/>
        <v>316129.7707708645</v>
      </c>
      <c r="J233" s="162"/>
      <c r="K233" s="152"/>
      <c r="L233" s="152"/>
      <c r="Q233"/>
      <c r="R233"/>
      <c r="S233"/>
      <c r="T233"/>
      <c r="U233"/>
      <c r="V233"/>
      <c r="W233"/>
      <c r="X233"/>
      <c r="Y233"/>
      <c r="Z233"/>
      <c r="AA233"/>
      <c r="AB233"/>
      <c r="AC233"/>
      <c r="AD233"/>
      <c r="AE233"/>
      <c r="AF233"/>
      <c r="AG233"/>
      <c r="AH233"/>
      <c r="AI233"/>
      <c r="AJ233"/>
      <c r="AK233"/>
      <c r="AL233"/>
      <c r="AM233"/>
      <c r="AN233"/>
      <c r="AO233"/>
      <c r="AP233"/>
      <c r="AQ233"/>
    </row>
    <row r="234" spans="2:43" s="150" customFormat="1" ht="15">
      <c r="B234" s="150">
        <v>222</v>
      </c>
      <c r="C234" s="153">
        <v>51288</v>
      </c>
      <c r="D234" s="151">
        <f t="shared" ca="1" si="47"/>
        <v>48322101.806088947</v>
      </c>
      <c r="E234" s="151">
        <f t="shared" ca="1" si="48"/>
        <v>306019.32180541131</v>
      </c>
      <c r="F234" s="151">
        <f t="shared" ca="1" si="49"/>
        <v>201776.4362153293</v>
      </c>
      <c r="G234" s="151">
        <f t="shared" ca="1" si="50"/>
        <v>104242.88559008201</v>
      </c>
      <c r="H234" s="151">
        <f ca="1">'HUD - Snapshot'!$K$10/12*D233</f>
        <v>10088.821810766465</v>
      </c>
      <c r="I234" s="151">
        <f t="shared" ca="1" si="51"/>
        <v>316108.14361617778</v>
      </c>
      <c r="J234" s="162"/>
      <c r="K234" s="152"/>
      <c r="L234" s="152"/>
      <c r="Q234"/>
      <c r="R234"/>
      <c r="S234"/>
      <c r="T234"/>
      <c r="U234"/>
      <c r="V234"/>
      <c r="W234"/>
      <c r="X234"/>
      <c r="Y234"/>
      <c r="Z234"/>
      <c r="AA234"/>
      <c r="AB234"/>
      <c r="AC234"/>
      <c r="AD234"/>
      <c r="AE234"/>
      <c r="AF234"/>
      <c r="AG234"/>
      <c r="AH234"/>
      <c r="AI234"/>
      <c r="AJ234"/>
      <c r="AK234"/>
      <c r="AL234"/>
      <c r="AM234"/>
      <c r="AN234"/>
      <c r="AO234"/>
      <c r="AP234"/>
      <c r="AQ234"/>
    </row>
    <row r="235" spans="2:43" s="150" customFormat="1" ht="15">
      <c r="B235" s="150">
        <v>223</v>
      </c>
      <c r="C235" s="153">
        <v>51318</v>
      </c>
      <c r="D235" s="151">
        <f t="shared" ca="1" si="47"/>
        <v>48217424.575142242</v>
      </c>
      <c r="E235" s="151">
        <f t="shared" ca="1" si="48"/>
        <v>306019.32180541131</v>
      </c>
      <c r="F235" s="151">
        <f t="shared" ca="1" si="49"/>
        <v>201342.09085870394</v>
      </c>
      <c r="G235" s="151">
        <f t="shared" ca="1" si="50"/>
        <v>104677.23094670736</v>
      </c>
      <c r="H235" s="151">
        <f ca="1">'HUD - Snapshot'!$K$10/12*D234</f>
        <v>10067.104542935198</v>
      </c>
      <c r="I235" s="151">
        <f t="shared" ca="1" si="51"/>
        <v>316086.42634834652</v>
      </c>
      <c r="J235" s="162"/>
      <c r="K235" s="152"/>
      <c r="L235" s="152"/>
      <c r="Q235"/>
      <c r="R235"/>
      <c r="S235"/>
      <c r="T235"/>
      <c r="U235"/>
      <c r="V235"/>
      <c r="W235"/>
      <c r="X235"/>
      <c r="Y235"/>
      <c r="Z235"/>
      <c r="AA235"/>
      <c r="AB235"/>
      <c r="AC235"/>
      <c r="AD235"/>
      <c r="AE235"/>
      <c r="AF235"/>
      <c r="AG235"/>
      <c r="AH235"/>
      <c r="AI235"/>
      <c r="AJ235"/>
      <c r="AK235"/>
      <c r="AL235"/>
      <c r="AM235"/>
      <c r="AN235"/>
      <c r="AO235"/>
      <c r="AP235"/>
      <c r="AQ235"/>
    </row>
    <row r="236" spans="2:43" s="150" customFormat="1" ht="15">
      <c r="B236" s="150">
        <v>224</v>
      </c>
      <c r="C236" s="153">
        <v>51349</v>
      </c>
      <c r="D236" s="151">
        <f t="shared" ca="1" si="47"/>
        <v>48112311.189066589</v>
      </c>
      <c r="E236" s="151">
        <f t="shared" ca="1" si="48"/>
        <v>306019.32180541131</v>
      </c>
      <c r="F236" s="151">
        <f t="shared" ca="1" si="49"/>
        <v>200905.93572975934</v>
      </c>
      <c r="G236" s="151">
        <f t="shared" ca="1" si="50"/>
        <v>105113.38607565197</v>
      </c>
      <c r="H236" s="151">
        <f ca="1">'HUD - Snapshot'!$K$10/12*D235</f>
        <v>10045.296786487968</v>
      </c>
      <c r="I236" s="151">
        <f t="shared" ca="1" si="51"/>
        <v>316064.61859189929</v>
      </c>
      <c r="J236" s="162"/>
      <c r="K236" s="152"/>
      <c r="L236" s="152"/>
      <c r="Q236"/>
      <c r="R236"/>
      <c r="S236"/>
      <c r="T236"/>
      <c r="U236"/>
      <c r="V236"/>
      <c r="W236"/>
      <c r="X236"/>
      <c r="Y236"/>
      <c r="Z236"/>
      <c r="AA236"/>
      <c r="AB236"/>
      <c r="AC236"/>
      <c r="AD236"/>
      <c r="AE236"/>
      <c r="AF236"/>
      <c r="AG236"/>
      <c r="AH236"/>
      <c r="AI236"/>
      <c r="AJ236"/>
      <c r="AK236"/>
      <c r="AL236"/>
      <c r="AM236"/>
      <c r="AN236"/>
      <c r="AO236"/>
      <c r="AP236"/>
      <c r="AQ236"/>
    </row>
    <row r="237" spans="2:43" s="150" customFormat="1" ht="15">
      <c r="B237" s="150">
        <v>225</v>
      </c>
      <c r="C237" s="153">
        <v>51380</v>
      </c>
      <c r="D237" s="151">
        <f t="shared" ca="1" si="47"/>
        <v>48006759.830548957</v>
      </c>
      <c r="E237" s="151">
        <f t="shared" ca="1" si="48"/>
        <v>306019.32180541131</v>
      </c>
      <c r="F237" s="151">
        <f t="shared" ca="1" si="49"/>
        <v>200467.96328777744</v>
      </c>
      <c r="G237" s="151">
        <f t="shared" ca="1" si="50"/>
        <v>105551.35851763387</v>
      </c>
      <c r="H237" s="151">
        <f ca="1">'HUD - Snapshot'!$K$10/12*D236</f>
        <v>10023.398164388873</v>
      </c>
      <c r="I237" s="151">
        <f t="shared" ca="1" si="51"/>
        <v>316042.71996980021</v>
      </c>
      <c r="J237" s="162"/>
      <c r="K237" s="152"/>
      <c r="L237" s="152"/>
      <c r="Q237"/>
      <c r="R237"/>
      <c r="S237"/>
      <c r="T237"/>
      <c r="U237"/>
      <c r="V237"/>
      <c r="W237"/>
      <c r="X237"/>
      <c r="Y237"/>
      <c r="Z237"/>
      <c r="AA237"/>
      <c r="AB237"/>
      <c r="AC237"/>
      <c r="AD237"/>
      <c r="AE237"/>
      <c r="AF237"/>
      <c r="AG237"/>
      <c r="AH237"/>
      <c r="AI237"/>
      <c r="AJ237"/>
      <c r="AK237"/>
      <c r="AL237"/>
      <c r="AM237"/>
      <c r="AN237"/>
      <c r="AO237"/>
      <c r="AP237"/>
      <c r="AQ237"/>
    </row>
    <row r="238" spans="2:43" s="150" customFormat="1" ht="15">
      <c r="B238" s="150">
        <v>226</v>
      </c>
      <c r="C238" s="153">
        <v>51410</v>
      </c>
      <c r="D238" s="151">
        <f t="shared" ca="1" si="47"/>
        <v>47900768.674704164</v>
      </c>
      <c r="E238" s="151">
        <f t="shared" ca="1" si="48"/>
        <v>306019.32180541131</v>
      </c>
      <c r="F238" s="151">
        <f t="shared" ca="1" si="49"/>
        <v>200028.16596062065</v>
      </c>
      <c r="G238" s="151">
        <f t="shared" ca="1" si="50"/>
        <v>105991.15584479066</v>
      </c>
      <c r="H238" s="151">
        <f ca="1">'HUD - Snapshot'!$K$10/12*D237</f>
        <v>10001.408298031034</v>
      </c>
      <c r="I238" s="151">
        <f t="shared" ca="1" si="51"/>
        <v>316020.73010344233</v>
      </c>
      <c r="J238" s="162"/>
      <c r="K238" s="152"/>
      <c r="L238" s="152"/>
      <c r="Q238"/>
      <c r="R238"/>
      <c r="S238"/>
      <c r="T238"/>
      <c r="U238"/>
      <c r="V238"/>
      <c r="W238"/>
      <c r="X238"/>
      <c r="Y238"/>
      <c r="Z238"/>
      <c r="AA238"/>
      <c r="AB238"/>
      <c r="AC238"/>
      <c r="AD238"/>
      <c r="AE238"/>
      <c r="AF238"/>
      <c r="AG238"/>
      <c r="AH238"/>
      <c r="AI238"/>
      <c r="AJ238"/>
      <c r="AK238"/>
      <c r="AL238"/>
      <c r="AM238"/>
      <c r="AN238"/>
      <c r="AO238"/>
      <c r="AP238"/>
      <c r="AQ238"/>
    </row>
    <row r="239" spans="2:43" s="150" customFormat="1" ht="15">
      <c r="B239" s="150">
        <v>227</v>
      </c>
      <c r="C239" s="153">
        <v>51441</v>
      </c>
      <c r="D239" s="151">
        <f t="shared" ca="1" si="47"/>
        <v>47794335.889043353</v>
      </c>
      <c r="E239" s="151">
        <f t="shared" ca="1" si="48"/>
        <v>306019.32180541131</v>
      </c>
      <c r="F239" s="151">
        <f t="shared" ca="1" si="49"/>
        <v>199586.53614460069</v>
      </c>
      <c r="G239" s="151">
        <f t="shared" ca="1" si="50"/>
        <v>106432.78566081062</v>
      </c>
      <c r="H239" s="151">
        <f ca="1">'HUD - Snapshot'!$K$10/12*D238</f>
        <v>9979.3268072300343</v>
      </c>
      <c r="I239" s="151">
        <f t="shared" ca="1" si="51"/>
        <v>315998.64861264132</v>
      </c>
      <c r="J239" s="162"/>
      <c r="K239" s="152"/>
      <c r="L239" s="152"/>
      <c r="Q239"/>
      <c r="R239"/>
      <c r="S239"/>
      <c r="T239"/>
      <c r="U239"/>
      <c r="V239"/>
      <c r="W239"/>
      <c r="X239"/>
      <c r="Y239"/>
      <c r="Z239"/>
      <c r="AA239"/>
      <c r="AB239"/>
      <c r="AC239"/>
      <c r="AD239"/>
      <c r="AE239"/>
      <c r="AF239"/>
      <c r="AG239"/>
      <c r="AH239"/>
      <c r="AI239"/>
      <c r="AJ239"/>
      <c r="AK239"/>
      <c r="AL239"/>
      <c r="AM239"/>
      <c r="AN239"/>
      <c r="AO239"/>
      <c r="AP239"/>
      <c r="AQ239"/>
    </row>
    <row r="240" spans="2:43" s="150" customFormat="1" ht="15">
      <c r="B240" s="150">
        <v>228</v>
      </c>
      <c r="C240" s="153">
        <v>51471</v>
      </c>
      <c r="D240" s="151">
        <f t="shared" ca="1" si="47"/>
        <v>47687459.63344229</v>
      </c>
      <c r="E240" s="151">
        <f t="shared" ca="1" si="48"/>
        <v>306019.32180541131</v>
      </c>
      <c r="F240" s="151">
        <f t="shared" ca="1" si="49"/>
        <v>199143.0662043473</v>
      </c>
      <c r="G240" s="151">
        <f t="shared" ca="1" si="50"/>
        <v>106876.25560106401</v>
      </c>
      <c r="H240" s="151">
        <f ca="1">'HUD - Snapshot'!$K$10/12*D239</f>
        <v>9957.1533102173653</v>
      </c>
      <c r="I240" s="151">
        <f t="shared" ca="1" si="51"/>
        <v>315976.47511562868</v>
      </c>
      <c r="J240" s="162"/>
      <c r="K240" s="152">
        <f ca="1">SUM(I229:I240)</f>
        <v>3793161.0985506708</v>
      </c>
      <c r="L240" s="152">
        <f ca="1">SUM(F229:F240)</f>
        <v>2418584.7377146869</v>
      </c>
      <c r="Q240"/>
      <c r="R240"/>
      <c r="S240"/>
      <c r="T240"/>
      <c r="U240"/>
      <c r="V240"/>
      <c r="W240"/>
      <c r="X240"/>
      <c r="Y240"/>
      <c r="Z240"/>
      <c r="AA240"/>
      <c r="AB240"/>
      <c r="AC240"/>
      <c r="AD240"/>
      <c r="AE240"/>
      <c r="AF240"/>
      <c r="AG240"/>
      <c r="AH240"/>
      <c r="AI240"/>
      <c r="AJ240"/>
      <c r="AK240"/>
      <c r="AL240"/>
      <c r="AM240"/>
      <c r="AN240"/>
      <c r="AO240"/>
      <c r="AP240"/>
      <c r="AQ240"/>
    </row>
    <row r="241" spans="2:43" s="150" customFormat="1" ht="15">
      <c r="B241" s="150">
        <v>229</v>
      </c>
      <c r="C241" s="153">
        <v>51502</v>
      </c>
      <c r="D241" s="151">
        <f t="shared" ca="1" si="47"/>
        <v>47580138.060109556</v>
      </c>
      <c r="E241" s="151">
        <f t="shared" ca="1" si="48"/>
        <v>306019.32180541131</v>
      </c>
      <c r="F241" s="151">
        <f t="shared" ca="1" si="49"/>
        <v>198697.7484726762</v>
      </c>
      <c r="G241" s="151">
        <f t="shared" ca="1" si="50"/>
        <v>107321.5733327351</v>
      </c>
      <c r="H241" s="151">
        <f ca="1">'HUD - Snapshot'!$K$10/12*D240</f>
        <v>9934.8874236338106</v>
      </c>
      <c r="I241" s="151">
        <f t="shared" ca="1" si="51"/>
        <v>315954.20922904514</v>
      </c>
      <c r="J241" s="162"/>
      <c r="K241" s="152"/>
      <c r="L241" s="152"/>
      <c r="Q241"/>
      <c r="R241"/>
      <c r="S241"/>
      <c r="T241"/>
      <c r="U241"/>
      <c r="V241"/>
      <c r="W241"/>
      <c r="X241"/>
      <c r="Y241"/>
      <c r="Z241"/>
      <c r="AA241"/>
      <c r="AB241"/>
      <c r="AC241"/>
      <c r="AD241"/>
      <c r="AE241"/>
      <c r="AF241"/>
      <c r="AG241"/>
      <c r="AH241"/>
      <c r="AI241"/>
      <c r="AJ241"/>
      <c r="AK241"/>
      <c r="AL241"/>
      <c r="AM241"/>
      <c r="AN241"/>
      <c r="AO241"/>
      <c r="AP241"/>
      <c r="AQ241"/>
    </row>
    <row r="242" spans="2:43" s="150" customFormat="1" ht="15">
      <c r="B242" s="150">
        <v>230</v>
      </c>
      <c r="C242" s="153">
        <v>51533</v>
      </c>
      <c r="D242" s="151">
        <f t="shared" ca="1" si="47"/>
        <v>47472369.3135546</v>
      </c>
      <c r="E242" s="151">
        <f t="shared" ca="1" si="48"/>
        <v>306019.32180541131</v>
      </c>
      <c r="F242" s="151">
        <f t="shared" ca="1" si="49"/>
        <v>198250.57525045649</v>
      </c>
      <c r="G242" s="151">
        <f t="shared" ca="1" si="50"/>
        <v>107768.74655495482</v>
      </c>
      <c r="H242" s="151">
        <f ca="1">'HUD - Snapshot'!$K$10/12*D241</f>
        <v>9912.5287625228248</v>
      </c>
      <c r="I242" s="151">
        <f t="shared" ca="1" si="51"/>
        <v>315931.85056793416</v>
      </c>
      <c r="J242" s="162"/>
      <c r="K242" s="152"/>
      <c r="L242" s="152"/>
      <c r="Q242"/>
      <c r="R242"/>
      <c r="S242"/>
      <c r="T242"/>
      <c r="U242"/>
      <c r="V242"/>
      <c r="W242"/>
      <c r="X242"/>
      <c r="Y242"/>
      <c r="Z242"/>
      <c r="AA242"/>
      <c r="AB242"/>
      <c r="AC242"/>
      <c r="AD242"/>
      <c r="AE242"/>
      <c r="AF242"/>
      <c r="AG242"/>
      <c r="AH242"/>
      <c r="AI242"/>
      <c r="AJ242"/>
      <c r="AK242"/>
      <c r="AL242"/>
      <c r="AM242"/>
      <c r="AN242"/>
      <c r="AO242"/>
      <c r="AP242"/>
      <c r="AQ242"/>
    </row>
    <row r="243" spans="2:43" s="150" customFormat="1" ht="15">
      <c r="B243" s="150">
        <v>231</v>
      </c>
      <c r="C243" s="153">
        <v>51561</v>
      </c>
      <c r="D243" s="151">
        <f t="shared" ca="1" si="47"/>
        <v>47364151.530555665</v>
      </c>
      <c r="E243" s="151">
        <f t="shared" ca="1" si="48"/>
        <v>306019.32180541131</v>
      </c>
      <c r="F243" s="151">
        <f t="shared" ca="1" si="49"/>
        <v>197801.5388064775</v>
      </c>
      <c r="G243" s="151">
        <f t="shared" ca="1" si="50"/>
        <v>108217.78299893381</v>
      </c>
      <c r="H243" s="151">
        <f ca="1">'HUD - Snapshot'!$K$10/12*D242</f>
        <v>9890.0769403238755</v>
      </c>
      <c r="I243" s="151">
        <f t="shared" ca="1" si="51"/>
        <v>315909.39874573518</v>
      </c>
      <c r="J243" s="162"/>
      <c r="K243" s="152"/>
      <c r="L243" s="152"/>
      <c r="Q243"/>
      <c r="R243"/>
      <c r="S243"/>
      <c r="T243"/>
      <c r="U243"/>
      <c r="V243"/>
      <c r="W243"/>
      <c r="X243"/>
      <c r="Y243"/>
      <c r="Z243"/>
      <c r="AA243"/>
      <c r="AB243"/>
      <c r="AC243"/>
      <c r="AD243"/>
      <c r="AE243"/>
      <c r="AF243"/>
      <c r="AG243"/>
      <c r="AH243"/>
      <c r="AI243"/>
      <c r="AJ243"/>
      <c r="AK243"/>
      <c r="AL243"/>
      <c r="AM243"/>
      <c r="AN243"/>
      <c r="AO243"/>
      <c r="AP243"/>
      <c r="AQ243"/>
    </row>
    <row r="244" spans="2:43" s="150" customFormat="1" ht="15">
      <c r="B244" s="150">
        <v>232</v>
      </c>
      <c r="C244" s="153">
        <v>51592</v>
      </c>
      <c r="D244" s="151">
        <f t="shared" ca="1" si="47"/>
        <v>47255482.840127572</v>
      </c>
      <c r="E244" s="151">
        <f t="shared" ca="1" si="48"/>
        <v>306019.32180541131</v>
      </c>
      <c r="F244" s="151">
        <f t="shared" ca="1" si="49"/>
        <v>197350.63137731527</v>
      </c>
      <c r="G244" s="151">
        <f t="shared" ca="1" si="50"/>
        <v>108668.69042809604</v>
      </c>
      <c r="H244" s="151">
        <f ca="1">'HUD - Snapshot'!$K$10/12*D243</f>
        <v>9867.5315688657647</v>
      </c>
      <c r="I244" s="151">
        <f t="shared" ca="1" si="51"/>
        <v>315886.85337427707</v>
      </c>
      <c r="J244" s="162"/>
      <c r="K244" s="152"/>
      <c r="L244" s="152"/>
      <c r="Q244"/>
      <c r="R244"/>
      <c r="S244"/>
      <c r="T244"/>
      <c r="U244"/>
      <c r="V244"/>
      <c r="W244"/>
      <c r="X244"/>
      <c r="Y244"/>
      <c r="Z244"/>
      <c r="AA244"/>
      <c r="AB244"/>
      <c r="AC244"/>
      <c r="AD244"/>
      <c r="AE244"/>
      <c r="AF244"/>
      <c r="AG244"/>
      <c r="AH244"/>
      <c r="AI244"/>
      <c r="AJ244"/>
      <c r="AK244"/>
      <c r="AL244"/>
      <c r="AM244"/>
      <c r="AN244"/>
      <c r="AO244"/>
      <c r="AP244"/>
      <c r="AQ244"/>
    </row>
    <row r="245" spans="2:43" s="150" customFormat="1" ht="15">
      <c r="B245" s="150">
        <v>233</v>
      </c>
      <c r="C245" s="153">
        <v>51622</v>
      </c>
      <c r="D245" s="151">
        <f t="shared" ca="1" si="47"/>
        <v>47146361.36348936</v>
      </c>
      <c r="E245" s="151">
        <f t="shared" ca="1" si="48"/>
        <v>306019.32180541131</v>
      </c>
      <c r="F245" s="151">
        <f t="shared" ca="1" si="49"/>
        <v>196897.84516719822</v>
      </c>
      <c r="G245" s="151">
        <f t="shared" ca="1" si="50"/>
        <v>109121.47663821309</v>
      </c>
      <c r="H245" s="151">
        <f ca="1">'HUD - Snapshot'!$K$10/12*D244</f>
        <v>9844.8922583599124</v>
      </c>
      <c r="I245" s="151">
        <f t="shared" ca="1" si="51"/>
        <v>315864.21406377124</v>
      </c>
      <c r="J245" s="162"/>
      <c r="K245" s="152"/>
      <c r="L245" s="152"/>
      <c r="Q245"/>
      <c r="R245"/>
      <c r="S245"/>
      <c r="T245"/>
      <c r="U245"/>
      <c r="V245"/>
      <c r="W245"/>
      <c r="X245"/>
      <c r="Y245"/>
      <c r="Z245"/>
      <c r="AA245"/>
      <c r="AB245"/>
      <c r="AC245"/>
      <c r="AD245"/>
      <c r="AE245"/>
      <c r="AF245"/>
      <c r="AG245"/>
      <c r="AH245"/>
      <c r="AI245"/>
      <c r="AJ245"/>
      <c r="AK245"/>
      <c r="AL245"/>
      <c r="AM245"/>
      <c r="AN245"/>
      <c r="AO245"/>
      <c r="AP245"/>
      <c r="AQ245"/>
    </row>
    <row r="246" spans="2:43" s="150" customFormat="1" ht="15">
      <c r="B246" s="150">
        <v>234</v>
      </c>
      <c r="C246" s="153">
        <v>51653</v>
      </c>
      <c r="D246" s="151">
        <f t="shared" ca="1" si="47"/>
        <v>47036785.214031823</v>
      </c>
      <c r="E246" s="151">
        <f t="shared" ca="1" si="48"/>
        <v>306019.32180541131</v>
      </c>
      <c r="F246" s="151">
        <f t="shared" ca="1" si="49"/>
        <v>196443.17234787234</v>
      </c>
      <c r="G246" s="151">
        <f t="shared" ca="1" si="50"/>
        <v>109576.14945753897</v>
      </c>
      <c r="H246" s="151">
        <f ca="1">'HUD - Snapshot'!$K$10/12*D245</f>
        <v>9822.1586173936175</v>
      </c>
      <c r="I246" s="151">
        <f t="shared" ca="1" si="51"/>
        <v>315841.48042280495</v>
      </c>
      <c r="J246" s="162"/>
      <c r="K246" s="152"/>
      <c r="L246" s="152"/>
      <c r="Q246"/>
      <c r="R246"/>
      <c r="S246"/>
      <c r="T246"/>
      <c r="U246"/>
      <c r="V246"/>
      <c r="W246"/>
      <c r="X246"/>
      <c r="Y246"/>
      <c r="Z246"/>
      <c r="AA246"/>
      <c r="AB246"/>
      <c r="AC246"/>
      <c r="AD246"/>
      <c r="AE246"/>
      <c r="AF246"/>
      <c r="AG246"/>
      <c r="AH246"/>
      <c r="AI246"/>
      <c r="AJ246"/>
      <c r="AK246"/>
      <c r="AL246"/>
      <c r="AM246"/>
      <c r="AN246"/>
      <c r="AO246"/>
      <c r="AP246"/>
      <c r="AQ246"/>
    </row>
    <row r="247" spans="2:43" s="150" customFormat="1" ht="15">
      <c r="B247" s="150">
        <v>235</v>
      </c>
      <c r="C247" s="153">
        <v>51683</v>
      </c>
      <c r="D247" s="151">
        <f t="shared" ca="1" si="47"/>
        <v>46926752.497284874</v>
      </c>
      <c r="E247" s="151">
        <f t="shared" ca="1" si="48"/>
        <v>306019.32180541131</v>
      </c>
      <c r="F247" s="151">
        <f t="shared" ca="1" si="49"/>
        <v>195986.60505846594</v>
      </c>
      <c r="G247" s="151">
        <f t="shared" ca="1" si="50"/>
        <v>110032.71674694537</v>
      </c>
      <c r="H247" s="151">
        <f ca="1">'HUD - Snapshot'!$K$10/12*D246</f>
        <v>9799.3302529232969</v>
      </c>
      <c r="I247" s="151">
        <f t="shared" ca="1" si="51"/>
        <v>315818.65205833461</v>
      </c>
      <c r="J247" s="162"/>
      <c r="K247" s="152"/>
      <c r="L247" s="152"/>
      <c r="Q247"/>
      <c r="R247"/>
      <c r="S247"/>
      <c r="T247"/>
      <c r="U247"/>
      <c r="V247"/>
      <c r="W247"/>
      <c r="X247"/>
      <c r="Y247"/>
      <c r="Z247"/>
      <c r="AA247"/>
      <c r="AB247"/>
      <c r="AC247"/>
      <c r="AD247"/>
      <c r="AE247"/>
      <c r="AF247"/>
      <c r="AG247"/>
      <c r="AH247"/>
      <c r="AI247"/>
      <c r="AJ247"/>
      <c r="AK247"/>
      <c r="AL247"/>
      <c r="AM247"/>
      <c r="AN247"/>
      <c r="AO247"/>
      <c r="AP247"/>
      <c r="AQ247"/>
    </row>
    <row r="248" spans="2:43" s="150" customFormat="1" ht="15">
      <c r="B248" s="150">
        <v>236</v>
      </c>
      <c r="C248" s="153">
        <v>51714</v>
      </c>
      <c r="D248" s="151">
        <f t="shared" ca="1" si="47"/>
        <v>46816261.310884818</v>
      </c>
      <c r="E248" s="151">
        <f t="shared" ca="1" si="48"/>
        <v>306019.32180541131</v>
      </c>
      <c r="F248" s="151">
        <f t="shared" ca="1" si="49"/>
        <v>195528.13540535365</v>
      </c>
      <c r="G248" s="151">
        <f t="shared" ca="1" si="50"/>
        <v>110491.18640005766</v>
      </c>
      <c r="H248" s="151">
        <f ca="1">'HUD - Snapshot'!$K$10/12*D247</f>
        <v>9776.4067702676821</v>
      </c>
      <c r="I248" s="151">
        <f t="shared" ca="1" si="51"/>
        <v>315795.72857567901</v>
      </c>
      <c r="J248" s="162"/>
      <c r="K248" s="152"/>
      <c r="L248" s="152"/>
      <c r="Q248"/>
      <c r="R248"/>
      <c r="S248"/>
      <c r="T248"/>
      <c r="U248"/>
      <c r="V248"/>
      <c r="W248"/>
      <c r="X248"/>
      <c r="Y248"/>
      <c r="Z248"/>
      <c r="AA248"/>
      <c r="AB248"/>
      <c r="AC248"/>
      <c r="AD248"/>
      <c r="AE248"/>
      <c r="AF248"/>
      <c r="AG248"/>
      <c r="AH248"/>
      <c r="AI248"/>
      <c r="AJ248"/>
      <c r="AK248"/>
      <c r="AL248"/>
      <c r="AM248"/>
      <c r="AN248"/>
      <c r="AO248"/>
      <c r="AP248"/>
      <c r="AQ248"/>
    </row>
    <row r="249" spans="2:43" s="150" customFormat="1" ht="15">
      <c r="B249" s="150">
        <v>237</v>
      </c>
      <c r="C249" s="153">
        <v>51745</v>
      </c>
      <c r="D249" s="151">
        <f t="shared" ca="1" si="47"/>
        <v>46705309.744541429</v>
      </c>
      <c r="E249" s="151">
        <f t="shared" ca="1" si="48"/>
        <v>306019.32180541131</v>
      </c>
      <c r="F249" s="151">
        <f t="shared" ca="1" si="49"/>
        <v>195067.75546202008</v>
      </c>
      <c r="G249" s="151">
        <f t="shared" ca="1" si="50"/>
        <v>110951.56634339123</v>
      </c>
      <c r="H249" s="151">
        <f ca="1">'HUD - Snapshot'!$K$10/12*D248</f>
        <v>9753.3877731010052</v>
      </c>
      <c r="I249" s="151">
        <f t="shared" ca="1" si="51"/>
        <v>315772.70957851229</v>
      </c>
      <c r="J249" s="162"/>
      <c r="K249" s="152"/>
      <c r="L249" s="152"/>
      <c r="Q249"/>
      <c r="R249"/>
      <c r="S249"/>
      <c r="T249"/>
      <c r="U249"/>
      <c r="V249"/>
      <c r="W249"/>
      <c r="X249"/>
      <c r="Y249"/>
      <c r="Z249"/>
      <c r="AA249"/>
      <c r="AB249"/>
      <c r="AC249"/>
      <c r="AD249"/>
      <c r="AE249"/>
      <c r="AF249"/>
      <c r="AG249"/>
      <c r="AH249"/>
      <c r="AI249"/>
      <c r="AJ249"/>
      <c r="AK249"/>
      <c r="AL249"/>
      <c r="AM249"/>
      <c r="AN249"/>
      <c r="AO249"/>
      <c r="AP249"/>
      <c r="AQ249"/>
    </row>
    <row r="250" spans="2:43" s="150" customFormat="1" ht="15">
      <c r="B250" s="150">
        <v>238</v>
      </c>
      <c r="C250" s="153">
        <v>51775</v>
      </c>
      <c r="D250" s="151">
        <f t="shared" ca="1" si="47"/>
        <v>46593895.880004942</v>
      </c>
      <c r="E250" s="151">
        <f t="shared" ca="1" si="48"/>
        <v>306019.32180541131</v>
      </c>
      <c r="F250" s="151">
        <f t="shared" ca="1" si="49"/>
        <v>194605.45726892262</v>
      </c>
      <c r="G250" s="151">
        <f t="shared" ca="1" si="50"/>
        <v>111413.86453648869</v>
      </c>
      <c r="H250" s="151">
        <f ca="1">'HUD - Snapshot'!$K$10/12*D249</f>
        <v>9730.2728634461309</v>
      </c>
      <c r="I250" s="151">
        <f t="shared" ca="1" si="51"/>
        <v>315749.59466885746</v>
      </c>
      <c r="J250" s="162"/>
      <c r="K250" s="152"/>
      <c r="L250" s="152"/>
      <c r="Q250"/>
      <c r="R250"/>
      <c r="S250"/>
      <c r="T250"/>
      <c r="U250"/>
      <c r="V250"/>
      <c r="W250"/>
      <c r="X250"/>
      <c r="Y250"/>
      <c r="Z250"/>
      <c r="AA250"/>
      <c r="AB250"/>
      <c r="AC250"/>
      <c r="AD250"/>
      <c r="AE250"/>
      <c r="AF250"/>
      <c r="AG250"/>
      <c r="AH250"/>
      <c r="AI250"/>
      <c r="AJ250"/>
      <c r="AK250"/>
      <c r="AL250"/>
      <c r="AM250"/>
      <c r="AN250"/>
      <c r="AO250"/>
      <c r="AP250"/>
      <c r="AQ250"/>
    </row>
    <row r="251" spans="2:43" s="150" customFormat="1" ht="15">
      <c r="B251" s="150">
        <v>239</v>
      </c>
      <c r="C251" s="153">
        <v>51806</v>
      </c>
      <c r="D251" s="151">
        <f t="shared" ca="1" si="47"/>
        <v>46482017.791032888</v>
      </c>
      <c r="E251" s="151">
        <f t="shared" ca="1" si="48"/>
        <v>306019.32180541131</v>
      </c>
      <c r="F251" s="151">
        <f t="shared" ca="1" si="49"/>
        <v>194141.23283335392</v>
      </c>
      <c r="G251" s="151">
        <f t="shared" ca="1" si="50"/>
        <v>111878.08897205739</v>
      </c>
      <c r="H251" s="151">
        <f ca="1">'HUD - Snapshot'!$K$10/12*D250</f>
        <v>9707.0616416676967</v>
      </c>
      <c r="I251" s="151">
        <f t="shared" ca="1" si="51"/>
        <v>315726.38344707899</v>
      </c>
      <c r="J251" s="162"/>
      <c r="K251" s="152"/>
      <c r="L251" s="152"/>
      <c r="Q251"/>
      <c r="R251"/>
      <c r="S251"/>
      <c r="T251"/>
      <c r="U251"/>
      <c r="V251"/>
      <c r="W251"/>
      <c r="X251"/>
      <c r="Y251"/>
      <c r="Z251"/>
      <c r="AA251"/>
      <c r="AB251"/>
      <c r="AC251"/>
      <c r="AD251"/>
      <c r="AE251"/>
      <c r="AF251"/>
      <c r="AG251"/>
      <c r="AH251"/>
      <c r="AI251"/>
      <c r="AJ251"/>
      <c r="AK251"/>
      <c r="AL251"/>
      <c r="AM251"/>
      <c r="AN251"/>
      <c r="AO251"/>
      <c r="AP251"/>
      <c r="AQ251"/>
    </row>
    <row r="252" spans="2:43" s="150" customFormat="1" ht="15">
      <c r="B252" s="150">
        <v>240</v>
      </c>
      <c r="C252" s="153">
        <v>51836</v>
      </c>
      <c r="D252" s="151">
        <f t="shared" ca="1" si="47"/>
        <v>46369673.543356784</v>
      </c>
      <c r="E252" s="151">
        <f t="shared" ca="1" si="48"/>
        <v>306019.32180541131</v>
      </c>
      <c r="F252" s="151">
        <f t="shared" ca="1" si="49"/>
        <v>193675.07412930368</v>
      </c>
      <c r="G252" s="151">
        <f t="shared" ca="1" si="50"/>
        <v>112344.24767610763</v>
      </c>
      <c r="H252" s="151">
        <f ca="1">'HUD - Snapshot'!$K$10/12*D251</f>
        <v>9683.753706465186</v>
      </c>
      <c r="I252" s="151">
        <f t="shared" ca="1" si="51"/>
        <v>315703.07551187649</v>
      </c>
      <c r="J252" s="162"/>
      <c r="K252" s="152">
        <f ca="1">SUM(I241:I252)</f>
        <v>3789954.1502439063</v>
      </c>
      <c r="L252" s="152">
        <f ca="1">SUM(F241:F252)</f>
        <v>2354445.7715794165</v>
      </c>
      <c r="Q252"/>
      <c r="R252"/>
      <c r="S252"/>
      <c r="T252"/>
      <c r="U252"/>
      <c r="V252"/>
      <c r="W252"/>
      <c r="X252"/>
      <c r="Y252"/>
      <c r="Z252"/>
      <c r="AA252"/>
      <c r="AB252"/>
      <c r="AC252"/>
      <c r="AD252"/>
      <c r="AE252"/>
      <c r="AF252"/>
      <c r="AG252"/>
      <c r="AH252"/>
      <c r="AI252"/>
      <c r="AJ252"/>
      <c r="AK252"/>
      <c r="AL252"/>
      <c r="AM252"/>
      <c r="AN252"/>
      <c r="AO252"/>
      <c r="AP252"/>
      <c r="AQ252"/>
    </row>
    <row r="253" spans="2:43" s="150" customFormat="1" ht="15">
      <c r="B253" s="150">
        <v>241</v>
      </c>
      <c r="C253" s="153">
        <v>51867</v>
      </c>
      <c r="D253" s="151">
        <f t="shared" ca="1" si="47"/>
        <v>46256861.194648691</v>
      </c>
      <c r="E253" s="151">
        <f t="shared" ca="1" si="48"/>
        <v>306019.32180541131</v>
      </c>
      <c r="F253" s="151">
        <f t="shared" ca="1" si="49"/>
        <v>193206.97309731992</v>
      </c>
      <c r="G253" s="151">
        <f t="shared" ca="1" si="50"/>
        <v>112812.34870809139</v>
      </c>
      <c r="H253" s="151">
        <f ca="1">'HUD - Snapshot'!$K$10/12*D252</f>
        <v>9660.3486548659967</v>
      </c>
      <c r="I253" s="151">
        <f t="shared" ca="1" si="51"/>
        <v>315679.6704602773</v>
      </c>
      <c r="J253" s="162"/>
      <c r="K253" s="152"/>
      <c r="L253" s="152"/>
      <c r="Q253"/>
      <c r="R253"/>
      <c r="S253"/>
      <c r="T253"/>
      <c r="U253"/>
      <c r="V253"/>
      <c r="W253"/>
      <c r="X253"/>
      <c r="Y253"/>
      <c r="Z253"/>
      <c r="AA253"/>
      <c r="AB253"/>
      <c r="AC253"/>
      <c r="AD253"/>
      <c r="AE253"/>
      <c r="AF253"/>
      <c r="AG253"/>
      <c r="AH253"/>
      <c r="AI253"/>
      <c r="AJ253"/>
      <c r="AK253"/>
      <c r="AL253"/>
      <c r="AM253"/>
      <c r="AN253"/>
      <c r="AO253"/>
      <c r="AP253"/>
      <c r="AQ253"/>
    </row>
    <row r="254" spans="2:43" s="150" customFormat="1" ht="15">
      <c r="B254" s="150">
        <v>242</v>
      </c>
      <c r="C254" s="153">
        <v>51898</v>
      </c>
      <c r="D254" s="151">
        <f t="shared" ca="1" si="47"/>
        <v>46143578.794487648</v>
      </c>
      <c r="E254" s="151">
        <f t="shared" ca="1" si="48"/>
        <v>306019.32180541131</v>
      </c>
      <c r="F254" s="151">
        <f t="shared" ca="1" si="49"/>
        <v>192736.92164436955</v>
      </c>
      <c r="G254" s="151">
        <f t="shared" ca="1" si="50"/>
        <v>113282.40016104176</v>
      </c>
      <c r="H254" s="151">
        <f ca="1">'HUD - Snapshot'!$K$10/12*D253</f>
        <v>9636.846082218477</v>
      </c>
      <c r="I254" s="151">
        <f t="shared" ca="1" si="51"/>
        <v>315656.16788762977</v>
      </c>
      <c r="J254" s="162"/>
      <c r="K254" s="152"/>
      <c r="L254" s="152"/>
      <c r="Q254"/>
      <c r="R254"/>
      <c r="S254"/>
      <c r="T254"/>
      <c r="U254"/>
      <c r="V254"/>
      <c r="W254"/>
      <c r="X254"/>
      <c r="Y254"/>
      <c r="Z254"/>
      <c r="AA254"/>
      <c r="AB254"/>
      <c r="AC254"/>
      <c r="AD254"/>
      <c r="AE254"/>
      <c r="AF254"/>
      <c r="AG254"/>
      <c r="AH254"/>
      <c r="AI254"/>
      <c r="AJ254"/>
      <c r="AK254"/>
      <c r="AL254"/>
      <c r="AM254"/>
      <c r="AN254"/>
      <c r="AO254"/>
      <c r="AP254"/>
      <c r="AQ254"/>
    </row>
    <row r="255" spans="2:43" s="150" customFormat="1" ht="15">
      <c r="B255" s="150">
        <v>243</v>
      </c>
      <c r="C255" s="153">
        <v>51926</v>
      </c>
      <c r="D255" s="151">
        <f t="shared" ca="1" si="47"/>
        <v>46029824.384325936</v>
      </c>
      <c r="E255" s="151">
        <f t="shared" ca="1" si="48"/>
        <v>306019.32180541131</v>
      </c>
      <c r="F255" s="151">
        <f t="shared" ca="1" si="49"/>
        <v>192264.91164369852</v>
      </c>
      <c r="G255" s="151">
        <f t="shared" ca="1" si="50"/>
        <v>113754.41016171279</v>
      </c>
      <c r="H255" s="151">
        <f ca="1">'HUD - Snapshot'!$K$10/12*D254</f>
        <v>9613.2455821849271</v>
      </c>
      <c r="I255" s="151">
        <f t="shared" ca="1" si="51"/>
        <v>315632.56738759624</v>
      </c>
      <c r="J255" s="162"/>
      <c r="K255" s="152"/>
      <c r="L255" s="152"/>
      <c r="Q255"/>
      <c r="R255"/>
      <c r="S255"/>
      <c r="T255"/>
      <c r="U255"/>
      <c r="V255"/>
      <c r="W255"/>
      <c r="X255"/>
      <c r="Y255"/>
      <c r="Z255"/>
      <c r="AA255"/>
      <c r="AB255"/>
      <c r="AC255"/>
      <c r="AD255"/>
      <c r="AE255"/>
      <c r="AF255"/>
      <c r="AG255"/>
      <c r="AH255"/>
      <c r="AI255"/>
      <c r="AJ255"/>
      <c r="AK255"/>
      <c r="AL255"/>
      <c r="AM255"/>
      <c r="AN255"/>
      <c r="AO255"/>
      <c r="AP255"/>
      <c r="AQ255"/>
    </row>
    <row r="256" spans="2:43" s="150" customFormat="1" ht="15">
      <c r="B256" s="150">
        <v>244</v>
      </c>
      <c r="C256" s="153">
        <v>51957</v>
      </c>
      <c r="D256" s="151">
        <f t="shared" ca="1" si="47"/>
        <v>45915595.997455217</v>
      </c>
      <c r="E256" s="151">
        <f t="shared" ca="1" si="48"/>
        <v>306019.32180541131</v>
      </c>
      <c r="F256" s="151">
        <f t="shared" ca="1" si="49"/>
        <v>191790.93493469141</v>
      </c>
      <c r="G256" s="151">
        <f t="shared" ca="1" si="50"/>
        <v>114228.3868707199</v>
      </c>
      <c r="H256" s="151">
        <f ca="1">'HUD - Snapshot'!$K$10/12*D255</f>
        <v>9589.5467467345716</v>
      </c>
      <c r="I256" s="151">
        <f t="shared" ca="1" si="51"/>
        <v>315608.8685521459</v>
      </c>
      <c r="J256" s="162"/>
      <c r="K256" s="152"/>
      <c r="L256" s="152"/>
      <c r="Q256"/>
      <c r="R256"/>
      <c r="S256"/>
      <c r="T256"/>
      <c r="U256"/>
      <c r="V256"/>
      <c r="W256"/>
      <c r="X256"/>
      <c r="Y256"/>
      <c r="Z256"/>
      <c r="AA256"/>
      <c r="AB256"/>
      <c r="AC256"/>
      <c r="AD256"/>
      <c r="AE256"/>
      <c r="AF256"/>
      <c r="AG256"/>
      <c r="AH256"/>
      <c r="AI256"/>
      <c r="AJ256"/>
      <c r="AK256"/>
      <c r="AL256"/>
      <c r="AM256"/>
      <c r="AN256"/>
      <c r="AO256"/>
      <c r="AP256"/>
      <c r="AQ256"/>
    </row>
    <row r="257" spans="2:43" s="150" customFormat="1" ht="15">
      <c r="B257" s="150">
        <v>245</v>
      </c>
      <c r="C257" s="153">
        <v>51987</v>
      </c>
      <c r="D257" s="151">
        <f t="shared" ca="1" si="47"/>
        <v>45800891.658972539</v>
      </c>
      <c r="E257" s="151">
        <f t="shared" ca="1" si="48"/>
        <v>306019.32180541131</v>
      </c>
      <c r="F257" s="151">
        <f t="shared" ca="1" si="49"/>
        <v>191314.98332273006</v>
      </c>
      <c r="G257" s="151">
        <f t="shared" ca="1" si="50"/>
        <v>114704.33848268125</v>
      </c>
      <c r="H257" s="151">
        <f ca="1">'HUD - Snapshot'!$K$10/12*D256</f>
        <v>9565.7491661365038</v>
      </c>
      <c r="I257" s="151">
        <f t="shared" ca="1" si="51"/>
        <v>315585.0709715478</v>
      </c>
      <c r="J257" s="162"/>
      <c r="K257" s="152"/>
      <c r="L257" s="152"/>
      <c r="Q257"/>
      <c r="R257"/>
      <c r="S257"/>
      <c r="T257"/>
      <c r="U257"/>
      <c r="V257"/>
      <c r="W257"/>
      <c r="X257"/>
      <c r="Y257"/>
      <c r="Z257"/>
      <c r="AA257"/>
      <c r="AB257"/>
      <c r="AC257"/>
      <c r="AD257"/>
      <c r="AE257"/>
      <c r="AF257"/>
      <c r="AG257"/>
      <c r="AH257"/>
      <c r="AI257"/>
      <c r="AJ257"/>
      <c r="AK257"/>
      <c r="AL257"/>
      <c r="AM257"/>
      <c r="AN257"/>
      <c r="AO257"/>
      <c r="AP257"/>
      <c r="AQ257"/>
    </row>
    <row r="258" spans="2:43" s="150" customFormat="1" ht="15">
      <c r="B258" s="150">
        <v>246</v>
      </c>
      <c r="C258" s="153">
        <v>52018</v>
      </c>
      <c r="D258" s="151">
        <f t="shared" ca="1" si="47"/>
        <v>45685709.385746181</v>
      </c>
      <c r="E258" s="151">
        <f t="shared" ca="1" si="48"/>
        <v>306019.32180541131</v>
      </c>
      <c r="F258" s="151">
        <f t="shared" ca="1" si="49"/>
        <v>190837.04857905224</v>
      </c>
      <c r="G258" s="151">
        <f t="shared" ca="1" si="50"/>
        <v>115182.27322635907</v>
      </c>
      <c r="H258" s="151">
        <f ca="1">'HUD - Snapshot'!$K$10/12*D257</f>
        <v>9541.8524289526122</v>
      </c>
      <c r="I258" s="151">
        <f t="shared" ca="1" si="51"/>
        <v>315561.17423436395</v>
      </c>
      <c r="J258" s="162"/>
      <c r="K258" s="152"/>
      <c r="L258" s="152"/>
      <c r="Q258"/>
      <c r="R258"/>
      <c r="S258"/>
      <c r="T258"/>
      <c r="U258"/>
      <c r="V258"/>
      <c r="W258"/>
      <c r="X258"/>
      <c r="Y258"/>
      <c r="Z258"/>
      <c r="AA258"/>
      <c r="AB258"/>
      <c r="AC258"/>
      <c r="AD258"/>
      <c r="AE258"/>
      <c r="AF258"/>
      <c r="AG258"/>
      <c r="AH258"/>
      <c r="AI258"/>
      <c r="AJ258"/>
      <c r="AK258"/>
      <c r="AL258"/>
      <c r="AM258"/>
      <c r="AN258"/>
      <c r="AO258"/>
      <c r="AP258"/>
      <c r="AQ258"/>
    </row>
    <row r="259" spans="2:43" s="150" customFormat="1" ht="15">
      <c r="B259" s="150">
        <v>247</v>
      </c>
      <c r="C259" s="153">
        <v>52048</v>
      </c>
      <c r="D259" s="151">
        <f t="shared" ca="1" si="47"/>
        <v>45570047.186381377</v>
      </c>
      <c r="E259" s="151">
        <f t="shared" ca="1" si="48"/>
        <v>306019.32180541131</v>
      </c>
      <c r="F259" s="151">
        <f t="shared" ca="1" si="49"/>
        <v>190357.12244060909</v>
      </c>
      <c r="G259" s="151">
        <f t="shared" ca="1" si="50"/>
        <v>115662.19936480222</v>
      </c>
      <c r="H259" s="151">
        <f ca="1">'HUD - Snapshot'!$K$10/12*D258</f>
        <v>9517.8561220304546</v>
      </c>
      <c r="I259" s="151">
        <f t="shared" ca="1" si="51"/>
        <v>315537.17792744178</v>
      </c>
      <c r="J259" s="162"/>
      <c r="K259" s="152"/>
      <c r="L259" s="152"/>
      <c r="Q259"/>
      <c r="R259"/>
      <c r="S259"/>
      <c r="T259"/>
      <c r="U259"/>
      <c r="V259"/>
      <c r="W259"/>
      <c r="X259"/>
      <c r="Y259"/>
      <c r="Z259"/>
      <c r="AA259"/>
      <c r="AB259"/>
      <c r="AC259"/>
      <c r="AD259"/>
      <c r="AE259"/>
      <c r="AF259"/>
      <c r="AG259"/>
      <c r="AH259"/>
      <c r="AI259"/>
      <c r="AJ259"/>
      <c r="AK259"/>
      <c r="AL259"/>
      <c r="AM259"/>
      <c r="AN259"/>
      <c r="AO259"/>
      <c r="AP259"/>
      <c r="AQ259"/>
    </row>
    <row r="260" spans="2:43" s="150" customFormat="1" ht="15">
      <c r="B260" s="150">
        <v>248</v>
      </c>
      <c r="C260" s="153">
        <v>52079</v>
      </c>
      <c r="D260" s="151">
        <f t="shared" ca="1" si="47"/>
        <v>45453903.061185889</v>
      </c>
      <c r="E260" s="151">
        <f t="shared" ca="1" si="48"/>
        <v>306019.32180541131</v>
      </c>
      <c r="F260" s="151">
        <f t="shared" ca="1" si="49"/>
        <v>189875.19660992239</v>
      </c>
      <c r="G260" s="151">
        <f t="shared" ca="1" si="50"/>
        <v>116144.12519548892</v>
      </c>
      <c r="H260" s="151">
        <f ca="1">'HUD - Snapshot'!$K$10/12*D259</f>
        <v>9493.7598304961211</v>
      </c>
      <c r="I260" s="151">
        <f t="shared" ca="1" si="51"/>
        <v>315513.08163590741</v>
      </c>
      <c r="J260" s="162"/>
      <c r="K260" s="152"/>
      <c r="L260" s="152"/>
      <c r="Q260"/>
      <c r="R260"/>
      <c r="S260"/>
      <c r="T260"/>
      <c r="U260"/>
      <c r="V260"/>
      <c r="W260"/>
      <c r="X260"/>
      <c r="Y260"/>
      <c r="Z260"/>
      <c r="AA260"/>
      <c r="AB260"/>
      <c r="AC260"/>
      <c r="AD260"/>
      <c r="AE260"/>
      <c r="AF260"/>
      <c r="AG260"/>
      <c r="AH260"/>
      <c r="AI260"/>
      <c r="AJ260"/>
      <c r="AK260"/>
      <c r="AL260"/>
      <c r="AM260"/>
      <c r="AN260"/>
      <c r="AO260"/>
      <c r="AP260"/>
      <c r="AQ260"/>
    </row>
    <row r="261" spans="2:43" s="150" customFormat="1" ht="15">
      <c r="B261" s="150">
        <v>249</v>
      </c>
      <c r="C261" s="153">
        <v>52110</v>
      </c>
      <c r="D261" s="151">
        <f t="shared" ca="1" si="47"/>
        <v>45337275.002135418</v>
      </c>
      <c r="E261" s="151">
        <f t="shared" ca="1" si="48"/>
        <v>306019.32180541131</v>
      </c>
      <c r="F261" s="151">
        <f t="shared" ca="1" si="49"/>
        <v>189391.26275494121</v>
      </c>
      <c r="G261" s="151">
        <f t="shared" ca="1" si="50"/>
        <v>116628.0590504701</v>
      </c>
      <c r="H261" s="151">
        <f ca="1">'HUD - Snapshot'!$K$10/12*D260</f>
        <v>9469.56313774706</v>
      </c>
      <c r="I261" s="151">
        <f t="shared" ca="1" si="51"/>
        <v>315488.88494315837</v>
      </c>
      <c r="J261" s="162"/>
      <c r="K261" s="152"/>
      <c r="L261" s="152"/>
      <c r="Q261"/>
      <c r="R261"/>
      <c r="S261"/>
      <c r="T261"/>
      <c r="U261"/>
      <c r="V261"/>
      <c r="W261"/>
      <c r="X261"/>
      <c r="Y261"/>
      <c r="Z261"/>
      <c r="AA261"/>
      <c r="AB261"/>
      <c r="AC261"/>
      <c r="AD261"/>
      <c r="AE261"/>
      <c r="AF261"/>
      <c r="AG261"/>
      <c r="AH261"/>
      <c r="AI261"/>
      <c r="AJ261"/>
      <c r="AK261"/>
      <c r="AL261"/>
      <c r="AM261"/>
      <c r="AN261"/>
      <c r="AO261"/>
      <c r="AP261"/>
      <c r="AQ261"/>
    </row>
    <row r="262" spans="2:43" s="150" customFormat="1" ht="15">
      <c r="B262" s="150">
        <v>250</v>
      </c>
      <c r="C262" s="153">
        <v>52140</v>
      </c>
      <c r="D262" s="151">
        <f t="shared" ca="1" si="47"/>
        <v>45220160.992838904</v>
      </c>
      <c r="E262" s="151">
        <f t="shared" ca="1" si="48"/>
        <v>306019.32180541131</v>
      </c>
      <c r="F262" s="151">
        <f t="shared" ca="1" si="49"/>
        <v>188905.31250889756</v>
      </c>
      <c r="G262" s="151">
        <f t="shared" ca="1" si="50"/>
        <v>117114.00929651374</v>
      </c>
      <c r="H262" s="151">
        <f ca="1">'HUD - Snapshot'!$K$10/12*D261</f>
        <v>9445.2656254448793</v>
      </c>
      <c r="I262" s="151">
        <f t="shared" ca="1" si="51"/>
        <v>315464.58743085619</v>
      </c>
      <c r="J262" s="162"/>
      <c r="K262" s="152"/>
      <c r="L262" s="152"/>
      <c r="Q262"/>
      <c r="R262"/>
      <c r="S262"/>
      <c r="T262"/>
      <c r="U262"/>
      <c r="V262"/>
      <c r="W262"/>
      <c r="X262"/>
      <c r="Y262"/>
      <c r="Z262"/>
      <c r="AA262"/>
      <c r="AB262"/>
      <c r="AC262"/>
      <c r="AD262"/>
      <c r="AE262"/>
      <c r="AF262"/>
      <c r="AG262"/>
      <c r="AH262"/>
      <c r="AI262"/>
      <c r="AJ262"/>
      <c r="AK262"/>
      <c r="AL262"/>
      <c r="AM262"/>
      <c r="AN262"/>
      <c r="AO262"/>
      <c r="AP262"/>
      <c r="AQ262"/>
    </row>
    <row r="263" spans="2:43" s="150" customFormat="1" ht="15">
      <c r="B263" s="150">
        <v>251</v>
      </c>
      <c r="C263" s="153">
        <v>52171</v>
      </c>
      <c r="D263" s="151">
        <f t="shared" ca="1" si="47"/>
        <v>45102559.008503653</v>
      </c>
      <c r="E263" s="151">
        <f t="shared" ca="1" si="48"/>
        <v>306019.32180541131</v>
      </c>
      <c r="F263" s="151">
        <f t="shared" ca="1" si="49"/>
        <v>188417.33747016211</v>
      </c>
      <c r="G263" s="151">
        <f t="shared" ca="1" si="50"/>
        <v>117601.9843352492</v>
      </c>
      <c r="H263" s="151">
        <f ca="1">'HUD - Snapshot'!$K$10/12*D262</f>
        <v>9420.8668735081064</v>
      </c>
      <c r="I263" s="151">
        <f t="shared" ca="1" si="51"/>
        <v>315440.1886789194</v>
      </c>
      <c r="J263" s="162"/>
      <c r="K263" s="152"/>
      <c r="L263" s="152"/>
      <c r="Q263"/>
      <c r="R263"/>
      <c r="S263"/>
      <c r="T263"/>
      <c r="U263"/>
      <c r="V263"/>
      <c r="W263"/>
      <c r="X263"/>
      <c r="Y263"/>
      <c r="Z263"/>
      <c r="AA263"/>
      <c r="AB263"/>
      <c r="AC263"/>
      <c r="AD263"/>
      <c r="AE263"/>
      <c r="AF263"/>
      <c r="AG263"/>
      <c r="AH263"/>
      <c r="AI263"/>
      <c r="AJ263"/>
      <c r="AK263"/>
      <c r="AL263"/>
      <c r="AM263"/>
      <c r="AN263"/>
      <c r="AO263"/>
      <c r="AP263"/>
      <c r="AQ263"/>
    </row>
    <row r="264" spans="2:43" s="150" customFormat="1" ht="15">
      <c r="B264" s="150">
        <v>252</v>
      </c>
      <c r="C264" s="153">
        <v>52201</v>
      </c>
      <c r="D264" s="151">
        <f t="shared" ca="1" si="47"/>
        <v>44984467.015900344</v>
      </c>
      <c r="E264" s="151">
        <f t="shared" ca="1" si="48"/>
        <v>306019.32180541131</v>
      </c>
      <c r="F264" s="151">
        <f t="shared" ca="1" si="49"/>
        <v>187927.32920209854</v>
      </c>
      <c r="G264" s="151">
        <f t="shared" ca="1" si="50"/>
        <v>118091.99260331277</v>
      </c>
      <c r="H264" s="151">
        <f ca="1">'HUD - Snapshot'!$K$10/12*D263</f>
        <v>9396.3664601049277</v>
      </c>
      <c r="I264" s="151">
        <f t="shared" ca="1" si="51"/>
        <v>315415.68826551625</v>
      </c>
      <c r="J264" s="162"/>
      <c r="K264" s="152">
        <f ca="1">SUM(I253:I264)</f>
        <v>3786583.1283753603</v>
      </c>
      <c r="L264" s="152">
        <f ca="1">SUM(F253:F264)</f>
        <v>2287025.3342084922</v>
      </c>
      <c r="Q264"/>
      <c r="R264"/>
      <c r="S264"/>
      <c r="T264"/>
      <c r="U264"/>
      <c r="V264"/>
      <c r="W264"/>
      <c r="X264"/>
      <c r="Y264"/>
      <c r="Z264"/>
      <c r="AA264"/>
      <c r="AB264"/>
      <c r="AC264"/>
      <c r="AD264"/>
      <c r="AE264"/>
      <c r="AF264"/>
      <c r="AG264"/>
      <c r="AH264"/>
      <c r="AI264"/>
      <c r="AJ264"/>
      <c r="AK264"/>
      <c r="AL264"/>
      <c r="AM264"/>
      <c r="AN264"/>
      <c r="AO264"/>
      <c r="AP264"/>
      <c r="AQ264"/>
    </row>
    <row r="265" spans="2:43" s="150" customFormat="1" ht="15">
      <c r="B265" s="150">
        <v>253</v>
      </c>
      <c r="C265" s="153">
        <v>52232</v>
      </c>
      <c r="D265" s="151">
        <f t="shared" ca="1" si="47"/>
        <v>44865882.973327853</v>
      </c>
      <c r="E265" s="151">
        <f t="shared" ca="1" si="48"/>
        <v>306019.32180541131</v>
      </c>
      <c r="F265" s="151">
        <f t="shared" ca="1" si="49"/>
        <v>187435.27923291811</v>
      </c>
      <c r="G265" s="151">
        <f t="shared" ca="1" si="50"/>
        <v>118584.0425724932</v>
      </c>
      <c r="H265" s="151">
        <f ca="1">'HUD - Snapshot'!$K$10/12*D264</f>
        <v>9371.7639616459055</v>
      </c>
      <c r="I265" s="151">
        <f t="shared" ca="1" si="51"/>
        <v>315391.0857670572</v>
      </c>
      <c r="J265" s="162"/>
      <c r="K265" s="152"/>
      <c r="L265" s="152"/>
      <c r="Q265"/>
      <c r="R265"/>
      <c r="S265"/>
      <c r="T265"/>
      <c r="U265"/>
      <c r="V265"/>
      <c r="W265"/>
      <c r="X265"/>
      <c r="Y265"/>
      <c r="Z265"/>
      <c r="AA265"/>
      <c r="AB265"/>
      <c r="AC265"/>
      <c r="AD265"/>
      <c r="AE265"/>
      <c r="AF265"/>
      <c r="AG265"/>
      <c r="AH265"/>
      <c r="AI265"/>
      <c r="AJ265"/>
      <c r="AK265"/>
      <c r="AL265"/>
      <c r="AM265"/>
      <c r="AN265"/>
      <c r="AO265"/>
      <c r="AP265"/>
      <c r="AQ265"/>
    </row>
    <row r="266" spans="2:43" s="150" customFormat="1" ht="15">
      <c r="B266" s="150">
        <v>254</v>
      </c>
      <c r="C266" s="153">
        <v>52263</v>
      </c>
      <c r="D266" s="151">
        <f t="shared" ca="1" si="47"/>
        <v>44746804.830577977</v>
      </c>
      <c r="E266" s="151">
        <f t="shared" ca="1" si="48"/>
        <v>306019.32180541131</v>
      </c>
      <c r="F266" s="151">
        <f t="shared" ca="1" si="49"/>
        <v>186941.17905553273</v>
      </c>
      <c r="G266" s="151">
        <f t="shared" ca="1" si="50"/>
        <v>119078.14274987858</v>
      </c>
      <c r="H266" s="151">
        <f ca="1">'HUD - Snapshot'!$K$10/12*D265</f>
        <v>9347.0589527766369</v>
      </c>
      <c r="I266" s="151">
        <f t="shared" ca="1" si="51"/>
        <v>315366.38075818797</v>
      </c>
      <c r="J266" s="162"/>
      <c r="K266" s="152"/>
      <c r="L266" s="152"/>
      <c r="Q266"/>
      <c r="R266"/>
      <c r="S266"/>
      <c r="T266"/>
      <c r="U266"/>
      <c r="V266"/>
      <c r="W266"/>
      <c r="X266"/>
      <c r="Y266"/>
      <c r="Z266"/>
      <c r="AA266"/>
      <c r="AB266"/>
      <c r="AC266"/>
      <c r="AD266"/>
      <c r="AE266"/>
      <c r="AF266"/>
      <c r="AG266"/>
      <c r="AH266"/>
      <c r="AI266"/>
      <c r="AJ266"/>
      <c r="AK266"/>
      <c r="AL266"/>
      <c r="AM266"/>
      <c r="AN266"/>
      <c r="AO266"/>
      <c r="AP266"/>
      <c r="AQ266"/>
    </row>
    <row r="267" spans="2:43" s="150" customFormat="1" ht="15">
      <c r="B267" s="150">
        <v>255</v>
      </c>
      <c r="C267" s="153">
        <v>52291</v>
      </c>
      <c r="D267" s="151">
        <f t="shared" ca="1" si="47"/>
        <v>44627230.528899975</v>
      </c>
      <c r="E267" s="151">
        <f t="shared" ca="1" si="48"/>
        <v>306019.32180541131</v>
      </c>
      <c r="F267" s="151">
        <f t="shared" ca="1" si="49"/>
        <v>186445.02012740824</v>
      </c>
      <c r="G267" s="151">
        <f t="shared" ca="1" si="50"/>
        <v>119574.30167800307</v>
      </c>
      <c r="H267" s="151">
        <f ca="1">'HUD - Snapshot'!$K$10/12*D266</f>
        <v>9322.2510063704121</v>
      </c>
      <c r="I267" s="151">
        <f t="shared" ca="1" si="51"/>
        <v>315341.57281178172</v>
      </c>
      <c r="J267" s="162"/>
      <c r="K267" s="152"/>
      <c r="L267" s="152"/>
      <c r="Q267"/>
      <c r="R267"/>
      <c r="S267"/>
      <c r="T267"/>
      <c r="U267"/>
      <c r="V267"/>
      <c r="W267"/>
      <c r="X267"/>
      <c r="Y267"/>
      <c r="Z267"/>
      <c r="AA267"/>
      <c r="AB267"/>
      <c r="AC267"/>
      <c r="AD267"/>
      <c r="AE267"/>
      <c r="AF267"/>
      <c r="AG267"/>
      <c r="AH267"/>
      <c r="AI267"/>
      <c r="AJ267"/>
      <c r="AK267"/>
      <c r="AL267"/>
      <c r="AM267"/>
      <c r="AN267"/>
      <c r="AO267"/>
      <c r="AP267"/>
      <c r="AQ267"/>
    </row>
    <row r="268" spans="2:43" s="150" customFormat="1" ht="15">
      <c r="B268" s="150">
        <v>256</v>
      </c>
      <c r="C268" s="153">
        <v>52322</v>
      </c>
      <c r="D268" s="151">
        <f t="shared" ca="1" si="47"/>
        <v>44507158.000964977</v>
      </c>
      <c r="E268" s="151">
        <f t="shared" ca="1" si="48"/>
        <v>306019.32180541131</v>
      </c>
      <c r="F268" s="151">
        <f t="shared" ca="1" si="49"/>
        <v>185946.79387041656</v>
      </c>
      <c r="G268" s="151">
        <f t="shared" ca="1" si="50"/>
        <v>120072.52793499475</v>
      </c>
      <c r="H268" s="151">
        <f ca="1">'HUD - Snapshot'!$K$10/12*D267</f>
        <v>9297.3396935208293</v>
      </c>
      <c r="I268" s="151">
        <f t="shared" ca="1" si="51"/>
        <v>315316.66149893217</v>
      </c>
      <c r="J268" s="162"/>
      <c r="K268" s="152"/>
      <c r="L268" s="152"/>
      <c r="Q268"/>
      <c r="R268"/>
      <c r="S268"/>
      <c r="T268"/>
      <c r="U268"/>
      <c r="V268"/>
      <c r="W268"/>
      <c r="X268"/>
      <c r="Y268"/>
      <c r="Z268"/>
      <c r="AA268"/>
      <c r="AB268"/>
      <c r="AC268"/>
      <c r="AD268"/>
      <c r="AE268"/>
      <c r="AF268"/>
      <c r="AG268"/>
      <c r="AH268"/>
      <c r="AI268"/>
      <c r="AJ268"/>
      <c r="AK268"/>
      <c r="AL268"/>
      <c r="AM268"/>
      <c r="AN268"/>
      <c r="AO268"/>
      <c r="AP268"/>
      <c r="AQ268"/>
    </row>
    <row r="269" spans="2:43" s="150" customFormat="1" ht="15">
      <c r="B269" s="150">
        <v>257</v>
      </c>
      <c r="C269" s="153">
        <v>52352</v>
      </c>
      <c r="D269" s="151">
        <f t="shared" ref="D269:D332" ca="1" si="52">D268-G269</f>
        <v>44386585.17083025</v>
      </c>
      <c r="E269" s="151">
        <f t="shared" ref="E269:E332" ca="1" si="53">$D$9</f>
        <v>306019.32180541131</v>
      </c>
      <c r="F269" s="151">
        <f t="shared" ref="F269:F332" ca="1" si="54">$D$8/12*D268</f>
        <v>185446.49167068739</v>
      </c>
      <c r="G269" s="151">
        <f t="shared" ref="G269:G332" ca="1" si="55">E269-F269</f>
        <v>120572.83013472392</v>
      </c>
      <c r="H269" s="151">
        <f ca="1">'HUD - Snapshot'!$K$10/12*D268</f>
        <v>9272.3245835343714</v>
      </c>
      <c r="I269" s="151">
        <f t="shared" ref="I269:I332" ca="1" si="56">SUM(F269:H269)</f>
        <v>315291.64638894569</v>
      </c>
      <c r="J269" s="162"/>
      <c r="K269" s="152"/>
      <c r="L269" s="152"/>
      <c r="Q269"/>
      <c r="R269"/>
      <c r="S269"/>
      <c r="T269"/>
      <c r="U269"/>
      <c r="V269"/>
      <c r="W269"/>
      <c r="X269"/>
      <c r="Y269"/>
      <c r="Z269"/>
      <c r="AA269"/>
      <c r="AB269"/>
      <c r="AC269"/>
      <c r="AD269"/>
      <c r="AE269"/>
      <c r="AF269"/>
      <c r="AG269"/>
      <c r="AH269"/>
      <c r="AI269"/>
      <c r="AJ269"/>
      <c r="AK269"/>
      <c r="AL269"/>
      <c r="AM269"/>
      <c r="AN269"/>
      <c r="AO269"/>
      <c r="AP269"/>
      <c r="AQ269"/>
    </row>
    <row r="270" spans="2:43" s="150" customFormat="1" ht="15">
      <c r="B270" s="150">
        <v>258</v>
      </c>
      <c r="C270" s="153">
        <v>52383</v>
      </c>
      <c r="D270" s="151">
        <f t="shared" ca="1" si="52"/>
        <v>44265509.953903295</v>
      </c>
      <c r="E270" s="151">
        <f t="shared" ca="1" si="53"/>
        <v>306019.32180541131</v>
      </c>
      <c r="F270" s="151">
        <f t="shared" ca="1" si="54"/>
        <v>184944.10487845936</v>
      </c>
      <c r="G270" s="151">
        <f t="shared" ca="1" si="55"/>
        <v>121075.21692695195</v>
      </c>
      <c r="H270" s="151">
        <f ca="1">'HUD - Snapshot'!$K$10/12*D269</f>
        <v>9247.2052439229701</v>
      </c>
      <c r="I270" s="151">
        <f t="shared" ca="1" si="56"/>
        <v>315266.52704933425</v>
      </c>
      <c r="J270" s="162"/>
      <c r="K270" s="152"/>
      <c r="L270" s="152"/>
      <c r="Q270"/>
      <c r="R270"/>
      <c r="S270"/>
      <c r="T270"/>
      <c r="U270"/>
      <c r="V270"/>
      <c r="W270"/>
      <c r="X270"/>
      <c r="Y270"/>
      <c r="Z270"/>
      <c r="AA270"/>
      <c r="AB270"/>
      <c r="AC270"/>
      <c r="AD270"/>
      <c r="AE270"/>
      <c r="AF270"/>
      <c r="AG270"/>
      <c r="AH270"/>
      <c r="AI270"/>
      <c r="AJ270"/>
      <c r="AK270"/>
      <c r="AL270"/>
      <c r="AM270"/>
      <c r="AN270"/>
      <c r="AO270"/>
      <c r="AP270"/>
      <c r="AQ270"/>
    </row>
    <row r="271" spans="2:43" s="150" customFormat="1" ht="15">
      <c r="B271" s="150">
        <v>259</v>
      </c>
      <c r="C271" s="153">
        <v>52413</v>
      </c>
      <c r="D271" s="151">
        <f t="shared" ca="1" si="52"/>
        <v>44143930.256905816</v>
      </c>
      <c r="E271" s="151">
        <f t="shared" ca="1" si="53"/>
        <v>306019.32180541131</v>
      </c>
      <c r="F271" s="151">
        <f t="shared" ca="1" si="54"/>
        <v>184439.62480793041</v>
      </c>
      <c r="G271" s="151">
        <f t="shared" ca="1" si="55"/>
        <v>121579.6969974809</v>
      </c>
      <c r="H271" s="151">
        <f ca="1">'HUD - Snapshot'!$K$10/12*D270</f>
        <v>9221.9812403965207</v>
      </c>
      <c r="I271" s="151">
        <f t="shared" ca="1" si="56"/>
        <v>315241.30304580781</v>
      </c>
      <c r="J271" s="162"/>
      <c r="K271" s="152"/>
      <c r="L271" s="152"/>
      <c r="Q271"/>
      <c r="R271"/>
      <c r="S271"/>
      <c r="T271"/>
      <c r="U271"/>
      <c r="V271"/>
      <c r="W271"/>
      <c r="X271"/>
      <c r="Y271"/>
      <c r="Z271"/>
      <c r="AA271"/>
      <c r="AB271"/>
      <c r="AC271"/>
      <c r="AD271"/>
      <c r="AE271"/>
      <c r="AF271"/>
      <c r="AG271"/>
      <c r="AH271"/>
      <c r="AI271"/>
      <c r="AJ271"/>
      <c r="AK271"/>
      <c r="AL271"/>
      <c r="AM271"/>
      <c r="AN271"/>
      <c r="AO271"/>
      <c r="AP271"/>
      <c r="AQ271"/>
    </row>
    <row r="272" spans="2:43" s="150" customFormat="1" ht="15">
      <c r="B272" s="150">
        <v>260</v>
      </c>
      <c r="C272" s="153">
        <v>52444</v>
      </c>
      <c r="D272" s="151">
        <f t="shared" ca="1" si="52"/>
        <v>44021843.97783751</v>
      </c>
      <c r="E272" s="151">
        <f t="shared" ca="1" si="53"/>
        <v>306019.32180541131</v>
      </c>
      <c r="F272" s="151">
        <f t="shared" ca="1" si="54"/>
        <v>183933.04273710758</v>
      </c>
      <c r="G272" s="151">
        <f t="shared" ca="1" si="55"/>
        <v>122086.27906830373</v>
      </c>
      <c r="H272" s="151">
        <f ca="1">'HUD - Snapshot'!$K$10/12*D271</f>
        <v>9196.6521368553786</v>
      </c>
      <c r="I272" s="151">
        <f t="shared" ca="1" si="56"/>
        <v>315215.97394226666</v>
      </c>
      <c r="J272" s="162"/>
      <c r="K272" s="152"/>
      <c r="L272" s="152"/>
      <c r="Q272"/>
      <c r="R272"/>
      <c r="S272"/>
      <c r="T272"/>
      <c r="U272"/>
      <c r="V272"/>
      <c r="W272"/>
      <c r="X272"/>
      <c r="Y272"/>
      <c r="Z272"/>
      <c r="AA272"/>
      <c r="AB272"/>
      <c r="AC272"/>
      <c r="AD272"/>
      <c r="AE272"/>
      <c r="AF272"/>
      <c r="AG272"/>
      <c r="AH272"/>
      <c r="AI272"/>
      <c r="AJ272"/>
      <c r="AK272"/>
      <c r="AL272"/>
      <c r="AM272"/>
      <c r="AN272"/>
      <c r="AO272"/>
      <c r="AP272"/>
      <c r="AQ272"/>
    </row>
    <row r="273" spans="2:43" s="150" customFormat="1" ht="15">
      <c r="B273" s="150">
        <v>261</v>
      </c>
      <c r="C273" s="153">
        <v>52475</v>
      </c>
      <c r="D273" s="151">
        <f t="shared" ca="1" si="52"/>
        <v>43899249.005939752</v>
      </c>
      <c r="E273" s="151">
        <f t="shared" ca="1" si="53"/>
        <v>306019.32180541131</v>
      </c>
      <c r="F273" s="151">
        <f t="shared" ca="1" si="54"/>
        <v>183424.34990765629</v>
      </c>
      <c r="G273" s="151">
        <f t="shared" ca="1" si="55"/>
        <v>122594.97189775502</v>
      </c>
      <c r="H273" s="151">
        <f ca="1">'HUD - Snapshot'!$K$10/12*D272</f>
        <v>9171.2174953828144</v>
      </c>
      <c r="I273" s="151">
        <f t="shared" ca="1" si="56"/>
        <v>315190.53930079413</v>
      </c>
      <c r="J273" s="162"/>
      <c r="K273" s="152"/>
      <c r="L273" s="152"/>
      <c r="Q273"/>
      <c r="R273"/>
      <c r="S273"/>
      <c r="T273"/>
      <c r="U273"/>
      <c r="V273"/>
      <c r="W273"/>
      <c r="X273"/>
      <c r="Y273"/>
      <c r="Z273"/>
      <c r="AA273"/>
      <c r="AB273"/>
      <c r="AC273"/>
      <c r="AD273"/>
      <c r="AE273"/>
      <c r="AF273"/>
      <c r="AG273"/>
      <c r="AH273"/>
      <c r="AI273"/>
      <c r="AJ273"/>
      <c r="AK273"/>
      <c r="AL273"/>
      <c r="AM273"/>
      <c r="AN273"/>
      <c r="AO273"/>
      <c r="AP273"/>
      <c r="AQ273"/>
    </row>
    <row r="274" spans="2:43" s="150" customFormat="1" ht="15">
      <c r="B274" s="150">
        <v>262</v>
      </c>
      <c r="C274" s="153">
        <v>52505</v>
      </c>
      <c r="D274" s="151">
        <f t="shared" ca="1" si="52"/>
        <v>43776143.221659087</v>
      </c>
      <c r="E274" s="151">
        <f t="shared" ca="1" si="53"/>
        <v>306019.32180541131</v>
      </c>
      <c r="F274" s="151">
        <f t="shared" ca="1" si="54"/>
        <v>182913.53752474897</v>
      </c>
      <c r="G274" s="151">
        <f t="shared" ca="1" si="55"/>
        <v>123105.78428066234</v>
      </c>
      <c r="H274" s="151">
        <f ca="1">'HUD - Snapshot'!$K$10/12*D273</f>
        <v>9145.6768762374486</v>
      </c>
      <c r="I274" s="151">
        <f t="shared" ca="1" si="56"/>
        <v>315164.99868164875</v>
      </c>
      <c r="J274" s="162"/>
      <c r="K274" s="152"/>
      <c r="L274" s="152"/>
      <c r="Q274"/>
      <c r="R274"/>
      <c r="S274"/>
      <c r="T274"/>
      <c r="U274"/>
      <c r="V274"/>
      <c r="W274"/>
      <c r="X274"/>
      <c r="Y274"/>
      <c r="Z274"/>
      <c r="AA274"/>
      <c r="AB274"/>
      <c r="AC274"/>
      <c r="AD274"/>
      <c r="AE274"/>
      <c r="AF274"/>
      <c r="AG274"/>
      <c r="AH274"/>
      <c r="AI274"/>
      <c r="AJ274"/>
      <c r="AK274"/>
      <c r="AL274"/>
      <c r="AM274"/>
      <c r="AN274"/>
      <c r="AO274"/>
      <c r="AP274"/>
      <c r="AQ274"/>
    </row>
    <row r="275" spans="2:43" s="150" customFormat="1" ht="15">
      <c r="B275" s="150">
        <v>263</v>
      </c>
      <c r="C275" s="153">
        <v>52536</v>
      </c>
      <c r="D275" s="151">
        <f t="shared" ca="1" si="52"/>
        <v>43652524.496610589</v>
      </c>
      <c r="E275" s="151">
        <f t="shared" ca="1" si="53"/>
        <v>306019.32180541131</v>
      </c>
      <c r="F275" s="151">
        <f t="shared" ca="1" si="54"/>
        <v>182400.59675691286</v>
      </c>
      <c r="G275" s="151">
        <f t="shared" ca="1" si="55"/>
        <v>123618.72504849845</v>
      </c>
      <c r="H275" s="151">
        <f ca="1">'HUD - Snapshot'!$K$10/12*D274</f>
        <v>9120.0298378456428</v>
      </c>
      <c r="I275" s="151">
        <f t="shared" ca="1" si="56"/>
        <v>315139.35164325696</v>
      </c>
      <c r="J275" s="162"/>
      <c r="K275" s="152"/>
      <c r="L275" s="152"/>
      <c r="Q275"/>
      <c r="R275"/>
      <c r="S275"/>
      <c r="T275"/>
      <c r="U275"/>
      <c r="V275"/>
      <c r="W275"/>
      <c r="X275"/>
      <c r="Y275"/>
      <c r="Z275"/>
      <c r="AA275"/>
      <c r="AB275"/>
      <c r="AC275"/>
      <c r="AD275"/>
      <c r="AE275"/>
      <c r="AF275"/>
      <c r="AG275"/>
      <c r="AH275"/>
      <c r="AI275"/>
      <c r="AJ275"/>
      <c r="AK275"/>
      <c r="AL275"/>
      <c r="AM275"/>
      <c r="AN275"/>
      <c r="AO275"/>
      <c r="AP275"/>
      <c r="AQ275"/>
    </row>
    <row r="276" spans="2:43" s="150" customFormat="1" ht="15">
      <c r="B276" s="150">
        <v>264</v>
      </c>
      <c r="C276" s="153">
        <v>52566</v>
      </c>
      <c r="D276" s="151">
        <f t="shared" ca="1" si="52"/>
        <v>43528390.693541057</v>
      </c>
      <c r="E276" s="151">
        <f t="shared" ca="1" si="53"/>
        <v>306019.32180541131</v>
      </c>
      <c r="F276" s="151">
        <f t="shared" ca="1" si="54"/>
        <v>181885.51873587744</v>
      </c>
      <c r="G276" s="151">
        <f t="shared" ca="1" si="55"/>
        <v>124133.80306953387</v>
      </c>
      <c r="H276" s="151">
        <f ca="1">'HUD - Snapshot'!$K$10/12*D275</f>
        <v>9094.2759367938725</v>
      </c>
      <c r="I276" s="151">
        <f t="shared" ca="1" si="56"/>
        <v>315113.59774220519</v>
      </c>
      <c r="J276" s="162"/>
      <c r="K276" s="152">
        <f ca="1">SUM(I265:I276)</f>
        <v>3783039.6386302183</v>
      </c>
      <c r="L276" s="152">
        <f ca="1">SUM(F265:F276)</f>
        <v>2216155.5393056558</v>
      </c>
      <c r="Q276"/>
      <c r="R276"/>
      <c r="S276"/>
      <c r="T276"/>
      <c r="U276"/>
      <c r="V276"/>
      <c r="W276"/>
      <c r="X276"/>
      <c r="Y276"/>
      <c r="Z276"/>
      <c r="AA276"/>
      <c r="AB276"/>
      <c r="AC276"/>
      <c r="AD276"/>
      <c r="AE276"/>
      <c r="AF276"/>
      <c r="AG276"/>
      <c r="AH276"/>
      <c r="AI276"/>
      <c r="AJ276"/>
      <c r="AK276"/>
      <c r="AL276"/>
      <c r="AM276"/>
      <c r="AN276"/>
      <c r="AO276"/>
      <c r="AP276"/>
      <c r="AQ276"/>
    </row>
    <row r="277" spans="2:43" s="150" customFormat="1" ht="15">
      <c r="B277" s="150">
        <v>265</v>
      </c>
      <c r="C277" s="153">
        <v>52597</v>
      </c>
      <c r="D277" s="151">
        <f t="shared" ca="1" si="52"/>
        <v>43403739.666292064</v>
      </c>
      <c r="E277" s="151">
        <f t="shared" ca="1" si="53"/>
        <v>306019.32180541131</v>
      </c>
      <c r="F277" s="151">
        <f t="shared" ca="1" si="54"/>
        <v>181368.29455642108</v>
      </c>
      <c r="G277" s="151">
        <f t="shared" ca="1" si="55"/>
        <v>124651.02724899023</v>
      </c>
      <c r="H277" s="151">
        <f ca="1">'HUD - Snapshot'!$K$10/12*D276</f>
        <v>9068.4147278210548</v>
      </c>
      <c r="I277" s="151">
        <f t="shared" ca="1" si="56"/>
        <v>315087.73653323238</v>
      </c>
      <c r="J277" s="162"/>
      <c r="K277" s="152"/>
      <c r="L277" s="152"/>
      <c r="Q277"/>
      <c r="R277"/>
      <c r="S277"/>
      <c r="T277"/>
      <c r="U277"/>
      <c r="V277"/>
      <c r="W277"/>
      <c r="X277"/>
      <c r="Y277"/>
      <c r="Z277"/>
      <c r="AA277"/>
      <c r="AB277"/>
      <c r="AC277"/>
      <c r="AD277"/>
      <c r="AE277"/>
      <c r="AF277"/>
      <c r="AG277"/>
      <c r="AH277"/>
      <c r="AI277"/>
      <c r="AJ277"/>
      <c r="AK277"/>
      <c r="AL277"/>
      <c r="AM277"/>
      <c r="AN277"/>
      <c r="AO277"/>
      <c r="AP277"/>
      <c r="AQ277"/>
    </row>
    <row r="278" spans="2:43" s="150" customFormat="1" ht="15">
      <c r="B278" s="150">
        <v>266</v>
      </c>
      <c r="C278" s="153">
        <v>52628</v>
      </c>
      <c r="D278" s="151">
        <f t="shared" ca="1" si="52"/>
        <v>43278569.259762868</v>
      </c>
      <c r="E278" s="151">
        <f t="shared" ca="1" si="53"/>
        <v>306019.32180541131</v>
      </c>
      <c r="F278" s="151">
        <f t="shared" ca="1" si="54"/>
        <v>180848.91527621693</v>
      </c>
      <c r="G278" s="151">
        <f t="shared" ca="1" si="55"/>
        <v>125170.40652919438</v>
      </c>
      <c r="H278" s="151">
        <f ca="1">'HUD - Snapshot'!$K$10/12*D277</f>
        <v>9042.445763810847</v>
      </c>
      <c r="I278" s="151">
        <f t="shared" ca="1" si="56"/>
        <v>315061.76756922214</v>
      </c>
      <c r="J278" s="162"/>
      <c r="K278" s="152"/>
      <c r="L278" s="152"/>
      <c r="Q278"/>
      <c r="R278"/>
      <c r="S278"/>
      <c r="T278"/>
      <c r="U278"/>
      <c r="V278"/>
      <c r="W278"/>
      <c r="X278"/>
      <c r="Y278"/>
      <c r="Z278"/>
      <c r="AA278"/>
      <c r="AB278"/>
      <c r="AC278"/>
      <c r="AD278"/>
      <c r="AE278"/>
      <c r="AF278"/>
      <c r="AG278"/>
      <c r="AH278"/>
      <c r="AI278"/>
      <c r="AJ278"/>
      <c r="AK278"/>
      <c r="AL278"/>
      <c r="AM278"/>
      <c r="AN278"/>
      <c r="AO278"/>
      <c r="AP278"/>
      <c r="AQ278"/>
    </row>
    <row r="279" spans="2:43" s="150" customFormat="1" ht="15">
      <c r="B279" s="150">
        <v>267</v>
      </c>
      <c r="C279" s="153">
        <v>52657</v>
      </c>
      <c r="D279" s="151">
        <f t="shared" ca="1" si="52"/>
        <v>43152877.309873134</v>
      </c>
      <c r="E279" s="151">
        <f t="shared" ca="1" si="53"/>
        <v>306019.32180541131</v>
      </c>
      <c r="F279" s="151">
        <f t="shared" ca="1" si="54"/>
        <v>180327.37191567861</v>
      </c>
      <c r="G279" s="151">
        <f t="shared" ca="1" si="55"/>
        <v>125691.9498897327</v>
      </c>
      <c r="H279" s="151">
        <f ca="1">'HUD - Snapshot'!$K$10/12*D278</f>
        <v>9016.3685957839316</v>
      </c>
      <c r="I279" s="151">
        <f t="shared" ca="1" si="56"/>
        <v>315035.69040119526</v>
      </c>
      <c r="J279" s="162"/>
      <c r="K279" s="152"/>
      <c r="L279" s="152"/>
      <c r="Q279"/>
      <c r="R279"/>
      <c r="S279"/>
      <c r="T279"/>
      <c r="U279"/>
      <c r="V279"/>
      <c r="W279"/>
      <c r="X279"/>
      <c r="Y279"/>
      <c r="Z279"/>
      <c r="AA279"/>
      <c r="AB279"/>
      <c r="AC279"/>
      <c r="AD279"/>
      <c r="AE279"/>
      <c r="AF279"/>
      <c r="AG279"/>
      <c r="AH279"/>
      <c r="AI279"/>
      <c r="AJ279"/>
      <c r="AK279"/>
      <c r="AL279"/>
      <c r="AM279"/>
      <c r="AN279"/>
      <c r="AO279"/>
      <c r="AP279"/>
      <c r="AQ279"/>
    </row>
    <row r="280" spans="2:43" s="150" customFormat="1" ht="15">
      <c r="B280" s="150">
        <v>268</v>
      </c>
      <c r="C280" s="153">
        <v>52688</v>
      </c>
      <c r="D280" s="151">
        <f t="shared" ca="1" si="52"/>
        <v>43026661.643525526</v>
      </c>
      <c r="E280" s="151">
        <f t="shared" ca="1" si="53"/>
        <v>306019.32180541131</v>
      </c>
      <c r="F280" s="151">
        <f t="shared" ca="1" si="54"/>
        <v>179803.65545780474</v>
      </c>
      <c r="G280" s="151">
        <f t="shared" ca="1" si="55"/>
        <v>126215.66634760657</v>
      </c>
      <c r="H280" s="151">
        <f ca="1">'HUD - Snapshot'!$K$10/12*D279</f>
        <v>8990.1827728902372</v>
      </c>
      <c r="I280" s="151">
        <f t="shared" ca="1" si="56"/>
        <v>315009.50457830157</v>
      </c>
      <c r="J280" s="162"/>
      <c r="K280" s="152"/>
      <c r="L280" s="152"/>
      <c r="Q280"/>
      <c r="R280"/>
      <c r="S280"/>
      <c r="T280"/>
      <c r="U280"/>
      <c r="V280"/>
      <c r="W280"/>
      <c r="X280"/>
      <c r="Y280"/>
      <c r="Z280"/>
      <c r="AA280"/>
      <c r="AB280"/>
      <c r="AC280"/>
      <c r="AD280"/>
      <c r="AE280"/>
      <c r="AF280"/>
      <c r="AG280"/>
      <c r="AH280"/>
      <c r="AI280"/>
      <c r="AJ280"/>
      <c r="AK280"/>
      <c r="AL280"/>
      <c r="AM280"/>
      <c r="AN280"/>
      <c r="AO280"/>
      <c r="AP280"/>
      <c r="AQ280"/>
    </row>
    <row r="281" spans="2:43" s="150" customFormat="1" ht="15">
      <c r="B281" s="150">
        <v>269</v>
      </c>
      <c r="C281" s="153">
        <v>52718</v>
      </c>
      <c r="D281" s="151">
        <f t="shared" ca="1" si="52"/>
        <v>42899920.078568138</v>
      </c>
      <c r="E281" s="151">
        <f t="shared" ca="1" si="53"/>
        <v>306019.32180541131</v>
      </c>
      <c r="F281" s="151">
        <f t="shared" ca="1" si="54"/>
        <v>179277.75684802301</v>
      </c>
      <c r="G281" s="151">
        <f t="shared" ca="1" si="55"/>
        <v>126741.5649573883</v>
      </c>
      <c r="H281" s="151">
        <f ca="1">'HUD - Snapshot'!$K$10/12*D280</f>
        <v>8963.8878424011509</v>
      </c>
      <c r="I281" s="151">
        <f t="shared" ca="1" si="56"/>
        <v>314983.20964781247</v>
      </c>
      <c r="J281" s="162"/>
      <c r="K281" s="152"/>
      <c r="L281" s="152"/>
      <c r="Q281"/>
      <c r="R281"/>
      <c r="S281"/>
      <c r="T281"/>
      <c r="U281"/>
      <c r="V281"/>
      <c r="W281"/>
      <c r="X281"/>
      <c r="Y281"/>
      <c r="Z281"/>
      <c r="AA281"/>
      <c r="AB281"/>
      <c r="AC281"/>
      <c r="AD281"/>
      <c r="AE281"/>
      <c r="AF281"/>
      <c r="AG281"/>
      <c r="AH281"/>
      <c r="AI281"/>
      <c r="AJ281"/>
      <c r="AK281"/>
      <c r="AL281"/>
      <c r="AM281"/>
      <c r="AN281"/>
      <c r="AO281"/>
      <c r="AP281"/>
      <c r="AQ281"/>
    </row>
    <row r="282" spans="2:43" s="150" customFormat="1" ht="15">
      <c r="B282" s="150">
        <v>270</v>
      </c>
      <c r="C282" s="153">
        <v>52749</v>
      </c>
      <c r="D282" s="151">
        <f t="shared" ca="1" si="52"/>
        <v>42772650.423756763</v>
      </c>
      <c r="E282" s="151">
        <f t="shared" ca="1" si="53"/>
        <v>306019.32180541131</v>
      </c>
      <c r="F282" s="151">
        <f t="shared" ca="1" si="54"/>
        <v>178749.66699403391</v>
      </c>
      <c r="G282" s="151">
        <f t="shared" ca="1" si="55"/>
        <v>127269.6548113774</v>
      </c>
      <c r="H282" s="151">
        <f ca="1">'HUD - Snapshot'!$K$10/12*D281</f>
        <v>8937.4833497016953</v>
      </c>
      <c r="I282" s="151">
        <f t="shared" ca="1" si="56"/>
        <v>314956.80515511299</v>
      </c>
      <c r="J282" s="162"/>
      <c r="K282" s="152"/>
      <c r="L282" s="152"/>
      <c r="Q282"/>
      <c r="R282"/>
      <c r="S282"/>
      <c r="T282"/>
      <c r="U282"/>
      <c r="V282"/>
      <c r="W282"/>
      <c r="X282"/>
      <c r="Y282"/>
      <c r="Z282"/>
      <c r="AA282"/>
      <c r="AB282"/>
      <c r="AC282"/>
      <c r="AD282"/>
      <c r="AE282"/>
      <c r="AF282"/>
      <c r="AG282"/>
      <c r="AH282"/>
      <c r="AI282"/>
      <c r="AJ282"/>
      <c r="AK282"/>
      <c r="AL282"/>
      <c r="AM282"/>
      <c r="AN282"/>
      <c r="AO282"/>
      <c r="AP282"/>
      <c r="AQ282"/>
    </row>
    <row r="283" spans="2:43" s="150" customFormat="1" ht="15">
      <c r="B283" s="150">
        <v>271</v>
      </c>
      <c r="C283" s="153">
        <v>52779</v>
      </c>
      <c r="D283" s="151">
        <f t="shared" ca="1" si="52"/>
        <v>42644850.478717007</v>
      </c>
      <c r="E283" s="151">
        <f t="shared" ca="1" si="53"/>
        <v>306019.32180541131</v>
      </c>
      <c r="F283" s="151">
        <f t="shared" ca="1" si="54"/>
        <v>178219.37676565317</v>
      </c>
      <c r="G283" s="151">
        <f t="shared" ca="1" si="55"/>
        <v>127799.94503975814</v>
      </c>
      <c r="H283" s="151">
        <f ca="1">'HUD - Snapshot'!$K$10/12*D282</f>
        <v>8910.9688382826589</v>
      </c>
      <c r="I283" s="151">
        <f t="shared" ca="1" si="56"/>
        <v>314930.290643694</v>
      </c>
      <c r="J283" s="162"/>
      <c r="K283" s="152"/>
      <c r="L283" s="152"/>
      <c r="Q283"/>
      <c r="R283"/>
      <c r="S283"/>
      <c r="T283"/>
      <c r="U283"/>
      <c r="V283"/>
      <c r="W283"/>
      <c r="X283"/>
      <c r="Y283"/>
      <c r="Z283"/>
      <c r="AA283"/>
      <c r="AB283"/>
      <c r="AC283"/>
      <c r="AD283"/>
      <c r="AE283"/>
      <c r="AF283"/>
      <c r="AG283"/>
      <c r="AH283"/>
      <c r="AI283"/>
      <c r="AJ283"/>
      <c r="AK283"/>
      <c r="AL283"/>
      <c r="AM283"/>
      <c r="AN283"/>
      <c r="AO283"/>
      <c r="AP283"/>
      <c r="AQ283"/>
    </row>
    <row r="284" spans="2:43" s="150" customFormat="1" ht="15">
      <c r="B284" s="150">
        <v>272</v>
      </c>
      <c r="C284" s="153">
        <v>52810</v>
      </c>
      <c r="D284" s="151">
        <f t="shared" ca="1" si="52"/>
        <v>42516518.033906251</v>
      </c>
      <c r="E284" s="151">
        <f t="shared" ca="1" si="53"/>
        <v>306019.32180541131</v>
      </c>
      <c r="F284" s="151">
        <f t="shared" ca="1" si="54"/>
        <v>177686.87699465419</v>
      </c>
      <c r="G284" s="151">
        <f t="shared" ca="1" si="55"/>
        <v>128332.44481075712</v>
      </c>
      <c r="H284" s="151">
        <f ca="1">'HUD - Snapshot'!$K$10/12*D283</f>
        <v>8884.3438497327097</v>
      </c>
      <c r="I284" s="151">
        <f t="shared" ca="1" si="56"/>
        <v>314903.66565514402</v>
      </c>
      <c r="J284" s="162"/>
      <c r="K284" s="152"/>
      <c r="L284" s="152"/>
      <c r="Q284"/>
      <c r="R284"/>
      <c r="S284"/>
      <c r="T284"/>
      <c r="U284"/>
      <c r="V284"/>
      <c r="W284"/>
      <c r="X284"/>
      <c r="Y284"/>
      <c r="Z284"/>
      <c r="AA284"/>
      <c r="AB284"/>
      <c r="AC284"/>
      <c r="AD284"/>
      <c r="AE284"/>
      <c r="AF284"/>
      <c r="AG284"/>
      <c r="AH284"/>
      <c r="AI284"/>
      <c r="AJ284"/>
      <c r="AK284"/>
      <c r="AL284"/>
      <c r="AM284"/>
      <c r="AN284"/>
      <c r="AO284"/>
      <c r="AP284"/>
      <c r="AQ284"/>
    </row>
    <row r="285" spans="2:43" s="150" customFormat="1" ht="15">
      <c r="B285" s="150">
        <v>273</v>
      </c>
      <c r="C285" s="153">
        <v>52841</v>
      </c>
      <c r="D285" s="151">
        <f t="shared" ca="1" si="52"/>
        <v>42387650.87057545</v>
      </c>
      <c r="E285" s="151">
        <f t="shared" ca="1" si="53"/>
        <v>306019.32180541131</v>
      </c>
      <c r="F285" s="151">
        <f t="shared" ca="1" si="54"/>
        <v>177152.15847460937</v>
      </c>
      <c r="G285" s="151">
        <f t="shared" ca="1" si="55"/>
        <v>128867.16333080194</v>
      </c>
      <c r="H285" s="151">
        <f ca="1">'HUD - Snapshot'!$K$10/12*D284</f>
        <v>8857.6079237304693</v>
      </c>
      <c r="I285" s="151">
        <f t="shared" ca="1" si="56"/>
        <v>314876.92972914176</v>
      </c>
      <c r="J285" s="162"/>
      <c r="K285" s="152"/>
      <c r="L285" s="152"/>
      <c r="Q285"/>
      <c r="R285"/>
      <c r="S285"/>
      <c r="T285"/>
      <c r="U285"/>
      <c r="V285"/>
      <c r="W285"/>
      <c r="X285"/>
      <c r="Y285"/>
      <c r="Z285"/>
      <c r="AA285"/>
      <c r="AB285"/>
      <c r="AC285"/>
      <c r="AD285"/>
      <c r="AE285"/>
      <c r="AF285"/>
      <c r="AG285"/>
      <c r="AH285"/>
      <c r="AI285"/>
      <c r="AJ285"/>
      <c r="AK285"/>
      <c r="AL285"/>
      <c r="AM285"/>
      <c r="AN285"/>
      <c r="AO285"/>
      <c r="AP285"/>
      <c r="AQ285"/>
    </row>
    <row r="286" spans="2:43" s="150" customFormat="1" ht="15">
      <c r="B286" s="150">
        <v>274</v>
      </c>
      <c r="C286" s="153">
        <v>52871</v>
      </c>
      <c r="D286" s="151">
        <f t="shared" ca="1" si="52"/>
        <v>42258246.760730773</v>
      </c>
      <c r="E286" s="151">
        <f t="shared" ca="1" si="53"/>
        <v>306019.32180541131</v>
      </c>
      <c r="F286" s="151">
        <f t="shared" ca="1" si="54"/>
        <v>176615.21196073105</v>
      </c>
      <c r="G286" s="151">
        <f t="shared" ca="1" si="55"/>
        <v>129404.10984468026</v>
      </c>
      <c r="H286" s="151">
        <f ca="1">'HUD - Snapshot'!$K$10/12*D285</f>
        <v>8830.7605980365533</v>
      </c>
      <c r="I286" s="151">
        <f t="shared" ca="1" si="56"/>
        <v>314850.08240344789</v>
      </c>
      <c r="J286" s="162"/>
      <c r="K286" s="152"/>
      <c r="L286" s="152"/>
      <c r="Q286"/>
      <c r="R286"/>
      <c r="S286"/>
      <c r="T286"/>
      <c r="U286"/>
      <c r="V286"/>
      <c r="W286"/>
      <c r="X286"/>
      <c r="Y286"/>
      <c r="Z286"/>
      <c r="AA286"/>
      <c r="AB286"/>
      <c r="AC286"/>
      <c r="AD286"/>
      <c r="AE286"/>
      <c r="AF286"/>
      <c r="AG286"/>
      <c r="AH286"/>
      <c r="AI286"/>
      <c r="AJ286"/>
      <c r="AK286"/>
      <c r="AL286"/>
      <c r="AM286"/>
      <c r="AN286"/>
      <c r="AO286"/>
      <c r="AP286"/>
      <c r="AQ286"/>
    </row>
    <row r="287" spans="2:43" s="150" customFormat="1" ht="15">
      <c r="B287" s="150">
        <v>275</v>
      </c>
      <c r="C287" s="153">
        <v>52902</v>
      </c>
      <c r="D287" s="151">
        <f t="shared" ca="1" si="52"/>
        <v>42128303.467095077</v>
      </c>
      <c r="E287" s="151">
        <f t="shared" ca="1" si="53"/>
        <v>306019.32180541131</v>
      </c>
      <c r="F287" s="151">
        <f t="shared" ca="1" si="54"/>
        <v>176076.02816971156</v>
      </c>
      <c r="G287" s="151">
        <f t="shared" ca="1" si="55"/>
        <v>129943.29363569975</v>
      </c>
      <c r="H287" s="151">
        <f ca="1">'HUD - Snapshot'!$K$10/12*D286</f>
        <v>8803.8014084855786</v>
      </c>
      <c r="I287" s="151">
        <f t="shared" ca="1" si="56"/>
        <v>314823.12321389688</v>
      </c>
      <c r="J287" s="162"/>
      <c r="K287" s="152"/>
      <c r="L287" s="152"/>
      <c r="Q287"/>
      <c r="R287"/>
      <c r="S287"/>
      <c r="T287"/>
      <c r="U287"/>
      <c r="V287"/>
      <c r="W287"/>
      <c r="X287"/>
      <c r="Y287"/>
      <c r="Z287"/>
      <c r="AA287"/>
      <c r="AB287"/>
      <c r="AC287"/>
      <c r="AD287"/>
      <c r="AE287"/>
      <c r="AF287"/>
      <c r="AG287"/>
      <c r="AH287"/>
      <c r="AI287"/>
      <c r="AJ287"/>
      <c r="AK287"/>
      <c r="AL287"/>
      <c r="AM287"/>
      <c r="AN287"/>
      <c r="AO287"/>
      <c r="AP287"/>
      <c r="AQ287"/>
    </row>
    <row r="288" spans="2:43" s="150" customFormat="1" ht="15">
      <c r="B288" s="150">
        <v>276</v>
      </c>
      <c r="C288" s="153">
        <v>52932</v>
      </c>
      <c r="D288" s="151">
        <f t="shared" ca="1" si="52"/>
        <v>41997818.743069232</v>
      </c>
      <c r="E288" s="151">
        <f t="shared" ca="1" si="53"/>
        <v>306019.32180541131</v>
      </c>
      <c r="F288" s="151">
        <f t="shared" ca="1" si="54"/>
        <v>175534.59777956281</v>
      </c>
      <c r="G288" s="151">
        <f t="shared" ca="1" si="55"/>
        <v>130484.7240258485</v>
      </c>
      <c r="H288" s="151">
        <f ca="1">'HUD - Snapshot'!$K$10/12*D287</f>
        <v>8776.7298889781414</v>
      </c>
      <c r="I288" s="151">
        <f t="shared" ca="1" si="56"/>
        <v>314796.05169438943</v>
      </c>
      <c r="J288" s="162"/>
      <c r="K288" s="152">
        <f ca="1">SUM(I277:I288)</f>
        <v>3779314.8572245906</v>
      </c>
      <c r="L288" s="152">
        <f ca="1">SUM(F277:F288)</f>
        <v>2141659.9111931003</v>
      </c>
      <c r="Q288"/>
      <c r="R288"/>
      <c r="S288"/>
      <c r="T288"/>
      <c r="U288"/>
      <c r="V288"/>
      <c r="W288"/>
      <c r="X288"/>
      <c r="Y288"/>
      <c r="Z288"/>
      <c r="AA288"/>
      <c r="AB288"/>
      <c r="AC288"/>
      <c r="AD288"/>
      <c r="AE288"/>
      <c r="AF288"/>
      <c r="AG288"/>
      <c r="AH288"/>
      <c r="AI288"/>
      <c r="AJ288"/>
      <c r="AK288"/>
      <c r="AL288"/>
      <c r="AM288"/>
      <c r="AN288"/>
      <c r="AO288"/>
      <c r="AP288"/>
      <c r="AQ288"/>
    </row>
    <row r="289" spans="2:43" s="150" customFormat="1" ht="15">
      <c r="B289" s="150">
        <v>277</v>
      </c>
      <c r="C289" s="153">
        <v>52963</v>
      </c>
      <c r="D289" s="151">
        <f t="shared" ca="1" si="52"/>
        <v>41866790.332693279</v>
      </c>
      <c r="E289" s="151">
        <f t="shared" ca="1" si="53"/>
        <v>306019.32180541131</v>
      </c>
      <c r="F289" s="151">
        <f t="shared" ca="1" si="54"/>
        <v>174990.91142945513</v>
      </c>
      <c r="G289" s="151">
        <f t="shared" ca="1" si="55"/>
        <v>131028.41037595618</v>
      </c>
      <c r="H289" s="151">
        <f ca="1">'HUD - Snapshot'!$K$10/12*D288</f>
        <v>8749.5455714727577</v>
      </c>
      <c r="I289" s="151">
        <f t="shared" ca="1" si="56"/>
        <v>314768.8673768841</v>
      </c>
      <c r="J289" s="162"/>
      <c r="K289" s="152"/>
      <c r="L289" s="152"/>
      <c r="Q289"/>
      <c r="R289"/>
      <c r="S289"/>
      <c r="T289"/>
      <c r="U289"/>
      <c r="V289"/>
      <c r="W289"/>
      <c r="X289"/>
      <c r="Y289"/>
      <c r="Z289"/>
      <c r="AA289"/>
      <c r="AB289"/>
      <c r="AC289"/>
      <c r="AD289"/>
      <c r="AE289"/>
      <c r="AF289"/>
      <c r="AG289"/>
      <c r="AH289"/>
      <c r="AI289"/>
      <c r="AJ289"/>
      <c r="AK289"/>
      <c r="AL289"/>
      <c r="AM289"/>
      <c r="AN289"/>
      <c r="AO289"/>
      <c r="AP289"/>
      <c r="AQ289"/>
    </row>
    <row r="290" spans="2:43" s="150" customFormat="1" ht="15">
      <c r="B290" s="150">
        <v>278</v>
      </c>
      <c r="C290" s="153">
        <v>52994</v>
      </c>
      <c r="D290" s="151">
        <f t="shared" ca="1" si="52"/>
        <v>41735215.970607422</v>
      </c>
      <c r="E290" s="151">
        <f t="shared" ca="1" si="53"/>
        <v>306019.32180541131</v>
      </c>
      <c r="F290" s="151">
        <f t="shared" ca="1" si="54"/>
        <v>174444.95971955534</v>
      </c>
      <c r="G290" s="151">
        <f t="shared" ca="1" si="55"/>
        <v>131574.36208585597</v>
      </c>
      <c r="H290" s="151">
        <f ca="1">'HUD - Snapshot'!$K$10/12*D289</f>
        <v>8722.2479859777668</v>
      </c>
      <c r="I290" s="151">
        <f t="shared" ca="1" si="56"/>
        <v>314741.56979138905</v>
      </c>
      <c r="J290" s="162"/>
      <c r="K290" s="152"/>
      <c r="L290" s="152"/>
      <c r="Q290"/>
      <c r="R290"/>
      <c r="S290"/>
      <c r="T290"/>
      <c r="U290"/>
      <c r="V290"/>
      <c r="W290"/>
      <c r="X290"/>
      <c r="Y290"/>
      <c r="Z290"/>
      <c r="AA290"/>
      <c r="AB290"/>
      <c r="AC290"/>
      <c r="AD290"/>
      <c r="AE290"/>
      <c r="AF290"/>
      <c r="AG290"/>
      <c r="AH290"/>
      <c r="AI290"/>
      <c r="AJ290"/>
      <c r="AK290"/>
      <c r="AL290"/>
      <c r="AM290"/>
      <c r="AN290"/>
      <c r="AO290"/>
      <c r="AP290"/>
      <c r="AQ290"/>
    </row>
    <row r="291" spans="2:43" s="150" customFormat="1" ht="15">
      <c r="B291" s="150">
        <v>279</v>
      </c>
      <c r="C291" s="153">
        <v>53022</v>
      </c>
      <c r="D291" s="151">
        <f t="shared" ca="1" si="52"/>
        <v>41603093.382012874</v>
      </c>
      <c r="E291" s="151">
        <f t="shared" ca="1" si="53"/>
        <v>306019.32180541131</v>
      </c>
      <c r="F291" s="151">
        <f t="shared" ca="1" si="54"/>
        <v>173896.73321086424</v>
      </c>
      <c r="G291" s="151">
        <f t="shared" ca="1" si="55"/>
        <v>132122.58859454707</v>
      </c>
      <c r="H291" s="151">
        <f ca="1">'HUD - Snapshot'!$K$10/12*D290</f>
        <v>8694.8366605432129</v>
      </c>
      <c r="I291" s="151">
        <f t="shared" ca="1" si="56"/>
        <v>314714.15846595453</v>
      </c>
      <c r="J291" s="162"/>
      <c r="K291" s="152"/>
      <c r="L291" s="152"/>
      <c r="Q291"/>
      <c r="R291"/>
      <c r="S291"/>
      <c r="T291"/>
      <c r="U291"/>
      <c r="V291"/>
      <c r="W291"/>
      <c r="X291"/>
      <c r="Y291"/>
      <c r="Z291"/>
      <c r="AA291"/>
      <c r="AB291"/>
      <c r="AC291"/>
      <c r="AD291"/>
      <c r="AE291"/>
      <c r="AF291"/>
      <c r="AG291"/>
      <c r="AH291"/>
      <c r="AI291"/>
      <c r="AJ291"/>
      <c r="AK291"/>
      <c r="AL291"/>
      <c r="AM291"/>
      <c r="AN291"/>
      <c r="AO291"/>
      <c r="AP291"/>
      <c r="AQ291"/>
    </row>
    <row r="292" spans="2:43" s="150" customFormat="1" ht="15">
      <c r="B292" s="150">
        <v>280</v>
      </c>
      <c r="C292" s="153">
        <v>53053</v>
      </c>
      <c r="D292" s="151">
        <f t="shared" ca="1" si="52"/>
        <v>41470420.282632515</v>
      </c>
      <c r="E292" s="151">
        <f t="shared" ca="1" si="53"/>
        <v>306019.32180541131</v>
      </c>
      <c r="F292" s="151">
        <f t="shared" ca="1" si="54"/>
        <v>173346.22242505365</v>
      </c>
      <c r="G292" s="151">
        <f t="shared" ca="1" si="55"/>
        <v>132673.09938035766</v>
      </c>
      <c r="H292" s="151">
        <f ca="1">'HUD - Snapshot'!$K$10/12*D291</f>
        <v>8667.3111212526819</v>
      </c>
      <c r="I292" s="151">
        <f t="shared" ca="1" si="56"/>
        <v>314686.63292666397</v>
      </c>
      <c r="J292" s="162"/>
      <c r="K292" s="152"/>
      <c r="L292" s="152"/>
      <c r="Q292"/>
      <c r="R292"/>
      <c r="S292"/>
      <c r="T292"/>
      <c r="U292"/>
      <c r="V292"/>
      <c r="W292"/>
      <c r="X292"/>
      <c r="Y292"/>
      <c r="Z292"/>
      <c r="AA292"/>
      <c r="AB292"/>
      <c r="AC292"/>
      <c r="AD292"/>
      <c r="AE292"/>
      <c r="AF292"/>
      <c r="AG292"/>
      <c r="AH292"/>
      <c r="AI292"/>
      <c r="AJ292"/>
      <c r="AK292"/>
      <c r="AL292"/>
      <c r="AM292"/>
      <c r="AN292"/>
      <c r="AO292"/>
      <c r="AP292"/>
      <c r="AQ292"/>
    </row>
    <row r="293" spans="2:43" s="150" customFormat="1" ht="15">
      <c r="B293" s="150">
        <v>281</v>
      </c>
      <c r="C293" s="153">
        <v>53083</v>
      </c>
      <c r="D293" s="151">
        <f t="shared" ca="1" si="52"/>
        <v>41337194.378671408</v>
      </c>
      <c r="E293" s="151">
        <f t="shared" ca="1" si="53"/>
        <v>306019.32180541131</v>
      </c>
      <c r="F293" s="151">
        <f t="shared" ca="1" si="54"/>
        <v>172793.41784430214</v>
      </c>
      <c r="G293" s="151">
        <f t="shared" ca="1" si="55"/>
        <v>133225.90396110917</v>
      </c>
      <c r="H293" s="151">
        <f ca="1">'HUD - Snapshot'!$K$10/12*D292</f>
        <v>8639.6708922151083</v>
      </c>
      <c r="I293" s="151">
        <f t="shared" ca="1" si="56"/>
        <v>314658.99269762641</v>
      </c>
      <c r="J293" s="162"/>
      <c r="K293" s="152"/>
      <c r="L293" s="152"/>
      <c r="Q293"/>
      <c r="R293"/>
      <c r="S293"/>
      <c r="T293"/>
      <c r="U293"/>
      <c r="V293"/>
      <c r="W293"/>
      <c r="X293"/>
      <c r="Y293"/>
      <c r="Z293"/>
      <c r="AA293"/>
      <c r="AB293"/>
      <c r="AC293"/>
      <c r="AD293"/>
      <c r="AE293"/>
      <c r="AF293"/>
      <c r="AG293"/>
      <c r="AH293"/>
      <c r="AI293"/>
      <c r="AJ293"/>
      <c r="AK293"/>
      <c r="AL293"/>
      <c r="AM293"/>
      <c r="AN293"/>
      <c r="AO293"/>
      <c r="AP293"/>
      <c r="AQ293"/>
    </row>
    <row r="294" spans="2:43" s="150" customFormat="1" ht="15">
      <c r="B294" s="150">
        <v>282</v>
      </c>
      <c r="C294" s="153">
        <v>53114</v>
      </c>
      <c r="D294" s="151">
        <f t="shared" ca="1" si="52"/>
        <v>41203413.366777129</v>
      </c>
      <c r="E294" s="151">
        <f t="shared" ca="1" si="53"/>
        <v>306019.32180541131</v>
      </c>
      <c r="F294" s="151">
        <f t="shared" ca="1" si="54"/>
        <v>172238.30991113087</v>
      </c>
      <c r="G294" s="151">
        <f t="shared" ca="1" si="55"/>
        <v>133781.01189428044</v>
      </c>
      <c r="H294" s="151">
        <f ca="1">'HUD - Snapshot'!$K$10/12*D293</f>
        <v>8611.9154955565446</v>
      </c>
      <c r="I294" s="151">
        <f t="shared" ca="1" si="56"/>
        <v>314631.23730096786</v>
      </c>
      <c r="J294" s="162"/>
      <c r="K294" s="152"/>
      <c r="L294" s="152"/>
      <c r="Q294"/>
      <c r="R294"/>
      <c r="S294"/>
      <c r="T294"/>
      <c r="U294"/>
      <c r="V294"/>
      <c r="W294"/>
      <c r="X294"/>
      <c r="Y294"/>
      <c r="Z294"/>
      <c r="AA294"/>
      <c r="AB294"/>
      <c r="AC294"/>
      <c r="AD294"/>
      <c r="AE294"/>
      <c r="AF294"/>
      <c r="AG294"/>
      <c r="AH294"/>
      <c r="AI294"/>
      <c r="AJ294"/>
      <c r="AK294"/>
      <c r="AL294"/>
      <c r="AM294"/>
      <c r="AN294"/>
      <c r="AO294"/>
      <c r="AP294"/>
      <c r="AQ294"/>
    </row>
    <row r="295" spans="2:43" s="150" customFormat="1" ht="15">
      <c r="B295" s="150">
        <v>283</v>
      </c>
      <c r="C295" s="153">
        <v>53144</v>
      </c>
      <c r="D295" s="151">
        <f t="shared" ca="1" si="52"/>
        <v>41069074.933999956</v>
      </c>
      <c r="E295" s="151">
        <f t="shared" ca="1" si="53"/>
        <v>306019.32180541131</v>
      </c>
      <c r="F295" s="151">
        <f t="shared" ca="1" si="54"/>
        <v>171680.88902823805</v>
      </c>
      <c r="G295" s="151">
        <f t="shared" ca="1" si="55"/>
        <v>134338.43277717326</v>
      </c>
      <c r="H295" s="151">
        <f ca="1">'HUD - Snapshot'!$K$10/12*D294</f>
        <v>8584.0444514119026</v>
      </c>
      <c r="I295" s="151">
        <f t="shared" ca="1" si="56"/>
        <v>314603.36625682324</v>
      </c>
      <c r="J295" s="162"/>
      <c r="K295" s="152"/>
      <c r="L295" s="152"/>
      <c r="Q295"/>
      <c r="R295"/>
      <c r="S295"/>
      <c r="T295"/>
      <c r="U295"/>
      <c r="V295"/>
      <c r="W295"/>
      <c r="X295"/>
      <c r="Y295"/>
      <c r="Z295"/>
      <c r="AA295"/>
      <c r="AB295"/>
      <c r="AC295"/>
      <c r="AD295"/>
      <c r="AE295"/>
      <c r="AF295"/>
      <c r="AG295"/>
      <c r="AH295"/>
      <c r="AI295"/>
      <c r="AJ295"/>
      <c r="AK295"/>
      <c r="AL295"/>
      <c r="AM295"/>
      <c r="AN295"/>
      <c r="AO295"/>
      <c r="AP295"/>
      <c r="AQ295"/>
    </row>
    <row r="296" spans="2:43" s="150" customFormat="1" ht="15">
      <c r="B296" s="150">
        <v>284</v>
      </c>
      <c r="C296" s="153">
        <v>53175</v>
      </c>
      <c r="D296" s="151">
        <f t="shared" ca="1" si="52"/>
        <v>40934176.75775288</v>
      </c>
      <c r="E296" s="151">
        <f t="shared" ca="1" si="53"/>
        <v>306019.32180541131</v>
      </c>
      <c r="F296" s="151">
        <f t="shared" ca="1" si="54"/>
        <v>171121.14555833314</v>
      </c>
      <c r="G296" s="151">
        <f t="shared" ca="1" si="55"/>
        <v>134898.17624707817</v>
      </c>
      <c r="H296" s="151">
        <f ca="1">'HUD - Snapshot'!$K$10/12*D295</f>
        <v>8556.0572779166578</v>
      </c>
      <c r="I296" s="151">
        <f t="shared" ca="1" si="56"/>
        <v>314575.37908332795</v>
      </c>
      <c r="J296" s="162"/>
      <c r="K296" s="152"/>
      <c r="L296" s="152"/>
      <c r="Q296"/>
      <c r="R296"/>
      <c r="S296"/>
      <c r="T296"/>
      <c r="U296"/>
      <c r="V296"/>
      <c r="W296"/>
      <c r="X296"/>
      <c r="Y296"/>
      <c r="Z296"/>
      <c r="AA296"/>
      <c r="AB296"/>
      <c r="AC296"/>
      <c r="AD296"/>
      <c r="AE296"/>
      <c r="AF296"/>
      <c r="AG296"/>
      <c r="AH296"/>
      <c r="AI296"/>
      <c r="AJ296"/>
      <c r="AK296"/>
      <c r="AL296"/>
      <c r="AM296"/>
      <c r="AN296"/>
      <c r="AO296"/>
      <c r="AP296"/>
      <c r="AQ296"/>
    </row>
    <row r="297" spans="2:43" s="150" customFormat="1" ht="15">
      <c r="B297" s="150">
        <v>285</v>
      </c>
      <c r="C297" s="153">
        <v>53206</v>
      </c>
      <c r="D297" s="151">
        <f t="shared" ca="1" si="52"/>
        <v>40798716.505771436</v>
      </c>
      <c r="E297" s="151">
        <f t="shared" ca="1" si="53"/>
        <v>306019.32180541131</v>
      </c>
      <c r="F297" s="151">
        <f t="shared" ca="1" si="54"/>
        <v>170559.06982397032</v>
      </c>
      <c r="G297" s="151">
        <f t="shared" ca="1" si="55"/>
        <v>135460.25198144099</v>
      </c>
      <c r="H297" s="151">
        <f ca="1">'HUD - Snapshot'!$K$10/12*D296</f>
        <v>8527.9534911985174</v>
      </c>
      <c r="I297" s="151">
        <f t="shared" ca="1" si="56"/>
        <v>314547.27529660985</v>
      </c>
      <c r="J297" s="162"/>
      <c r="K297" s="152"/>
      <c r="L297" s="152"/>
      <c r="Q297"/>
      <c r="R297"/>
      <c r="S297"/>
      <c r="T297"/>
      <c r="U297"/>
      <c r="V297"/>
      <c r="W297"/>
      <c r="X297"/>
      <c r="Y297"/>
      <c r="Z297"/>
      <c r="AA297"/>
      <c r="AB297"/>
      <c r="AC297"/>
      <c r="AD297"/>
      <c r="AE297"/>
      <c r="AF297"/>
      <c r="AG297"/>
      <c r="AH297"/>
      <c r="AI297"/>
      <c r="AJ297"/>
      <c r="AK297"/>
      <c r="AL297"/>
      <c r="AM297"/>
      <c r="AN297"/>
      <c r="AO297"/>
      <c r="AP297"/>
      <c r="AQ297"/>
    </row>
    <row r="298" spans="2:43" s="150" customFormat="1" ht="15">
      <c r="B298" s="150">
        <v>286</v>
      </c>
      <c r="C298" s="153">
        <v>53236</v>
      </c>
      <c r="D298" s="151">
        <f t="shared" ca="1" si="52"/>
        <v>40662691.836073406</v>
      </c>
      <c r="E298" s="151">
        <f t="shared" ca="1" si="53"/>
        <v>306019.32180541131</v>
      </c>
      <c r="F298" s="151">
        <f t="shared" ca="1" si="54"/>
        <v>169994.65210738097</v>
      </c>
      <c r="G298" s="151">
        <f t="shared" ca="1" si="55"/>
        <v>136024.66969803034</v>
      </c>
      <c r="H298" s="151">
        <f ca="1">'HUD - Snapshot'!$K$10/12*D297</f>
        <v>8499.7326053690504</v>
      </c>
      <c r="I298" s="151">
        <f t="shared" ca="1" si="56"/>
        <v>314519.05441078037</v>
      </c>
      <c r="J298" s="162"/>
      <c r="K298" s="152"/>
      <c r="L298" s="152"/>
      <c r="Q298"/>
      <c r="R298"/>
      <c r="S298"/>
      <c r="T298"/>
      <c r="U298"/>
      <c r="V298"/>
      <c r="W298"/>
      <c r="X298"/>
      <c r="Y298"/>
      <c r="Z298"/>
      <c r="AA298"/>
      <c r="AB298"/>
      <c r="AC298"/>
      <c r="AD298"/>
      <c r="AE298"/>
      <c r="AF298"/>
      <c r="AG298"/>
      <c r="AH298"/>
      <c r="AI298"/>
      <c r="AJ298"/>
      <c r="AK298"/>
      <c r="AL298"/>
      <c r="AM298"/>
      <c r="AN298"/>
      <c r="AO298"/>
      <c r="AP298"/>
      <c r="AQ298"/>
    </row>
    <row r="299" spans="2:43" s="150" customFormat="1" ht="15">
      <c r="B299" s="150">
        <v>287</v>
      </c>
      <c r="C299" s="153">
        <v>53267</v>
      </c>
      <c r="D299" s="151">
        <f t="shared" ca="1" si="52"/>
        <v>40526100.396918304</v>
      </c>
      <c r="E299" s="151">
        <f t="shared" ca="1" si="53"/>
        <v>306019.32180541131</v>
      </c>
      <c r="F299" s="151">
        <f t="shared" ca="1" si="54"/>
        <v>169427.88265030587</v>
      </c>
      <c r="G299" s="151">
        <f t="shared" ca="1" si="55"/>
        <v>136591.43915510544</v>
      </c>
      <c r="H299" s="151">
        <f ca="1">'HUD - Snapshot'!$K$10/12*D298</f>
        <v>8471.3941325152937</v>
      </c>
      <c r="I299" s="151">
        <f t="shared" ca="1" si="56"/>
        <v>314490.71593792661</v>
      </c>
      <c r="J299" s="162"/>
      <c r="K299" s="152"/>
      <c r="L299" s="152"/>
      <c r="Q299"/>
      <c r="R299"/>
      <c r="S299"/>
      <c r="T299"/>
      <c r="U299"/>
      <c r="V299"/>
      <c r="W299"/>
      <c r="X299"/>
      <c r="Y299"/>
      <c r="Z299"/>
      <c r="AA299"/>
      <c r="AB299"/>
      <c r="AC299"/>
      <c r="AD299"/>
      <c r="AE299"/>
      <c r="AF299"/>
      <c r="AG299"/>
      <c r="AH299"/>
      <c r="AI299"/>
      <c r="AJ299"/>
      <c r="AK299"/>
      <c r="AL299"/>
      <c r="AM299"/>
      <c r="AN299"/>
      <c r="AO299"/>
      <c r="AP299"/>
      <c r="AQ299"/>
    </row>
    <row r="300" spans="2:43" s="150" customFormat="1" ht="15">
      <c r="B300" s="150">
        <v>288</v>
      </c>
      <c r="C300" s="153">
        <v>53297</v>
      </c>
      <c r="D300" s="151">
        <f t="shared" ca="1" si="52"/>
        <v>40388939.826766722</v>
      </c>
      <c r="E300" s="151">
        <f t="shared" ca="1" si="53"/>
        <v>306019.32180541131</v>
      </c>
      <c r="F300" s="151">
        <f t="shared" ca="1" si="54"/>
        <v>168858.75165382627</v>
      </c>
      <c r="G300" s="151">
        <f t="shared" ca="1" si="55"/>
        <v>137160.57015158504</v>
      </c>
      <c r="H300" s="151">
        <f ca="1">'HUD - Snapshot'!$K$10/12*D299</f>
        <v>8442.9375826913147</v>
      </c>
      <c r="I300" s="151">
        <f t="shared" ca="1" si="56"/>
        <v>314462.25938810263</v>
      </c>
      <c r="J300" s="162"/>
      <c r="K300" s="152">
        <f ca="1">SUM(I289:I300)</f>
        <v>3775399.5089330561</v>
      </c>
      <c r="L300" s="152">
        <f ca="1">SUM(F289:F300)</f>
        <v>2063352.9453624161</v>
      </c>
      <c r="Q300"/>
      <c r="R300"/>
      <c r="S300"/>
      <c r="T300"/>
      <c r="U300"/>
      <c r="V300"/>
      <c r="W300"/>
      <c r="X300"/>
      <c r="Y300"/>
      <c r="Z300"/>
      <c r="AA300"/>
      <c r="AB300"/>
      <c r="AC300"/>
      <c r="AD300"/>
      <c r="AE300"/>
      <c r="AF300"/>
      <c r="AG300"/>
      <c r="AH300"/>
      <c r="AI300"/>
      <c r="AJ300"/>
      <c r="AK300"/>
      <c r="AL300"/>
      <c r="AM300"/>
      <c r="AN300"/>
      <c r="AO300"/>
      <c r="AP300"/>
      <c r="AQ300"/>
    </row>
    <row r="301" spans="2:43" s="150" customFormat="1" ht="15">
      <c r="B301" s="150">
        <v>289</v>
      </c>
      <c r="C301" s="153">
        <v>53328</v>
      </c>
      <c r="D301" s="151">
        <f t="shared" ca="1" si="52"/>
        <v>40251207.754239507</v>
      </c>
      <c r="E301" s="151">
        <f t="shared" ca="1" si="53"/>
        <v>306019.32180541131</v>
      </c>
      <c r="F301" s="151">
        <f t="shared" ca="1" si="54"/>
        <v>168287.24927819468</v>
      </c>
      <c r="G301" s="151">
        <f t="shared" ca="1" si="55"/>
        <v>137732.07252721663</v>
      </c>
      <c r="H301" s="151">
        <f ca="1">'HUD - Snapshot'!$K$10/12*D300</f>
        <v>8414.3624639097343</v>
      </c>
      <c r="I301" s="151">
        <f t="shared" ca="1" si="56"/>
        <v>314433.68426932103</v>
      </c>
      <c r="J301" s="162"/>
      <c r="K301" s="152"/>
      <c r="L301" s="152"/>
      <c r="Q301"/>
      <c r="R301"/>
      <c r="S301"/>
      <c r="T301"/>
      <c r="U301"/>
      <c r="V301"/>
      <c r="W301"/>
      <c r="X301"/>
      <c r="Y301"/>
      <c r="Z301"/>
      <c r="AA301"/>
      <c r="AB301"/>
      <c r="AC301"/>
      <c r="AD301"/>
      <c r="AE301"/>
      <c r="AF301"/>
      <c r="AG301"/>
      <c r="AH301"/>
      <c r="AI301"/>
      <c r="AJ301"/>
      <c r="AK301"/>
      <c r="AL301"/>
      <c r="AM301"/>
      <c r="AN301"/>
      <c r="AO301"/>
      <c r="AP301"/>
      <c r="AQ301"/>
    </row>
    <row r="302" spans="2:43" s="150" customFormat="1" ht="15">
      <c r="B302" s="150">
        <v>290</v>
      </c>
      <c r="C302" s="153">
        <v>53359</v>
      </c>
      <c r="D302" s="151">
        <f t="shared" ca="1" si="52"/>
        <v>40112901.798076764</v>
      </c>
      <c r="E302" s="151">
        <f t="shared" ca="1" si="53"/>
        <v>306019.32180541131</v>
      </c>
      <c r="F302" s="151">
        <f t="shared" ca="1" si="54"/>
        <v>167713.3656426646</v>
      </c>
      <c r="G302" s="151">
        <f t="shared" ca="1" si="55"/>
        <v>138305.9561627467</v>
      </c>
      <c r="H302" s="151">
        <f ca="1">'HUD - Snapshot'!$K$10/12*D301</f>
        <v>8385.6682821332306</v>
      </c>
      <c r="I302" s="151">
        <f t="shared" ca="1" si="56"/>
        <v>314404.99008754455</v>
      </c>
      <c r="J302" s="162"/>
      <c r="K302" s="152"/>
      <c r="L302" s="152"/>
      <c r="Q302"/>
      <c r="R302"/>
      <c r="S302"/>
      <c r="T302"/>
      <c r="U302"/>
      <c r="V302"/>
      <c r="W302"/>
      <c r="X302"/>
      <c r="Y302"/>
      <c r="Z302"/>
      <c r="AA302"/>
      <c r="AB302"/>
      <c r="AC302"/>
      <c r="AD302"/>
      <c r="AE302"/>
      <c r="AF302"/>
      <c r="AG302"/>
      <c r="AH302"/>
      <c r="AI302"/>
      <c r="AJ302"/>
      <c r="AK302"/>
      <c r="AL302"/>
      <c r="AM302"/>
      <c r="AN302"/>
      <c r="AO302"/>
      <c r="AP302"/>
      <c r="AQ302"/>
    </row>
    <row r="303" spans="2:43" s="150" customFormat="1" ht="15">
      <c r="B303" s="150">
        <v>291</v>
      </c>
      <c r="C303" s="153">
        <v>53387</v>
      </c>
      <c r="D303" s="151">
        <f t="shared" ca="1" si="52"/>
        <v>39974019.567096673</v>
      </c>
      <c r="E303" s="151">
        <f t="shared" ca="1" si="53"/>
        <v>306019.32180541131</v>
      </c>
      <c r="F303" s="151">
        <f t="shared" ca="1" si="54"/>
        <v>167137.09082531984</v>
      </c>
      <c r="G303" s="151">
        <f t="shared" ca="1" si="55"/>
        <v>138882.23098009147</v>
      </c>
      <c r="H303" s="151">
        <f ca="1">'HUD - Snapshot'!$K$10/12*D302</f>
        <v>8356.8545412659932</v>
      </c>
      <c r="I303" s="151">
        <f t="shared" ca="1" si="56"/>
        <v>314376.1763466773</v>
      </c>
      <c r="J303" s="162"/>
      <c r="K303" s="152"/>
      <c r="L303" s="152"/>
      <c r="Q303"/>
      <c r="R303"/>
      <c r="S303"/>
      <c r="T303"/>
      <c r="U303"/>
      <c r="V303"/>
      <c r="W303"/>
      <c r="X303"/>
      <c r="Y303"/>
      <c r="Z303"/>
      <c r="AA303"/>
      <c r="AB303"/>
      <c r="AC303"/>
      <c r="AD303"/>
      <c r="AE303"/>
      <c r="AF303"/>
      <c r="AG303"/>
      <c r="AH303"/>
      <c r="AI303"/>
      <c r="AJ303"/>
      <c r="AK303"/>
      <c r="AL303"/>
      <c r="AM303"/>
      <c r="AN303"/>
      <c r="AO303"/>
      <c r="AP303"/>
      <c r="AQ303"/>
    </row>
    <row r="304" spans="2:43" s="150" customFormat="1" ht="15">
      <c r="B304" s="150">
        <v>292</v>
      </c>
      <c r="C304" s="153">
        <v>53418</v>
      </c>
      <c r="D304" s="151">
        <f t="shared" ca="1" si="52"/>
        <v>39834558.660154164</v>
      </c>
      <c r="E304" s="151">
        <f t="shared" ca="1" si="53"/>
        <v>306019.32180541131</v>
      </c>
      <c r="F304" s="151">
        <f t="shared" ca="1" si="54"/>
        <v>166558.41486290281</v>
      </c>
      <c r="G304" s="151">
        <f t="shared" ca="1" si="55"/>
        <v>139460.9069425085</v>
      </c>
      <c r="H304" s="151">
        <f ca="1">'HUD - Snapshot'!$K$10/12*D303</f>
        <v>8327.9207431451414</v>
      </c>
      <c r="I304" s="151">
        <f t="shared" ca="1" si="56"/>
        <v>314347.24254855647</v>
      </c>
      <c r="J304" s="162"/>
      <c r="K304" s="152"/>
      <c r="L304" s="152"/>
      <c r="Q304"/>
      <c r="R304"/>
      <c r="S304"/>
      <c r="T304"/>
      <c r="U304"/>
      <c r="V304"/>
      <c r="W304"/>
      <c r="X304"/>
      <c r="Y304"/>
      <c r="Z304"/>
      <c r="AA304"/>
      <c r="AB304"/>
      <c r="AC304"/>
      <c r="AD304"/>
      <c r="AE304"/>
      <c r="AF304"/>
      <c r="AG304"/>
      <c r="AH304"/>
      <c r="AI304"/>
      <c r="AJ304"/>
      <c r="AK304"/>
      <c r="AL304"/>
      <c r="AM304"/>
      <c r="AN304"/>
      <c r="AO304"/>
      <c r="AP304"/>
      <c r="AQ304"/>
    </row>
    <row r="305" spans="2:43" s="150" customFormat="1" ht="15">
      <c r="B305" s="150">
        <v>293</v>
      </c>
      <c r="C305" s="153">
        <v>53448</v>
      </c>
      <c r="D305" s="151">
        <f t="shared" ca="1" si="52"/>
        <v>39694516.666099392</v>
      </c>
      <c r="E305" s="151">
        <f t="shared" ca="1" si="53"/>
        <v>306019.32180541131</v>
      </c>
      <c r="F305" s="151">
        <f t="shared" ca="1" si="54"/>
        <v>165977.32775064235</v>
      </c>
      <c r="G305" s="151">
        <f t="shared" ca="1" si="55"/>
        <v>140041.99405476896</v>
      </c>
      <c r="H305" s="151">
        <f ca="1">'HUD - Snapshot'!$K$10/12*D304</f>
        <v>8298.8663875321181</v>
      </c>
      <c r="I305" s="151">
        <f t="shared" ca="1" si="56"/>
        <v>314318.1881929434</v>
      </c>
      <c r="J305" s="162"/>
      <c r="K305" s="152"/>
      <c r="L305" s="152"/>
      <c r="Q305"/>
      <c r="R305"/>
      <c r="S305"/>
      <c r="T305"/>
      <c r="U305"/>
      <c r="V305"/>
      <c r="W305"/>
      <c r="X305"/>
      <c r="Y305"/>
      <c r="Z305"/>
      <c r="AA305"/>
      <c r="AB305"/>
      <c r="AC305"/>
      <c r="AD305"/>
      <c r="AE305"/>
      <c r="AF305"/>
      <c r="AG305"/>
      <c r="AH305"/>
      <c r="AI305"/>
      <c r="AJ305"/>
      <c r="AK305"/>
      <c r="AL305"/>
      <c r="AM305"/>
      <c r="AN305"/>
      <c r="AO305"/>
      <c r="AP305"/>
      <c r="AQ305"/>
    </row>
    <row r="306" spans="2:43" s="150" customFormat="1" ht="15">
      <c r="B306" s="150">
        <v>294</v>
      </c>
      <c r="C306" s="153">
        <v>53479</v>
      </c>
      <c r="D306" s="151">
        <f t="shared" ca="1" si="52"/>
        <v>39553891.16373606</v>
      </c>
      <c r="E306" s="151">
        <f t="shared" ca="1" si="53"/>
        <v>306019.32180541131</v>
      </c>
      <c r="F306" s="151">
        <f t="shared" ca="1" si="54"/>
        <v>165393.8194420808</v>
      </c>
      <c r="G306" s="151">
        <f t="shared" ca="1" si="55"/>
        <v>140625.50236333051</v>
      </c>
      <c r="H306" s="151">
        <f ca="1">'HUD - Snapshot'!$K$10/12*D305</f>
        <v>8269.6909721040411</v>
      </c>
      <c r="I306" s="151">
        <f t="shared" ca="1" si="56"/>
        <v>314289.01277751534</v>
      </c>
      <c r="J306" s="162"/>
      <c r="K306" s="152"/>
      <c r="L306" s="152"/>
      <c r="Q306"/>
      <c r="R306"/>
      <c r="S306"/>
      <c r="T306"/>
      <c r="U306"/>
      <c r="V306"/>
      <c r="W306"/>
      <c r="X306"/>
      <c r="Y306"/>
      <c r="Z306"/>
      <c r="AA306"/>
      <c r="AB306"/>
      <c r="AC306"/>
      <c r="AD306"/>
      <c r="AE306"/>
      <c r="AF306"/>
      <c r="AG306"/>
      <c r="AH306"/>
      <c r="AI306"/>
      <c r="AJ306"/>
      <c r="AK306"/>
      <c r="AL306"/>
      <c r="AM306"/>
      <c r="AN306"/>
      <c r="AO306"/>
      <c r="AP306"/>
      <c r="AQ306"/>
    </row>
    <row r="307" spans="2:43" s="150" customFormat="1" ht="15">
      <c r="B307" s="150">
        <v>295</v>
      </c>
      <c r="C307" s="153">
        <v>53509</v>
      </c>
      <c r="D307" s="151">
        <f t="shared" ca="1" si="52"/>
        <v>39412679.721779548</v>
      </c>
      <c r="E307" s="151">
        <f t="shared" ca="1" si="53"/>
        <v>306019.32180541131</v>
      </c>
      <c r="F307" s="151">
        <f t="shared" ca="1" si="54"/>
        <v>164807.87984890025</v>
      </c>
      <c r="G307" s="151">
        <f t="shared" ca="1" si="55"/>
        <v>141211.44195651106</v>
      </c>
      <c r="H307" s="151">
        <f ca="1">'HUD - Snapshot'!$K$10/12*D306</f>
        <v>8240.3939924450133</v>
      </c>
      <c r="I307" s="151">
        <f t="shared" ca="1" si="56"/>
        <v>314259.71579785633</v>
      </c>
      <c r="J307" s="162"/>
      <c r="K307" s="152"/>
      <c r="L307" s="152"/>
      <c r="Q307"/>
      <c r="R307"/>
      <c r="S307"/>
      <c r="T307"/>
      <c r="U307"/>
      <c r="V307"/>
      <c r="W307"/>
      <c r="X307"/>
      <c r="Y307"/>
      <c r="Z307"/>
      <c r="AA307"/>
      <c r="AB307"/>
      <c r="AC307"/>
      <c r="AD307"/>
      <c r="AE307"/>
      <c r="AF307"/>
      <c r="AG307"/>
      <c r="AH307"/>
      <c r="AI307"/>
      <c r="AJ307"/>
      <c r="AK307"/>
      <c r="AL307"/>
      <c r="AM307"/>
      <c r="AN307"/>
      <c r="AO307"/>
      <c r="AP307"/>
      <c r="AQ307"/>
    </row>
    <row r="308" spans="2:43" s="150" customFormat="1" ht="15">
      <c r="B308" s="150">
        <v>296</v>
      </c>
      <c r="C308" s="153">
        <v>53540</v>
      </c>
      <c r="D308" s="151">
        <f t="shared" ca="1" si="52"/>
        <v>39270879.898814887</v>
      </c>
      <c r="E308" s="151">
        <f t="shared" ca="1" si="53"/>
        <v>306019.32180541131</v>
      </c>
      <c r="F308" s="151">
        <f t="shared" ca="1" si="54"/>
        <v>164219.4988407481</v>
      </c>
      <c r="G308" s="151">
        <f t="shared" ca="1" si="55"/>
        <v>141799.82296466321</v>
      </c>
      <c r="H308" s="151">
        <f ca="1">'HUD - Snapshot'!$K$10/12*D307</f>
        <v>8210.9749420374064</v>
      </c>
      <c r="I308" s="151">
        <f t="shared" ca="1" si="56"/>
        <v>314230.29674744874</v>
      </c>
      <c r="J308" s="162"/>
      <c r="K308" s="152"/>
      <c r="L308" s="152"/>
      <c r="Q308"/>
      <c r="R308"/>
      <c r="S308"/>
      <c r="T308"/>
      <c r="U308"/>
      <c r="V308"/>
      <c r="W308"/>
      <c r="X308"/>
      <c r="Y308"/>
      <c r="Z308"/>
      <c r="AA308"/>
      <c r="AB308"/>
      <c r="AC308"/>
      <c r="AD308"/>
      <c r="AE308"/>
      <c r="AF308"/>
      <c r="AG308"/>
      <c r="AH308"/>
      <c r="AI308"/>
      <c r="AJ308"/>
      <c r="AK308"/>
      <c r="AL308"/>
      <c r="AM308"/>
      <c r="AN308"/>
      <c r="AO308"/>
      <c r="AP308"/>
      <c r="AQ308"/>
    </row>
    <row r="309" spans="2:43" s="150" customFormat="1" ht="15">
      <c r="B309" s="150">
        <v>297</v>
      </c>
      <c r="C309" s="153">
        <v>53571</v>
      </c>
      <c r="D309" s="151">
        <f t="shared" ca="1" si="52"/>
        <v>39128489.243254535</v>
      </c>
      <c r="E309" s="151">
        <f t="shared" ca="1" si="53"/>
        <v>306019.32180541131</v>
      </c>
      <c r="F309" s="151">
        <f t="shared" ca="1" si="54"/>
        <v>163628.66624506202</v>
      </c>
      <c r="G309" s="151">
        <f t="shared" ca="1" si="55"/>
        <v>142390.65556034929</v>
      </c>
      <c r="H309" s="151">
        <f ca="1">'HUD - Snapshot'!$K$10/12*D308</f>
        <v>8181.4333122531016</v>
      </c>
      <c r="I309" s="151">
        <f t="shared" ca="1" si="56"/>
        <v>314200.7551176644</v>
      </c>
      <c r="J309" s="162"/>
      <c r="K309" s="152"/>
      <c r="L309" s="152"/>
      <c r="Q309"/>
      <c r="R309"/>
      <c r="S309"/>
      <c r="T309"/>
      <c r="U309"/>
      <c r="V309"/>
      <c r="W309"/>
      <c r="X309"/>
      <c r="Y309"/>
      <c r="Z309"/>
      <c r="AA309"/>
      <c r="AB309"/>
      <c r="AC309"/>
      <c r="AD309"/>
      <c r="AE309"/>
      <c r="AF309"/>
      <c r="AG309"/>
      <c r="AH309"/>
      <c r="AI309"/>
      <c r="AJ309"/>
      <c r="AK309"/>
      <c r="AL309"/>
      <c r="AM309"/>
      <c r="AN309"/>
      <c r="AO309"/>
      <c r="AP309"/>
      <c r="AQ309"/>
    </row>
    <row r="310" spans="2:43" s="150" customFormat="1" ht="15">
      <c r="B310" s="150">
        <v>298</v>
      </c>
      <c r="C310" s="153">
        <v>53601</v>
      </c>
      <c r="D310" s="151">
        <f t="shared" ca="1" si="52"/>
        <v>38985505.293296017</v>
      </c>
      <c r="E310" s="151">
        <f t="shared" ca="1" si="53"/>
        <v>306019.32180541131</v>
      </c>
      <c r="F310" s="151">
        <f t="shared" ca="1" si="54"/>
        <v>163035.37184689389</v>
      </c>
      <c r="G310" s="151">
        <f t="shared" ca="1" si="55"/>
        <v>142983.94995851742</v>
      </c>
      <c r="H310" s="151">
        <f ca="1">'HUD - Snapshot'!$K$10/12*D309</f>
        <v>8151.7685923446952</v>
      </c>
      <c r="I310" s="151">
        <f t="shared" ca="1" si="56"/>
        <v>314171.09039775602</v>
      </c>
      <c r="J310" s="162"/>
      <c r="K310" s="152"/>
      <c r="L310" s="152"/>
      <c r="Q310"/>
      <c r="R310"/>
      <c r="S310"/>
      <c r="T310"/>
      <c r="U310"/>
      <c r="V310"/>
      <c r="W310"/>
      <c r="X310"/>
      <c r="Y310"/>
      <c r="Z310"/>
      <c r="AA310"/>
      <c r="AB310"/>
      <c r="AC310"/>
      <c r="AD310"/>
      <c r="AE310"/>
      <c r="AF310"/>
      <c r="AG310"/>
      <c r="AH310"/>
      <c r="AI310"/>
      <c r="AJ310"/>
      <c r="AK310"/>
      <c r="AL310"/>
      <c r="AM310"/>
      <c r="AN310"/>
      <c r="AO310"/>
      <c r="AP310"/>
      <c r="AQ310"/>
    </row>
    <row r="311" spans="2:43" s="150" customFormat="1" ht="15">
      <c r="B311" s="150">
        <v>299</v>
      </c>
      <c r="C311" s="153">
        <v>53632</v>
      </c>
      <c r="D311" s="151">
        <f t="shared" ca="1" si="52"/>
        <v>38841925.576879337</v>
      </c>
      <c r="E311" s="151">
        <f t="shared" ca="1" si="53"/>
        <v>306019.32180541131</v>
      </c>
      <c r="F311" s="151">
        <f t="shared" ca="1" si="54"/>
        <v>162439.60538873341</v>
      </c>
      <c r="G311" s="151">
        <f t="shared" ca="1" si="55"/>
        <v>143579.7164166779</v>
      </c>
      <c r="H311" s="151">
        <f ca="1">'HUD - Snapshot'!$K$10/12*D310</f>
        <v>8121.9802694366708</v>
      </c>
      <c r="I311" s="151">
        <f t="shared" ca="1" si="56"/>
        <v>314141.30207484798</v>
      </c>
      <c r="J311" s="162"/>
      <c r="K311" s="152"/>
      <c r="L311" s="152"/>
      <c r="Q311"/>
      <c r="R311"/>
      <c r="S311"/>
      <c r="T311"/>
      <c r="U311"/>
      <c r="V311"/>
      <c r="W311"/>
      <c r="X311"/>
      <c r="Y311"/>
      <c r="Z311"/>
      <c r="AA311"/>
      <c r="AB311"/>
      <c r="AC311"/>
      <c r="AD311"/>
      <c r="AE311"/>
      <c r="AF311"/>
      <c r="AG311"/>
      <c r="AH311"/>
      <c r="AI311"/>
      <c r="AJ311"/>
      <c r="AK311"/>
      <c r="AL311"/>
      <c r="AM311"/>
      <c r="AN311"/>
      <c r="AO311"/>
      <c r="AP311"/>
      <c r="AQ311"/>
    </row>
    <row r="312" spans="2:43" s="150" customFormat="1" ht="15">
      <c r="B312" s="150">
        <v>300</v>
      </c>
      <c r="C312" s="153">
        <v>53662</v>
      </c>
      <c r="D312" s="151">
        <f t="shared" ca="1" si="52"/>
        <v>38697747.611644253</v>
      </c>
      <c r="E312" s="151">
        <f t="shared" ca="1" si="53"/>
        <v>306019.32180541131</v>
      </c>
      <c r="F312" s="151">
        <f t="shared" ca="1" si="54"/>
        <v>161841.35657033056</v>
      </c>
      <c r="G312" s="151">
        <f t="shared" ca="1" si="55"/>
        <v>144177.96523508074</v>
      </c>
      <c r="H312" s="151">
        <f ca="1">'HUD - Snapshot'!$K$10/12*D311</f>
        <v>8092.0678285165295</v>
      </c>
      <c r="I312" s="151">
        <f t="shared" ca="1" si="56"/>
        <v>314111.38963392784</v>
      </c>
      <c r="J312" s="162"/>
      <c r="K312" s="152">
        <f ca="1">SUM(I301:I312)</f>
        <v>3771283.8439920596</v>
      </c>
      <c r="L312" s="152">
        <f ca="1">SUM(F301:F312)</f>
        <v>1981039.6465424732</v>
      </c>
      <c r="Q312"/>
      <c r="R312"/>
      <c r="S312"/>
      <c r="T312"/>
      <c r="U312"/>
      <c r="V312"/>
      <c r="W312"/>
      <c r="X312"/>
      <c r="Y312"/>
      <c r="Z312"/>
      <c r="AA312"/>
      <c r="AB312"/>
      <c r="AC312"/>
      <c r="AD312"/>
      <c r="AE312"/>
      <c r="AF312"/>
      <c r="AG312"/>
      <c r="AH312"/>
      <c r="AI312"/>
      <c r="AJ312"/>
      <c r="AK312"/>
      <c r="AL312"/>
      <c r="AM312"/>
      <c r="AN312"/>
      <c r="AO312"/>
      <c r="AP312"/>
      <c r="AQ312"/>
    </row>
    <row r="313" spans="2:43" s="150" customFormat="1" ht="15">
      <c r="B313" s="150">
        <v>301</v>
      </c>
      <c r="C313" s="153">
        <v>53693</v>
      </c>
      <c r="D313" s="151">
        <f t="shared" ca="1" si="52"/>
        <v>38552968.904887356</v>
      </c>
      <c r="E313" s="151">
        <f t="shared" ca="1" si="53"/>
        <v>306019.32180541131</v>
      </c>
      <c r="F313" s="151">
        <f t="shared" ca="1" si="54"/>
        <v>161240.61504851771</v>
      </c>
      <c r="G313" s="151">
        <f t="shared" ca="1" si="55"/>
        <v>144778.7067568936</v>
      </c>
      <c r="H313" s="151">
        <f ca="1">'HUD - Snapshot'!$K$10/12*D312</f>
        <v>8062.0307524258869</v>
      </c>
      <c r="I313" s="151">
        <f t="shared" ca="1" si="56"/>
        <v>314081.35255783721</v>
      </c>
      <c r="J313" s="162"/>
      <c r="K313" s="152"/>
      <c r="L313" s="152"/>
      <c r="Q313"/>
      <c r="R313"/>
      <c r="S313"/>
      <c r="T313"/>
      <c r="U313"/>
      <c r="V313"/>
      <c r="W313"/>
      <c r="X313"/>
      <c r="Y313"/>
      <c r="Z313"/>
      <c r="AA313"/>
      <c r="AB313"/>
      <c r="AC313"/>
      <c r="AD313"/>
      <c r="AE313"/>
      <c r="AF313"/>
      <c r="AG313"/>
      <c r="AH313"/>
      <c r="AI313"/>
      <c r="AJ313"/>
      <c r="AK313"/>
      <c r="AL313"/>
      <c r="AM313"/>
      <c r="AN313"/>
      <c r="AO313"/>
      <c r="AP313"/>
      <c r="AQ313"/>
    </row>
    <row r="314" spans="2:43" s="150" customFormat="1" ht="15">
      <c r="B314" s="150">
        <v>302</v>
      </c>
      <c r="C314" s="153">
        <v>53724</v>
      </c>
      <c r="D314" s="151">
        <f t="shared" ca="1" si="52"/>
        <v>38407586.953518972</v>
      </c>
      <c r="E314" s="151">
        <f t="shared" ca="1" si="53"/>
        <v>306019.32180541131</v>
      </c>
      <c r="F314" s="151">
        <f t="shared" ca="1" si="54"/>
        <v>160637.37043703065</v>
      </c>
      <c r="G314" s="151">
        <f t="shared" ca="1" si="55"/>
        <v>145381.95136838066</v>
      </c>
      <c r="H314" s="151">
        <f ca="1">'HUD - Snapshot'!$K$10/12*D313</f>
        <v>8031.8685218515329</v>
      </c>
      <c r="I314" s="151">
        <f t="shared" ca="1" si="56"/>
        <v>314051.19032726286</v>
      </c>
      <c r="J314" s="162"/>
      <c r="K314" s="152"/>
      <c r="L314" s="152"/>
      <c r="Q314"/>
      <c r="R314"/>
      <c r="S314"/>
      <c r="T314"/>
      <c r="U314"/>
      <c r="V314"/>
      <c r="W314"/>
      <c r="X314"/>
      <c r="Y314"/>
      <c r="Z314"/>
      <c r="AA314"/>
      <c r="AB314"/>
      <c r="AC314"/>
      <c r="AD314"/>
      <c r="AE314"/>
      <c r="AF314"/>
      <c r="AG314"/>
      <c r="AH314"/>
      <c r="AI314"/>
      <c r="AJ314"/>
      <c r="AK314"/>
      <c r="AL314"/>
      <c r="AM314"/>
      <c r="AN314"/>
      <c r="AO314"/>
      <c r="AP314"/>
      <c r="AQ314"/>
    </row>
    <row r="315" spans="2:43" s="150" customFormat="1" ht="15">
      <c r="B315" s="150">
        <v>303</v>
      </c>
      <c r="C315" s="153">
        <v>53752</v>
      </c>
      <c r="D315" s="151">
        <f t="shared" ca="1" si="52"/>
        <v>38261599.244019888</v>
      </c>
      <c r="E315" s="151">
        <f t="shared" ca="1" si="53"/>
        <v>306019.32180541131</v>
      </c>
      <c r="F315" s="151">
        <f t="shared" ca="1" si="54"/>
        <v>160031.61230632904</v>
      </c>
      <c r="G315" s="151">
        <f t="shared" ca="1" si="55"/>
        <v>145987.70949908227</v>
      </c>
      <c r="H315" s="151">
        <f ca="1">'HUD - Snapshot'!$K$10/12*D314</f>
        <v>8001.5806153164531</v>
      </c>
      <c r="I315" s="151">
        <f t="shared" ca="1" si="56"/>
        <v>314020.90242072777</v>
      </c>
      <c r="J315" s="162"/>
      <c r="K315" s="152"/>
      <c r="L315" s="152"/>
      <c r="Q315"/>
      <c r="R315"/>
      <c r="S315"/>
      <c r="T315"/>
      <c r="U315"/>
      <c r="V315"/>
      <c r="W315"/>
      <c r="X315"/>
      <c r="Y315"/>
      <c r="Z315"/>
      <c r="AA315"/>
      <c r="AB315"/>
      <c r="AC315"/>
      <c r="AD315"/>
      <c r="AE315"/>
      <c r="AF315"/>
      <c r="AG315"/>
      <c r="AH315"/>
      <c r="AI315"/>
      <c r="AJ315"/>
      <c r="AK315"/>
      <c r="AL315"/>
      <c r="AM315"/>
      <c r="AN315"/>
      <c r="AO315"/>
      <c r="AP315"/>
      <c r="AQ315"/>
    </row>
    <row r="316" spans="2:43" s="150" customFormat="1" ht="15">
      <c r="B316" s="150">
        <v>304</v>
      </c>
      <c r="C316" s="153">
        <v>53783</v>
      </c>
      <c r="D316" s="151">
        <f t="shared" ca="1" si="52"/>
        <v>38115003.252397895</v>
      </c>
      <c r="E316" s="151">
        <f t="shared" ca="1" si="53"/>
        <v>306019.32180541131</v>
      </c>
      <c r="F316" s="151">
        <f t="shared" ca="1" si="54"/>
        <v>159423.3301834162</v>
      </c>
      <c r="G316" s="151">
        <f t="shared" ca="1" si="55"/>
        <v>146595.99162199511</v>
      </c>
      <c r="H316" s="151">
        <f ca="1">'HUD - Snapshot'!$K$10/12*D315</f>
        <v>7971.166509170811</v>
      </c>
      <c r="I316" s="151">
        <f t="shared" ca="1" si="56"/>
        <v>313990.48831458209</v>
      </c>
      <c r="J316" s="162"/>
      <c r="K316" s="152"/>
      <c r="L316" s="152"/>
      <c r="Q316"/>
      <c r="R316"/>
      <c r="S316"/>
      <c r="T316"/>
      <c r="U316"/>
      <c r="V316"/>
      <c r="W316"/>
      <c r="X316"/>
      <c r="Y316"/>
      <c r="Z316"/>
      <c r="AA316"/>
      <c r="AB316"/>
      <c r="AC316"/>
      <c r="AD316"/>
      <c r="AE316"/>
      <c r="AF316"/>
      <c r="AG316"/>
      <c r="AH316"/>
      <c r="AI316"/>
      <c r="AJ316"/>
      <c r="AK316"/>
      <c r="AL316"/>
      <c r="AM316"/>
      <c r="AN316"/>
      <c r="AO316"/>
      <c r="AP316"/>
      <c r="AQ316"/>
    </row>
    <row r="317" spans="2:43" s="150" customFormat="1" ht="15">
      <c r="B317" s="150">
        <v>305</v>
      </c>
      <c r="C317" s="153">
        <v>53813</v>
      </c>
      <c r="D317" s="151">
        <f t="shared" ca="1" si="52"/>
        <v>37967796.444144145</v>
      </c>
      <c r="E317" s="151">
        <f t="shared" ca="1" si="53"/>
        <v>306019.32180541131</v>
      </c>
      <c r="F317" s="151">
        <f t="shared" ca="1" si="54"/>
        <v>158812.5135516579</v>
      </c>
      <c r="G317" s="151">
        <f t="shared" ca="1" si="55"/>
        <v>147206.80825375341</v>
      </c>
      <c r="H317" s="151">
        <f ca="1">'HUD - Snapshot'!$K$10/12*D316</f>
        <v>7940.6256775828952</v>
      </c>
      <c r="I317" s="151">
        <f t="shared" ca="1" si="56"/>
        <v>313959.94748299418</v>
      </c>
      <c r="J317" s="162"/>
      <c r="K317" s="152"/>
      <c r="L317" s="152"/>
      <c r="Q317"/>
      <c r="R317"/>
      <c r="S317"/>
      <c r="T317"/>
      <c r="U317"/>
      <c r="V317"/>
      <c r="W317"/>
      <c r="X317"/>
      <c r="Y317"/>
      <c r="Z317"/>
      <c r="AA317"/>
      <c r="AB317"/>
      <c r="AC317"/>
      <c r="AD317"/>
      <c r="AE317"/>
      <c r="AF317"/>
      <c r="AG317"/>
      <c r="AH317"/>
      <c r="AI317"/>
      <c r="AJ317"/>
      <c r="AK317"/>
      <c r="AL317"/>
      <c r="AM317"/>
      <c r="AN317"/>
      <c r="AO317"/>
      <c r="AP317"/>
      <c r="AQ317"/>
    </row>
    <row r="318" spans="2:43" s="150" customFormat="1" ht="15">
      <c r="B318" s="150">
        <v>306</v>
      </c>
      <c r="C318" s="153">
        <v>53844</v>
      </c>
      <c r="D318" s="151">
        <f t="shared" ca="1" si="52"/>
        <v>37819976.274189331</v>
      </c>
      <c r="E318" s="151">
        <f t="shared" ca="1" si="53"/>
        <v>306019.32180541131</v>
      </c>
      <c r="F318" s="151">
        <f t="shared" ca="1" si="54"/>
        <v>158199.15185060061</v>
      </c>
      <c r="G318" s="151">
        <f t="shared" ca="1" si="55"/>
        <v>147820.1699548107</v>
      </c>
      <c r="H318" s="151">
        <f ca="1">'HUD - Snapshot'!$K$10/12*D317</f>
        <v>7909.9575925300305</v>
      </c>
      <c r="I318" s="151">
        <f t="shared" ca="1" si="56"/>
        <v>313929.27939794131</v>
      </c>
      <c r="J318" s="162"/>
      <c r="K318" s="152"/>
      <c r="L318" s="152"/>
      <c r="Q318"/>
      <c r="R318"/>
      <c r="S318"/>
      <c r="T318"/>
      <c r="U318"/>
      <c r="V318"/>
      <c r="W318"/>
      <c r="X318"/>
      <c r="Y318"/>
      <c r="Z318"/>
      <c r="AA318"/>
      <c r="AB318"/>
      <c r="AC318"/>
      <c r="AD318"/>
      <c r="AE318"/>
      <c r="AF318"/>
      <c r="AG318"/>
      <c r="AH318"/>
      <c r="AI318"/>
      <c r="AJ318"/>
      <c r="AK318"/>
      <c r="AL318"/>
      <c r="AM318"/>
      <c r="AN318"/>
      <c r="AO318"/>
      <c r="AP318"/>
      <c r="AQ318"/>
    </row>
    <row r="319" spans="2:43" s="150" customFormat="1" ht="15">
      <c r="B319" s="150">
        <v>307</v>
      </c>
      <c r="C319" s="153">
        <v>53874</v>
      </c>
      <c r="D319" s="151">
        <f t="shared" ca="1" si="52"/>
        <v>37671540.186859705</v>
      </c>
      <c r="E319" s="151">
        <f t="shared" ca="1" si="53"/>
        <v>306019.32180541131</v>
      </c>
      <c r="F319" s="151">
        <f t="shared" ca="1" si="54"/>
        <v>157583.23447578886</v>
      </c>
      <c r="G319" s="151">
        <f t="shared" ca="1" si="55"/>
        <v>148436.08732962245</v>
      </c>
      <c r="H319" s="151">
        <f ca="1">'HUD - Snapshot'!$K$10/12*D318</f>
        <v>7879.1617237894443</v>
      </c>
      <c r="I319" s="151">
        <f t="shared" ca="1" si="56"/>
        <v>313898.48352920078</v>
      </c>
      <c r="J319" s="162"/>
      <c r="K319" s="152"/>
      <c r="L319" s="152"/>
      <c r="Q319"/>
      <c r="R319"/>
      <c r="S319"/>
      <c r="T319"/>
      <c r="U319"/>
      <c r="V319"/>
      <c r="W319"/>
      <c r="X319"/>
      <c r="Y319"/>
      <c r="Z319"/>
      <c r="AA319"/>
      <c r="AB319"/>
      <c r="AC319"/>
      <c r="AD319"/>
      <c r="AE319"/>
      <c r="AF319"/>
      <c r="AG319"/>
      <c r="AH319"/>
      <c r="AI319"/>
      <c r="AJ319"/>
      <c r="AK319"/>
      <c r="AL319"/>
      <c r="AM319"/>
      <c r="AN319"/>
      <c r="AO319"/>
      <c r="AP319"/>
      <c r="AQ319"/>
    </row>
    <row r="320" spans="2:43" s="150" customFormat="1" ht="15">
      <c r="B320" s="150">
        <v>308</v>
      </c>
      <c r="C320" s="153">
        <v>53905</v>
      </c>
      <c r="D320" s="151">
        <f t="shared" ca="1" si="52"/>
        <v>37522485.615832873</v>
      </c>
      <c r="E320" s="151">
        <f t="shared" ca="1" si="53"/>
        <v>306019.32180541131</v>
      </c>
      <c r="F320" s="151">
        <f t="shared" ca="1" si="54"/>
        <v>156964.75077858209</v>
      </c>
      <c r="G320" s="151">
        <f t="shared" ca="1" si="55"/>
        <v>149054.57102682922</v>
      </c>
      <c r="H320" s="151">
        <f ca="1">'HUD - Snapshot'!$K$10/12*D319</f>
        <v>7848.2375389291055</v>
      </c>
      <c r="I320" s="151">
        <f t="shared" ca="1" si="56"/>
        <v>313867.55934434041</v>
      </c>
      <c r="J320" s="162"/>
      <c r="K320" s="152"/>
      <c r="L320" s="152"/>
      <c r="Q320"/>
      <c r="R320"/>
      <c r="S320"/>
      <c r="T320"/>
      <c r="U320"/>
      <c r="V320"/>
      <c r="W320"/>
      <c r="X320"/>
      <c r="Y320"/>
      <c r="Z320"/>
      <c r="AA320"/>
      <c r="AB320"/>
      <c r="AC320"/>
      <c r="AD320"/>
      <c r="AE320"/>
      <c r="AF320"/>
      <c r="AG320"/>
      <c r="AH320"/>
      <c r="AI320"/>
      <c r="AJ320"/>
      <c r="AK320"/>
      <c r="AL320"/>
      <c r="AM320"/>
      <c r="AN320"/>
      <c r="AO320"/>
      <c r="AP320"/>
      <c r="AQ320"/>
    </row>
    <row r="321" spans="2:43" s="150" customFormat="1" ht="15">
      <c r="B321" s="150">
        <v>309</v>
      </c>
      <c r="C321" s="153">
        <v>53936</v>
      </c>
      <c r="D321" s="151">
        <f t="shared" ca="1" si="52"/>
        <v>37372809.984093435</v>
      </c>
      <c r="E321" s="151">
        <f t="shared" ca="1" si="53"/>
        <v>306019.32180541131</v>
      </c>
      <c r="F321" s="151">
        <f t="shared" ca="1" si="54"/>
        <v>156343.6900659703</v>
      </c>
      <c r="G321" s="151">
        <f t="shared" ca="1" si="55"/>
        <v>149675.63173944101</v>
      </c>
      <c r="H321" s="151">
        <f ca="1">'HUD - Snapshot'!$K$10/12*D320</f>
        <v>7817.1845032985157</v>
      </c>
      <c r="I321" s="151">
        <f t="shared" ca="1" si="56"/>
        <v>313836.50630870985</v>
      </c>
      <c r="J321" s="162"/>
      <c r="K321" s="152"/>
      <c r="L321" s="152"/>
      <c r="Q321"/>
      <c r="R321"/>
      <c r="S321"/>
      <c r="T321"/>
      <c r="U321"/>
      <c r="V321"/>
      <c r="W321"/>
      <c r="X321"/>
      <c r="Y321"/>
      <c r="Z321"/>
      <c r="AA321"/>
      <c r="AB321"/>
      <c r="AC321"/>
      <c r="AD321"/>
      <c r="AE321"/>
      <c r="AF321"/>
      <c r="AG321"/>
      <c r="AH321"/>
      <c r="AI321"/>
      <c r="AJ321"/>
      <c r="AK321"/>
      <c r="AL321"/>
      <c r="AM321"/>
      <c r="AN321"/>
      <c r="AO321"/>
      <c r="AP321"/>
      <c r="AQ321"/>
    </row>
    <row r="322" spans="2:43" s="150" customFormat="1" ht="15">
      <c r="B322" s="150">
        <v>310</v>
      </c>
      <c r="C322" s="153">
        <v>53966</v>
      </c>
      <c r="D322" s="151">
        <f t="shared" ca="1" si="52"/>
        <v>37222510.703888416</v>
      </c>
      <c r="E322" s="151">
        <f t="shared" ca="1" si="53"/>
        <v>306019.32180541131</v>
      </c>
      <c r="F322" s="151">
        <f t="shared" ca="1" si="54"/>
        <v>155720.04160038932</v>
      </c>
      <c r="G322" s="151">
        <f t="shared" ca="1" si="55"/>
        <v>150299.28020502199</v>
      </c>
      <c r="H322" s="151">
        <f ca="1">'HUD - Snapshot'!$K$10/12*D321</f>
        <v>7786.0020800194661</v>
      </c>
      <c r="I322" s="151">
        <f t="shared" ca="1" si="56"/>
        <v>313805.32388543076</v>
      </c>
      <c r="J322" s="162"/>
      <c r="K322" s="152"/>
      <c r="L322" s="152"/>
      <c r="Q322"/>
      <c r="R322"/>
      <c r="S322"/>
      <c r="T322"/>
      <c r="U322"/>
      <c r="V322"/>
      <c r="W322"/>
      <c r="X322"/>
      <c r="Y322"/>
      <c r="Z322"/>
      <c r="AA322"/>
      <c r="AB322"/>
      <c r="AC322"/>
      <c r="AD322"/>
      <c r="AE322"/>
      <c r="AF322"/>
      <c r="AG322"/>
      <c r="AH322"/>
      <c r="AI322"/>
      <c r="AJ322"/>
      <c r="AK322"/>
      <c r="AL322"/>
      <c r="AM322"/>
      <c r="AN322"/>
      <c r="AO322"/>
      <c r="AP322"/>
      <c r="AQ322"/>
    </row>
    <row r="323" spans="2:43" s="150" customFormat="1" ht="15">
      <c r="B323" s="150">
        <v>311</v>
      </c>
      <c r="C323" s="153">
        <v>53997</v>
      </c>
      <c r="D323" s="151">
        <f t="shared" ca="1" si="52"/>
        <v>37071585.176682539</v>
      </c>
      <c r="E323" s="151">
        <f t="shared" ca="1" si="53"/>
        <v>306019.32180541131</v>
      </c>
      <c r="F323" s="151">
        <f t="shared" ca="1" si="54"/>
        <v>155093.79459953506</v>
      </c>
      <c r="G323" s="151">
        <f t="shared" ca="1" si="55"/>
        <v>150925.52720587625</v>
      </c>
      <c r="H323" s="151">
        <f ca="1">'HUD - Snapshot'!$K$10/12*D322</f>
        <v>7754.6897299767543</v>
      </c>
      <c r="I323" s="151">
        <f t="shared" ca="1" si="56"/>
        <v>313774.01153538807</v>
      </c>
      <c r="J323" s="162"/>
      <c r="K323" s="152"/>
      <c r="L323" s="152"/>
      <c r="Q323"/>
      <c r="R323"/>
      <c r="S323"/>
      <c r="T323"/>
      <c r="U323"/>
      <c r="V323"/>
      <c r="W323"/>
      <c r="X323"/>
      <c r="Y323"/>
      <c r="Z323"/>
      <c r="AA323"/>
      <c r="AB323"/>
      <c r="AC323"/>
      <c r="AD323"/>
      <c r="AE323"/>
      <c r="AF323"/>
      <c r="AG323"/>
      <c r="AH323"/>
      <c r="AI323"/>
      <c r="AJ323"/>
      <c r="AK323"/>
      <c r="AL323"/>
      <c r="AM323"/>
      <c r="AN323"/>
      <c r="AO323"/>
      <c r="AP323"/>
      <c r="AQ323"/>
    </row>
    <row r="324" spans="2:43" s="150" customFormat="1" ht="15">
      <c r="B324" s="150">
        <v>312</v>
      </c>
      <c r="C324" s="153">
        <v>54027</v>
      </c>
      <c r="D324" s="151">
        <f t="shared" ca="1" si="52"/>
        <v>36920030.793113306</v>
      </c>
      <c r="E324" s="151">
        <f t="shared" ca="1" si="53"/>
        <v>306019.32180541131</v>
      </c>
      <c r="F324" s="151">
        <f t="shared" ca="1" si="54"/>
        <v>154464.93823617726</v>
      </c>
      <c r="G324" s="151">
        <f t="shared" ca="1" si="55"/>
        <v>151554.38356923405</v>
      </c>
      <c r="H324" s="151">
        <f ca="1">'HUD - Snapshot'!$K$10/12*D323</f>
        <v>7723.2469118088629</v>
      </c>
      <c r="I324" s="151">
        <f t="shared" ca="1" si="56"/>
        <v>313742.56871722016</v>
      </c>
      <c r="J324" s="162"/>
      <c r="K324" s="152">
        <f ca="1">SUM(I313:I324)</f>
        <v>3766957.613821635</v>
      </c>
      <c r="L324" s="152">
        <f ca="1">SUM(F313:F324)</f>
        <v>1894515.0431339953</v>
      </c>
      <c r="Q324"/>
      <c r="R324"/>
      <c r="S324"/>
      <c r="T324"/>
      <c r="U324"/>
      <c r="V324"/>
      <c r="W324"/>
      <c r="X324"/>
      <c r="Y324"/>
      <c r="Z324"/>
      <c r="AA324"/>
      <c r="AB324"/>
      <c r="AC324"/>
      <c r="AD324"/>
      <c r="AE324"/>
      <c r="AF324"/>
      <c r="AG324"/>
      <c r="AH324"/>
      <c r="AI324"/>
      <c r="AJ324"/>
      <c r="AK324"/>
      <c r="AL324"/>
      <c r="AM324"/>
      <c r="AN324"/>
      <c r="AO324"/>
      <c r="AP324"/>
      <c r="AQ324"/>
    </row>
    <row r="325" spans="2:43" s="150" customFormat="1" ht="15">
      <c r="B325" s="150">
        <v>313</v>
      </c>
      <c r="C325" s="153">
        <v>54058</v>
      </c>
      <c r="D325" s="151">
        <f t="shared" ca="1" si="52"/>
        <v>36767844.93294587</v>
      </c>
      <c r="E325" s="151">
        <f t="shared" ca="1" si="53"/>
        <v>306019.32180541131</v>
      </c>
      <c r="F325" s="151">
        <f t="shared" ca="1" si="54"/>
        <v>153833.4616379721</v>
      </c>
      <c r="G325" s="151">
        <f t="shared" ca="1" si="55"/>
        <v>152185.86016743921</v>
      </c>
      <c r="H325" s="151">
        <f ca="1">'HUD - Snapshot'!$K$10/12*D324</f>
        <v>7691.6730818986061</v>
      </c>
      <c r="I325" s="151">
        <f t="shared" ca="1" si="56"/>
        <v>313710.99488730991</v>
      </c>
      <c r="J325" s="162"/>
      <c r="K325" s="152"/>
      <c r="L325" s="152"/>
      <c r="Q325"/>
      <c r="R325"/>
      <c r="S325"/>
      <c r="T325"/>
      <c r="U325"/>
      <c r="V325"/>
      <c r="W325"/>
      <c r="X325"/>
      <c r="Y325"/>
      <c r="Z325"/>
      <c r="AA325"/>
      <c r="AB325"/>
      <c r="AC325"/>
      <c r="AD325"/>
      <c r="AE325"/>
      <c r="AF325"/>
      <c r="AG325"/>
      <c r="AH325"/>
      <c r="AI325"/>
      <c r="AJ325"/>
      <c r="AK325"/>
      <c r="AL325"/>
      <c r="AM325"/>
      <c r="AN325"/>
      <c r="AO325"/>
      <c r="AP325"/>
      <c r="AQ325"/>
    </row>
    <row r="326" spans="2:43" s="150" customFormat="1" ht="15">
      <c r="B326" s="150">
        <v>314</v>
      </c>
      <c r="C326" s="153">
        <v>54089</v>
      </c>
      <c r="D326" s="151">
        <f t="shared" ca="1" si="52"/>
        <v>36615024.965027735</v>
      </c>
      <c r="E326" s="151">
        <f t="shared" ca="1" si="53"/>
        <v>306019.32180541131</v>
      </c>
      <c r="F326" s="151">
        <f t="shared" ca="1" si="54"/>
        <v>153199.35388727445</v>
      </c>
      <c r="G326" s="151">
        <f t="shared" ca="1" si="55"/>
        <v>152819.96791813686</v>
      </c>
      <c r="H326" s="151">
        <f ca="1">'HUD - Snapshot'!$K$10/12*D325</f>
        <v>7659.9676943637232</v>
      </c>
      <c r="I326" s="151">
        <f t="shared" ca="1" si="56"/>
        <v>313679.28949977504</v>
      </c>
      <c r="J326" s="162"/>
      <c r="K326" s="152"/>
      <c r="L326" s="152"/>
      <c r="Q326"/>
      <c r="R326"/>
      <c r="S326"/>
      <c r="T326"/>
      <c r="U326"/>
      <c r="V326"/>
      <c r="W326"/>
      <c r="X326"/>
      <c r="Y326"/>
      <c r="Z326"/>
      <c r="AA326"/>
      <c r="AB326"/>
      <c r="AC326"/>
      <c r="AD326"/>
      <c r="AE326"/>
      <c r="AF326"/>
      <c r="AG326"/>
      <c r="AH326"/>
      <c r="AI326"/>
      <c r="AJ326"/>
      <c r="AK326"/>
      <c r="AL326"/>
      <c r="AM326"/>
      <c r="AN326"/>
      <c r="AO326"/>
      <c r="AP326"/>
      <c r="AQ326"/>
    </row>
    <row r="327" spans="2:43" s="150" customFormat="1" ht="15">
      <c r="B327" s="150">
        <v>315</v>
      </c>
      <c r="C327" s="153">
        <v>54118</v>
      </c>
      <c r="D327" s="151">
        <f t="shared" ca="1" si="52"/>
        <v>36461568.24724327</v>
      </c>
      <c r="E327" s="151">
        <f t="shared" ca="1" si="53"/>
        <v>306019.32180541131</v>
      </c>
      <c r="F327" s="151">
        <f t="shared" ca="1" si="54"/>
        <v>152562.6040209489</v>
      </c>
      <c r="G327" s="151">
        <f t="shared" ca="1" si="55"/>
        <v>153456.71778446241</v>
      </c>
      <c r="H327" s="151">
        <f ca="1">'HUD - Snapshot'!$K$10/12*D326</f>
        <v>7628.1302010474456</v>
      </c>
      <c r="I327" s="151">
        <f t="shared" ca="1" si="56"/>
        <v>313647.45200645877</v>
      </c>
      <c r="J327" s="162"/>
      <c r="K327" s="152"/>
      <c r="L327" s="152"/>
      <c r="Q327"/>
      <c r="R327"/>
      <c r="S327"/>
      <c r="T327"/>
      <c r="U327"/>
      <c r="V327"/>
      <c r="W327"/>
      <c r="X327"/>
      <c r="Y327"/>
      <c r="Z327"/>
      <c r="AA327"/>
      <c r="AB327"/>
      <c r="AC327"/>
      <c r="AD327"/>
      <c r="AE327"/>
      <c r="AF327"/>
      <c r="AG327"/>
      <c r="AH327"/>
      <c r="AI327"/>
      <c r="AJ327"/>
      <c r="AK327"/>
      <c r="AL327"/>
      <c r="AM327"/>
      <c r="AN327"/>
      <c r="AO327"/>
      <c r="AP327"/>
      <c r="AQ327"/>
    </row>
    <row r="328" spans="2:43" s="150" customFormat="1" ht="15">
      <c r="B328" s="150">
        <v>316</v>
      </c>
      <c r="C328" s="153">
        <v>54149</v>
      </c>
      <c r="D328" s="151">
        <f t="shared" ca="1" si="52"/>
        <v>36307472.12646804</v>
      </c>
      <c r="E328" s="151">
        <f t="shared" ca="1" si="53"/>
        <v>306019.32180541131</v>
      </c>
      <c r="F328" s="151">
        <f t="shared" ca="1" si="54"/>
        <v>151923.20103018029</v>
      </c>
      <c r="G328" s="151">
        <f t="shared" ca="1" si="55"/>
        <v>154096.12077523101</v>
      </c>
      <c r="H328" s="151">
        <f ca="1">'HUD - Snapshot'!$K$10/12*D327</f>
        <v>7596.1600515090149</v>
      </c>
      <c r="I328" s="151">
        <f t="shared" ca="1" si="56"/>
        <v>313615.48185692035</v>
      </c>
      <c r="J328" s="162"/>
      <c r="K328" s="152"/>
      <c r="L328" s="152"/>
      <c r="Q328"/>
      <c r="R328"/>
      <c r="S328"/>
      <c r="T328"/>
      <c r="U328"/>
      <c r="V328"/>
      <c r="W328"/>
      <c r="X328"/>
      <c r="Y328"/>
      <c r="Z328"/>
      <c r="AA328"/>
      <c r="AB328"/>
      <c r="AC328"/>
      <c r="AD328"/>
      <c r="AE328"/>
      <c r="AF328"/>
      <c r="AG328"/>
      <c r="AH328"/>
      <c r="AI328"/>
      <c r="AJ328"/>
      <c r="AK328"/>
      <c r="AL328"/>
      <c r="AM328"/>
      <c r="AN328"/>
      <c r="AO328"/>
      <c r="AP328"/>
      <c r="AQ328"/>
    </row>
    <row r="329" spans="2:43" s="150" customFormat="1" ht="15">
      <c r="B329" s="150">
        <v>317</v>
      </c>
      <c r="C329" s="153">
        <v>54179</v>
      </c>
      <c r="D329" s="151">
        <f t="shared" ca="1" si="52"/>
        <v>36152733.938522913</v>
      </c>
      <c r="E329" s="151">
        <f t="shared" ca="1" si="53"/>
        <v>306019.32180541131</v>
      </c>
      <c r="F329" s="151">
        <f t="shared" ca="1" si="54"/>
        <v>151281.1338602835</v>
      </c>
      <c r="G329" s="151">
        <f t="shared" ca="1" si="55"/>
        <v>154738.18794512781</v>
      </c>
      <c r="H329" s="151">
        <f ca="1">'HUD - Snapshot'!$K$10/12*D328</f>
        <v>7564.0566930141758</v>
      </c>
      <c r="I329" s="151">
        <f t="shared" ca="1" si="56"/>
        <v>313583.37849842547</v>
      </c>
      <c r="J329" s="162"/>
      <c r="K329" s="152"/>
      <c r="L329" s="152"/>
      <c r="Q329"/>
      <c r="R329"/>
      <c r="S329"/>
      <c r="T329"/>
      <c r="U329"/>
      <c r="V329"/>
      <c r="W329"/>
      <c r="X329"/>
      <c r="Y329"/>
      <c r="Z329"/>
      <c r="AA329"/>
      <c r="AB329"/>
      <c r="AC329"/>
      <c r="AD329"/>
      <c r="AE329"/>
      <c r="AF329"/>
      <c r="AG329"/>
      <c r="AH329"/>
      <c r="AI329"/>
      <c r="AJ329"/>
      <c r="AK329"/>
      <c r="AL329"/>
      <c r="AM329"/>
      <c r="AN329"/>
      <c r="AO329"/>
      <c r="AP329"/>
      <c r="AQ329"/>
    </row>
    <row r="330" spans="2:43" s="150" customFormat="1" ht="15">
      <c r="B330" s="150">
        <v>318</v>
      </c>
      <c r="C330" s="153">
        <v>54210</v>
      </c>
      <c r="D330" s="151">
        <f t="shared" ca="1" si="52"/>
        <v>35997351.00812801</v>
      </c>
      <c r="E330" s="151">
        <f t="shared" ca="1" si="53"/>
        <v>306019.32180541131</v>
      </c>
      <c r="F330" s="151">
        <f t="shared" ca="1" si="54"/>
        <v>150636.39141051212</v>
      </c>
      <c r="G330" s="151">
        <f t="shared" ca="1" si="55"/>
        <v>155382.93039489919</v>
      </c>
      <c r="H330" s="151">
        <f ca="1">'HUD - Snapshot'!$K$10/12*D329</f>
        <v>7531.8195705256076</v>
      </c>
      <c r="I330" s="151">
        <f t="shared" ca="1" si="56"/>
        <v>313551.14137593692</v>
      </c>
      <c r="J330" s="162"/>
      <c r="K330" s="152"/>
      <c r="L330" s="152"/>
      <c r="Q330"/>
      <c r="R330"/>
      <c r="S330"/>
      <c r="T330"/>
      <c r="U330"/>
      <c r="V330"/>
      <c r="W330"/>
      <c r="X330"/>
      <c r="Y330"/>
      <c r="Z330"/>
      <c r="AA330"/>
      <c r="AB330"/>
      <c r="AC330"/>
      <c r="AD330"/>
      <c r="AE330"/>
      <c r="AF330"/>
      <c r="AG330"/>
      <c r="AH330"/>
      <c r="AI330"/>
      <c r="AJ330"/>
      <c r="AK330"/>
      <c r="AL330"/>
      <c r="AM330"/>
      <c r="AN330"/>
      <c r="AO330"/>
      <c r="AP330"/>
      <c r="AQ330"/>
    </row>
    <row r="331" spans="2:43" s="150" customFormat="1" ht="15">
      <c r="B331" s="150">
        <v>319</v>
      </c>
      <c r="C331" s="153">
        <v>54240</v>
      </c>
      <c r="D331" s="151">
        <f t="shared" ca="1" si="52"/>
        <v>35841320.648856468</v>
      </c>
      <c r="E331" s="151">
        <f t="shared" ca="1" si="53"/>
        <v>306019.32180541131</v>
      </c>
      <c r="F331" s="151">
        <f t="shared" ca="1" si="54"/>
        <v>149988.9625338667</v>
      </c>
      <c r="G331" s="151">
        <f t="shared" ca="1" si="55"/>
        <v>156030.35927154461</v>
      </c>
      <c r="H331" s="151">
        <f ca="1">'HUD - Snapshot'!$K$10/12*D330</f>
        <v>7499.4481266933362</v>
      </c>
      <c r="I331" s="151">
        <f t="shared" ca="1" si="56"/>
        <v>313518.76993210462</v>
      </c>
      <c r="J331" s="162"/>
      <c r="K331" s="152"/>
      <c r="L331" s="152"/>
      <c r="Q331"/>
      <c r="R331"/>
      <c r="S331"/>
      <c r="T331"/>
      <c r="U331"/>
      <c r="V331"/>
      <c r="W331"/>
      <c r="X331"/>
      <c r="Y331"/>
      <c r="Z331"/>
      <c r="AA331"/>
      <c r="AB331"/>
      <c r="AC331"/>
      <c r="AD331"/>
      <c r="AE331"/>
      <c r="AF331"/>
      <c r="AG331"/>
      <c r="AH331"/>
      <c r="AI331"/>
      <c r="AJ331"/>
      <c r="AK331"/>
      <c r="AL331"/>
      <c r="AM331"/>
      <c r="AN331"/>
      <c r="AO331"/>
      <c r="AP331"/>
      <c r="AQ331"/>
    </row>
    <row r="332" spans="2:43" s="150" customFormat="1" ht="15">
      <c r="B332" s="150">
        <v>320</v>
      </c>
      <c r="C332" s="153">
        <v>54271</v>
      </c>
      <c r="D332" s="151">
        <f t="shared" ca="1" si="52"/>
        <v>35684640.163087957</v>
      </c>
      <c r="E332" s="151">
        <f t="shared" ca="1" si="53"/>
        <v>306019.32180541131</v>
      </c>
      <c r="F332" s="151">
        <f t="shared" ca="1" si="54"/>
        <v>149338.83603690195</v>
      </c>
      <c r="G332" s="151">
        <f t="shared" ca="1" si="55"/>
        <v>156680.48576850936</v>
      </c>
      <c r="H332" s="151">
        <f ca="1">'HUD - Snapshot'!$K$10/12*D331</f>
        <v>7466.9418018450979</v>
      </c>
      <c r="I332" s="151">
        <f t="shared" ca="1" si="56"/>
        <v>313486.26360725641</v>
      </c>
      <c r="J332" s="162"/>
      <c r="K332" s="152"/>
      <c r="L332" s="152"/>
      <c r="Q332"/>
      <c r="R332"/>
      <c r="S332"/>
      <c r="T332"/>
      <c r="U332"/>
      <c r="V332"/>
      <c r="W332"/>
      <c r="X332"/>
      <c r="Y332"/>
      <c r="Z332"/>
      <c r="AA332"/>
      <c r="AB332"/>
      <c r="AC332"/>
      <c r="AD332"/>
      <c r="AE332"/>
      <c r="AF332"/>
      <c r="AG332"/>
      <c r="AH332"/>
      <c r="AI332"/>
      <c r="AJ332"/>
      <c r="AK332"/>
      <c r="AL332"/>
      <c r="AM332"/>
      <c r="AN332"/>
      <c r="AO332"/>
      <c r="AP332"/>
      <c r="AQ332"/>
    </row>
    <row r="333" spans="2:43" s="150" customFormat="1" ht="15">
      <c r="B333" s="150">
        <v>321</v>
      </c>
      <c r="C333" s="153">
        <v>54302</v>
      </c>
      <c r="D333" s="151">
        <f t="shared" ref="D333:D396" ca="1" si="57">D332-G333</f>
        <v>35527306.841962077</v>
      </c>
      <c r="E333" s="151">
        <f t="shared" ref="E333:E396" ca="1" si="58">$D$9</f>
        <v>306019.32180541131</v>
      </c>
      <c r="F333" s="151">
        <f t="shared" ref="F333:F396" ca="1" si="59">$D$8/12*D332</f>
        <v>148686.00067953314</v>
      </c>
      <c r="G333" s="151">
        <f t="shared" ref="G333:G396" ca="1" si="60">E333-F333</f>
        <v>157333.32112587817</v>
      </c>
      <c r="H333" s="151">
        <f ca="1">'HUD - Snapshot'!$K$10/12*D332</f>
        <v>7434.3000339766577</v>
      </c>
      <c r="I333" s="151">
        <f t="shared" ref="I333:I396" ca="1" si="61">SUM(F333:H333)</f>
        <v>313453.62183938798</v>
      </c>
      <c r="J333" s="162"/>
      <c r="K333" s="152"/>
      <c r="L333" s="152"/>
      <c r="Q333"/>
      <c r="R333"/>
      <c r="S333"/>
      <c r="T333"/>
      <c r="U333"/>
      <c r="V333"/>
      <c r="W333"/>
      <c r="X333"/>
      <c r="Y333"/>
      <c r="Z333"/>
      <c r="AA333"/>
      <c r="AB333"/>
      <c r="AC333"/>
      <c r="AD333"/>
      <c r="AE333"/>
      <c r="AF333"/>
      <c r="AG333"/>
      <c r="AH333"/>
      <c r="AI333"/>
      <c r="AJ333"/>
      <c r="AK333"/>
      <c r="AL333"/>
      <c r="AM333"/>
      <c r="AN333"/>
      <c r="AO333"/>
      <c r="AP333"/>
      <c r="AQ333"/>
    </row>
    <row r="334" spans="2:43" s="150" customFormat="1" ht="15">
      <c r="B334" s="150">
        <v>322</v>
      </c>
      <c r="C334" s="153">
        <v>54332</v>
      </c>
      <c r="D334" s="151">
        <f t="shared" ca="1" si="57"/>
        <v>35369317.96533151</v>
      </c>
      <c r="E334" s="151">
        <f t="shared" ca="1" si="58"/>
        <v>306019.32180541131</v>
      </c>
      <c r="F334" s="151">
        <f t="shared" ca="1" si="59"/>
        <v>148030.445174842</v>
      </c>
      <c r="G334" s="151">
        <f t="shared" ca="1" si="60"/>
        <v>157988.87663056931</v>
      </c>
      <c r="H334" s="151">
        <f ca="1">'HUD - Snapshot'!$K$10/12*D333</f>
        <v>7401.5222587420994</v>
      </c>
      <c r="I334" s="151">
        <f t="shared" ca="1" si="61"/>
        <v>313420.84406415338</v>
      </c>
      <c r="J334" s="162"/>
      <c r="K334" s="152"/>
      <c r="L334" s="152"/>
      <c r="Q334"/>
      <c r="R334"/>
      <c r="S334"/>
      <c r="T334"/>
      <c r="U334"/>
      <c r="V334"/>
      <c r="W334"/>
      <c r="X334"/>
      <c r="Y334"/>
      <c r="Z334"/>
      <c r="AA334"/>
      <c r="AB334"/>
      <c r="AC334"/>
      <c r="AD334"/>
      <c r="AE334"/>
      <c r="AF334"/>
      <c r="AG334"/>
      <c r="AH334"/>
      <c r="AI334"/>
      <c r="AJ334"/>
      <c r="AK334"/>
      <c r="AL334"/>
      <c r="AM334"/>
      <c r="AN334"/>
      <c r="AO334"/>
      <c r="AP334"/>
      <c r="AQ334"/>
    </row>
    <row r="335" spans="2:43" s="150" customFormat="1" ht="15">
      <c r="B335" s="150">
        <v>323</v>
      </c>
      <c r="C335" s="153">
        <v>54363</v>
      </c>
      <c r="D335" s="151">
        <f t="shared" ca="1" si="57"/>
        <v>35210670.801714979</v>
      </c>
      <c r="E335" s="151">
        <f t="shared" ca="1" si="58"/>
        <v>306019.32180541131</v>
      </c>
      <c r="F335" s="151">
        <f t="shared" ca="1" si="59"/>
        <v>147372.15818888129</v>
      </c>
      <c r="G335" s="151">
        <f t="shared" ca="1" si="60"/>
        <v>158647.16361653002</v>
      </c>
      <c r="H335" s="151">
        <f ca="1">'HUD - Snapshot'!$K$10/12*D334</f>
        <v>7368.6079094440647</v>
      </c>
      <c r="I335" s="151">
        <f t="shared" ca="1" si="61"/>
        <v>313387.92971485539</v>
      </c>
      <c r="J335" s="162"/>
      <c r="K335" s="152"/>
      <c r="L335" s="152"/>
      <c r="Q335"/>
      <c r="R335"/>
      <c r="S335"/>
      <c r="T335"/>
      <c r="U335"/>
      <c r="V335"/>
      <c r="W335"/>
      <c r="X335"/>
      <c r="Y335"/>
      <c r="Z335"/>
      <c r="AA335"/>
      <c r="AB335"/>
      <c r="AC335"/>
      <c r="AD335"/>
      <c r="AE335"/>
      <c r="AF335"/>
      <c r="AG335"/>
      <c r="AH335"/>
      <c r="AI335"/>
      <c r="AJ335"/>
      <c r="AK335"/>
      <c r="AL335"/>
      <c r="AM335"/>
      <c r="AN335"/>
      <c r="AO335"/>
      <c r="AP335"/>
      <c r="AQ335"/>
    </row>
    <row r="336" spans="2:43" s="150" customFormat="1" ht="15">
      <c r="B336" s="150">
        <v>324</v>
      </c>
      <c r="C336" s="153">
        <v>54393</v>
      </c>
      <c r="D336" s="151">
        <f t="shared" ca="1" si="57"/>
        <v>35051362.608250044</v>
      </c>
      <c r="E336" s="151">
        <f t="shared" ca="1" si="58"/>
        <v>306019.32180541131</v>
      </c>
      <c r="F336" s="151">
        <f t="shared" ca="1" si="59"/>
        <v>146711.12834047907</v>
      </c>
      <c r="G336" s="151">
        <f t="shared" ca="1" si="60"/>
        <v>159308.19346493224</v>
      </c>
      <c r="H336" s="151">
        <f ca="1">'HUD - Snapshot'!$K$10/12*D335</f>
        <v>7335.5564170239541</v>
      </c>
      <c r="I336" s="151">
        <f t="shared" ca="1" si="61"/>
        <v>313354.87822243525</v>
      </c>
      <c r="J336" s="162"/>
      <c r="K336" s="152">
        <f ca="1">SUM(I325:I336)</f>
        <v>3762410.0455050194</v>
      </c>
      <c r="L336" s="152">
        <f ca="1">SUM(F325:F336)</f>
        <v>1803563.6768016755</v>
      </c>
      <c r="Q336"/>
      <c r="R336"/>
      <c r="S336"/>
      <c r="T336"/>
      <c r="U336"/>
      <c r="V336"/>
      <c r="W336"/>
      <c r="X336"/>
      <c r="Y336"/>
      <c r="Z336"/>
      <c r="AA336"/>
      <c r="AB336"/>
      <c r="AC336"/>
      <c r="AD336"/>
      <c r="AE336"/>
      <c r="AF336"/>
      <c r="AG336"/>
      <c r="AH336"/>
      <c r="AI336"/>
      <c r="AJ336"/>
      <c r="AK336"/>
      <c r="AL336"/>
      <c r="AM336"/>
      <c r="AN336"/>
      <c r="AO336"/>
      <c r="AP336"/>
      <c r="AQ336"/>
    </row>
    <row r="337" spans="2:43" s="150" customFormat="1" ht="15">
      <c r="B337" s="150">
        <v>325</v>
      </c>
      <c r="C337" s="153">
        <v>54424</v>
      </c>
      <c r="D337" s="151">
        <f t="shared" ca="1" si="57"/>
        <v>34891390.630645677</v>
      </c>
      <c r="E337" s="151">
        <f t="shared" ca="1" si="58"/>
        <v>306019.32180541131</v>
      </c>
      <c r="F337" s="151">
        <f t="shared" ca="1" si="59"/>
        <v>146047.34420104185</v>
      </c>
      <c r="G337" s="151">
        <f t="shared" ca="1" si="60"/>
        <v>159971.97760436946</v>
      </c>
      <c r="H337" s="151">
        <f ca="1">'HUD - Snapshot'!$K$10/12*D336</f>
        <v>7302.3672100520935</v>
      </c>
      <c r="I337" s="151">
        <f t="shared" ca="1" si="61"/>
        <v>313321.6890154634</v>
      </c>
      <c r="J337" s="162"/>
      <c r="K337" s="152"/>
      <c r="L337" s="152"/>
      <c r="Q337"/>
      <c r="R337"/>
      <c r="S337"/>
      <c r="T337"/>
      <c r="U337"/>
      <c r="V337"/>
      <c r="W337"/>
      <c r="X337"/>
      <c r="Y337"/>
      <c r="Z337"/>
      <c r="AA337"/>
      <c r="AB337"/>
      <c r="AC337"/>
      <c r="AD337"/>
      <c r="AE337"/>
      <c r="AF337"/>
      <c r="AG337"/>
      <c r="AH337"/>
      <c r="AI337"/>
      <c r="AJ337"/>
      <c r="AK337"/>
      <c r="AL337"/>
      <c r="AM337"/>
      <c r="AN337"/>
      <c r="AO337"/>
      <c r="AP337"/>
      <c r="AQ337"/>
    </row>
    <row r="338" spans="2:43" s="150" customFormat="1" ht="15">
      <c r="B338" s="150">
        <v>326</v>
      </c>
      <c r="C338" s="153">
        <v>54455</v>
      </c>
      <c r="D338" s="151">
        <f t="shared" ca="1" si="57"/>
        <v>34730752.103134625</v>
      </c>
      <c r="E338" s="151">
        <f t="shared" ca="1" si="58"/>
        <v>306019.32180541131</v>
      </c>
      <c r="F338" s="151">
        <f t="shared" ca="1" si="59"/>
        <v>145380.79429435698</v>
      </c>
      <c r="G338" s="151">
        <f t="shared" ca="1" si="60"/>
        <v>160638.52751105433</v>
      </c>
      <c r="H338" s="151">
        <f ca="1">'HUD - Snapshot'!$K$10/12*D337</f>
        <v>7269.0397147178501</v>
      </c>
      <c r="I338" s="151">
        <f t="shared" ca="1" si="61"/>
        <v>313288.36152012914</v>
      </c>
      <c r="J338" s="162"/>
      <c r="K338" s="152"/>
      <c r="L338" s="152"/>
      <c r="Q338"/>
      <c r="R338"/>
      <c r="S338"/>
      <c r="T338"/>
      <c r="U338"/>
      <c r="V338"/>
      <c r="W338"/>
      <c r="X338"/>
      <c r="Y338"/>
      <c r="Z338"/>
      <c r="AA338"/>
      <c r="AB338"/>
      <c r="AC338"/>
      <c r="AD338"/>
      <c r="AE338"/>
      <c r="AF338"/>
      <c r="AG338"/>
      <c r="AH338"/>
      <c r="AI338"/>
      <c r="AJ338"/>
      <c r="AK338"/>
      <c r="AL338"/>
      <c r="AM338"/>
      <c r="AN338"/>
      <c r="AO338"/>
      <c r="AP338"/>
      <c r="AQ338"/>
    </row>
    <row r="339" spans="2:43" s="150" customFormat="1" ht="15">
      <c r="B339" s="150">
        <v>327</v>
      </c>
      <c r="C339" s="153">
        <v>54483</v>
      </c>
      <c r="D339" s="151">
        <f t="shared" ca="1" si="57"/>
        <v>34569444.24842561</v>
      </c>
      <c r="E339" s="151">
        <f t="shared" ca="1" si="58"/>
        <v>306019.32180541131</v>
      </c>
      <c r="F339" s="151">
        <f t="shared" ca="1" si="59"/>
        <v>144711.46709639428</v>
      </c>
      <c r="G339" s="151">
        <f t="shared" ca="1" si="60"/>
        <v>161307.85470901703</v>
      </c>
      <c r="H339" s="151">
        <f ca="1">'HUD - Snapshot'!$K$10/12*D338</f>
        <v>7235.573354819714</v>
      </c>
      <c r="I339" s="151">
        <f t="shared" ca="1" si="61"/>
        <v>313254.89516023104</v>
      </c>
      <c r="J339" s="162"/>
      <c r="K339" s="152"/>
      <c r="L339" s="152"/>
      <c r="Q339"/>
      <c r="R339"/>
      <c r="S339"/>
      <c r="T339"/>
      <c r="U339"/>
      <c r="V339"/>
      <c r="W339"/>
      <c r="X339"/>
      <c r="Y339"/>
      <c r="Z339"/>
      <c r="AA339"/>
      <c r="AB339"/>
      <c r="AC339"/>
      <c r="AD339"/>
      <c r="AE339"/>
      <c r="AF339"/>
      <c r="AG339"/>
      <c r="AH339"/>
      <c r="AI339"/>
      <c r="AJ339"/>
      <c r="AK339"/>
      <c r="AL339"/>
      <c r="AM339"/>
      <c r="AN339"/>
      <c r="AO339"/>
      <c r="AP339"/>
      <c r="AQ339"/>
    </row>
    <row r="340" spans="2:43" s="150" customFormat="1" ht="15">
      <c r="B340" s="150">
        <v>328</v>
      </c>
      <c r="C340" s="153">
        <v>54514</v>
      </c>
      <c r="D340" s="151">
        <f t="shared" ca="1" si="57"/>
        <v>34407464.277655303</v>
      </c>
      <c r="E340" s="151">
        <f t="shared" ca="1" si="58"/>
        <v>306019.32180541131</v>
      </c>
      <c r="F340" s="151">
        <f t="shared" ca="1" si="59"/>
        <v>144039.35103510669</v>
      </c>
      <c r="G340" s="151">
        <f t="shared" ca="1" si="60"/>
        <v>161979.97077030462</v>
      </c>
      <c r="H340" s="151">
        <f ca="1">'HUD - Snapshot'!$K$10/12*D339</f>
        <v>7201.967551755336</v>
      </c>
      <c r="I340" s="151">
        <f t="shared" ca="1" si="61"/>
        <v>313221.28935716662</v>
      </c>
      <c r="J340" s="162"/>
      <c r="K340" s="152"/>
      <c r="L340" s="152"/>
      <c r="Q340"/>
      <c r="R340"/>
      <c r="S340"/>
      <c r="T340"/>
      <c r="U340"/>
      <c r="V340"/>
      <c r="W340"/>
      <c r="X340"/>
      <c r="Y340"/>
      <c r="Z340"/>
      <c r="AA340"/>
      <c r="AB340"/>
      <c r="AC340"/>
      <c r="AD340"/>
      <c r="AE340"/>
      <c r="AF340"/>
      <c r="AG340"/>
      <c r="AH340"/>
      <c r="AI340"/>
      <c r="AJ340"/>
      <c r="AK340"/>
      <c r="AL340"/>
      <c r="AM340"/>
      <c r="AN340"/>
      <c r="AO340"/>
      <c r="AP340"/>
      <c r="AQ340"/>
    </row>
    <row r="341" spans="2:43" s="150" customFormat="1" ht="15">
      <c r="B341" s="150">
        <v>329</v>
      </c>
      <c r="C341" s="153">
        <v>54544</v>
      </c>
      <c r="D341" s="151">
        <f t="shared" ca="1" si="57"/>
        <v>34244809.39034012</v>
      </c>
      <c r="E341" s="151">
        <f t="shared" ca="1" si="58"/>
        <v>306019.32180541131</v>
      </c>
      <c r="F341" s="151">
        <f t="shared" ca="1" si="59"/>
        <v>143364.43449023043</v>
      </c>
      <c r="G341" s="151">
        <f t="shared" ca="1" si="60"/>
        <v>162654.88731518088</v>
      </c>
      <c r="H341" s="151">
        <f ca="1">'HUD - Snapshot'!$K$10/12*D340</f>
        <v>7168.2217245115216</v>
      </c>
      <c r="I341" s="151">
        <f t="shared" ca="1" si="61"/>
        <v>313187.54352992284</v>
      </c>
      <c r="J341" s="162"/>
      <c r="K341" s="152"/>
      <c r="L341" s="152"/>
      <c r="Q341"/>
      <c r="R341"/>
      <c r="S341"/>
      <c r="T341"/>
      <c r="U341"/>
      <c r="V341"/>
      <c r="W341"/>
      <c r="X341"/>
      <c r="Y341"/>
      <c r="Z341"/>
      <c r="AA341"/>
      <c r="AB341"/>
      <c r="AC341"/>
      <c r="AD341"/>
      <c r="AE341"/>
      <c r="AF341"/>
      <c r="AG341"/>
      <c r="AH341"/>
      <c r="AI341"/>
      <c r="AJ341"/>
      <c r="AK341"/>
      <c r="AL341"/>
      <c r="AM341"/>
      <c r="AN341"/>
      <c r="AO341"/>
      <c r="AP341"/>
      <c r="AQ341"/>
    </row>
    <row r="342" spans="2:43" s="150" customFormat="1" ht="15">
      <c r="B342" s="150">
        <v>330</v>
      </c>
      <c r="C342" s="153">
        <v>54575</v>
      </c>
      <c r="D342" s="151">
        <f t="shared" ca="1" si="57"/>
        <v>34081476.774327792</v>
      </c>
      <c r="E342" s="151">
        <f t="shared" ca="1" si="58"/>
        <v>306019.32180541131</v>
      </c>
      <c r="F342" s="151">
        <f t="shared" ca="1" si="59"/>
        <v>142686.70579308382</v>
      </c>
      <c r="G342" s="151">
        <f t="shared" ca="1" si="60"/>
        <v>163332.61601232749</v>
      </c>
      <c r="H342" s="151">
        <f ca="1">'HUD - Snapshot'!$K$10/12*D341</f>
        <v>7134.3352896541919</v>
      </c>
      <c r="I342" s="151">
        <f t="shared" ca="1" si="61"/>
        <v>313153.65709506552</v>
      </c>
      <c r="J342" s="162"/>
      <c r="K342" s="152"/>
      <c r="L342" s="152"/>
      <c r="Q342"/>
      <c r="R342"/>
      <c r="S342"/>
      <c r="T342"/>
      <c r="U342"/>
      <c r="V342"/>
      <c r="W342"/>
      <c r="X342"/>
      <c r="Y342"/>
      <c r="Z342"/>
      <c r="AA342"/>
      <c r="AB342"/>
      <c r="AC342"/>
      <c r="AD342"/>
      <c r="AE342"/>
      <c r="AF342"/>
      <c r="AG342"/>
      <c r="AH342"/>
      <c r="AI342"/>
      <c r="AJ342"/>
      <c r="AK342"/>
      <c r="AL342"/>
      <c r="AM342"/>
      <c r="AN342"/>
      <c r="AO342"/>
      <c r="AP342"/>
      <c r="AQ342"/>
    </row>
    <row r="343" spans="2:43" s="150" customFormat="1" ht="15">
      <c r="B343" s="150">
        <v>331</v>
      </c>
      <c r="C343" s="153">
        <v>54605</v>
      </c>
      <c r="D343" s="151">
        <f t="shared" ca="1" si="57"/>
        <v>33917463.60574875</v>
      </c>
      <c r="E343" s="151">
        <f t="shared" ca="1" si="58"/>
        <v>306019.32180541131</v>
      </c>
      <c r="F343" s="151">
        <f t="shared" ca="1" si="59"/>
        <v>142006.1532263658</v>
      </c>
      <c r="G343" s="151">
        <f t="shared" ca="1" si="60"/>
        <v>164013.16857904551</v>
      </c>
      <c r="H343" s="151">
        <f ca="1">'HUD - Snapshot'!$K$10/12*D342</f>
        <v>7100.3076613182902</v>
      </c>
      <c r="I343" s="151">
        <f t="shared" ca="1" si="61"/>
        <v>313119.62946672959</v>
      </c>
      <c r="J343" s="162"/>
      <c r="K343" s="152"/>
      <c r="L343" s="152"/>
      <c r="Q343"/>
      <c r="R343"/>
      <c r="S343"/>
      <c r="T343"/>
      <c r="U343"/>
      <c r="V343"/>
      <c r="W343"/>
      <c r="X343"/>
      <c r="Y343"/>
      <c r="Z343"/>
      <c r="AA343"/>
      <c r="AB343"/>
      <c r="AC343"/>
      <c r="AD343"/>
      <c r="AE343"/>
      <c r="AF343"/>
      <c r="AG343"/>
      <c r="AH343"/>
      <c r="AI343"/>
      <c r="AJ343"/>
      <c r="AK343"/>
      <c r="AL343"/>
      <c r="AM343"/>
      <c r="AN343"/>
      <c r="AO343"/>
      <c r="AP343"/>
      <c r="AQ343"/>
    </row>
    <row r="344" spans="2:43" s="150" customFormat="1" ht="15">
      <c r="B344" s="150">
        <v>332</v>
      </c>
      <c r="C344" s="153">
        <v>54636</v>
      </c>
      <c r="D344" s="151">
        <f t="shared" ca="1" si="57"/>
        <v>33752767.048967294</v>
      </c>
      <c r="E344" s="151">
        <f t="shared" ca="1" si="58"/>
        <v>306019.32180541131</v>
      </c>
      <c r="F344" s="151">
        <f t="shared" ca="1" si="59"/>
        <v>141322.76502395314</v>
      </c>
      <c r="G344" s="151">
        <f t="shared" ca="1" si="60"/>
        <v>164696.55678145817</v>
      </c>
      <c r="H344" s="151">
        <f ca="1">'HUD - Snapshot'!$K$10/12*D343</f>
        <v>7066.1382511976572</v>
      </c>
      <c r="I344" s="151">
        <f t="shared" ca="1" si="61"/>
        <v>313085.46005660895</v>
      </c>
      <c r="J344" s="162"/>
      <c r="K344" s="152"/>
      <c r="L344" s="152"/>
      <c r="Q344"/>
      <c r="R344"/>
      <c r="S344"/>
      <c r="T344"/>
      <c r="U344"/>
      <c r="V344"/>
      <c r="W344"/>
      <c r="X344"/>
      <c r="Y344"/>
      <c r="Z344"/>
      <c r="AA344"/>
      <c r="AB344"/>
      <c r="AC344"/>
      <c r="AD344"/>
      <c r="AE344"/>
      <c r="AF344"/>
      <c r="AG344"/>
      <c r="AH344"/>
      <c r="AI344"/>
      <c r="AJ344"/>
      <c r="AK344"/>
      <c r="AL344"/>
      <c r="AM344"/>
      <c r="AN344"/>
      <c r="AO344"/>
      <c r="AP344"/>
      <c r="AQ344"/>
    </row>
    <row r="345" spans="2:43" s="150" customFormat="1" ht="15">
      <c r="B345" s="150">
        <v>333</v>
      </c>
      <c r="C345" s="153">
        <v>54667</v>
      </c>
      <c r="D345" s="151">
        <f t="shared" ca="1" si="57"/>
        <v>33587384.25653258</v>
      </c>
      <c r="E345" s="151">
        <f t="shared" ca="1" si="58"/>
        <v>306019.32180541131</v>
      </c>
      <c r="F345" s="151">
        <f t="shared" ca="1" si="59"/>
        <v>140636.52937069707</v>
      </c>
      <c r="G345" s="151">
        <f t="shared" ca="1" si="60"/>
        <v>165382.79243471424</v>
      </c>
      <c r="H345" s="151">
        <f ca="1">'HUD - Snapshot'!$K$10/12*D344</f>
        <v>7031.8264685348531</v>
      </c>
      <c r="I345" s="151">
        <f t="shared" ca="1" si="61"/>
        <v>313051.14827394614</v>
      </c>
      <c r="J345" s="162"/>
      <c r="K345" s="152"/>
      <c r="L345" s="152"/>
      <c r="Q345"/>
      <c r="R345"/>
      <c r="S345"/>
      <c r="T345"/>
      <c r="U345"/>
      <c r="V345"/>
      <c r="W345"/>
      <c r="X345"/>
      <c r="Y345"/>
      <c r="Z345"/>
      <c r="AA345"/>
      <c r="AB345"/>
      <c r="AC345"/>
      <c r="AD345"/>
      <c r="AE345"/>
      <c r="AF345"/>
      <c r="AG345"/>
      <c r="AH345"/>
      <c r="AI345"/>
      <c r="AJ345"/>
      <c r="AK345"/>
      <c r="AL345"/>
      <c r="AM345"/>
      <c r="AN345"/>
      <c r="AO345"/>
      <c r="AP345"/>
      <c r="AQ345"/>
    </row>
    <row r="346" spans="2:43" s="150" customFormat="1" ht="15">
      <c r="B346" s="150">
        <v>334</v>
      </c>
      <c r="C346" s="153">
        <v>54697</v>
      </c>
      <c r="D346" s="151">
        <f t="shared" ca="1" si="57"/>
        <v>33421312.369129386</v>
      </c>
      <c r="E346" s="151">
        <f t="shared" ca="1" si="58"/>
        <v>306019.32180541131</v>
      </c>
      <c r="F346" s="151">
        <f t="shared" ca="1" si="59"/>
        <v>139947.43440221908</v>
      </c>
      <c r="G346" s="151">
        <f t="shared" ca="1" si="60"/>
        <v>166071.88740319223</v>
      </c>
      <c r="H346" s="151">
        <f ca="1">'HUD - Snapshot'!$K$10/12*D345</f>
        <v>6997.3717201109548</v>
      </c>
      <c r="I346" s="151">
        <f t="shared" ca="1" si="61"/>
        <v>313016.69352552225</v>
      </c>
      <c r="J346" s="162"/>
      <c r="K346" s="152"/>
      <c r="L346" s="152"/>
      <c r="Q346"/>
      <c r="R346"/>
      <c r="S346"/>
      <c r="T346"/>
      <c r="U346"/>
      <c r="V346"/>
      <c r="W346"/>
      <c r="X346"/>
      <c r="Y346"/>
      <c r="Z346"/>
      <c r="AA346"/>
      <c r="AB346"/>
      <c r="AC346"/>
      <c r="AD346"/>
      <c r="AE346"/>
      <c r="AF346"/>
      <c r="AG346"/>
      <c r="AH346"/>
      <c r="AI346"/>
      <c r="AJ346"/>
      <c r="AK346"/>
      <c r="AL346"/>
      <c r="AM346"/>
      <c r="AN346"/>
      <c r="AO346"/>
      <c r="AP346"/>
      <c r="AQ346"/>
    </row>
    <row r="347" spans="2:43" s="150" customFormat="1" ht="15">
      <c r="B347" s="150">
        <v>335</v>
      </c>
      <c r="C347" s="153">
        <v>54728</v>
      </c>
      <c r="D347" s="151">
        <f t="shared" ca="1" si="57"/>
        <v>33254548.515528679</v>
      </c>
      <c r="E347" s="151">
        <f t="shared" ca="1" si="58"/>
        <v>306019.32180541131</v>
      </c>
      <c r="F347" s="151">
        <f t="shared" ca="1" si="59"/>
        <v>139255.46820470577</v>
      </c>
      <c r="G347" s="151">
        <f t="shared" ca="1" si="60"/>
        <v>166763.85360070554</v>
      </c>
      <c r="H347" s="151">
        <f ca="1">'HUD - Snapshot'!$K$10/12*D346</f>
        <v>6962.7734102352888</v>
      </c>
      <c r="I347" s="151">
        <f t="shared" ca="1" si="61"/>
        <v>312982.09521564661</v>
      </c>
      <c r="J347" s="162"/>
      <c r="K347" s="152"/>
      <c r="L347" s="152"/>
      <c r="Q347"/>
      <c r="R347"/>
      <c r="S347"/>
      <c r="T347"/>
      <c r="U347"/>
      <c r="V347"/>
      <c r="W347"/>
      <c r="X347"/>
      <c r="Y347"/>
      <c r="Z347"/>
      <c r="AA347"/>
      <c r="AB347"/>
      <c r="AC347"/>
      <c r="AD347"/>
      <c r="AE347"/>
      <c r="AF347"/>
      <c r="AG347"/>
      <c r="AH347"/>
      <c r="AI347"/>
      <c r="AJ347"/>
      <c r="AK347"/>
      <c r="AL347"/>
      <c r="AM347"/>
      <c r="AN347"/>
      <c r="AO347"/>
      <c r="AP347"/>
      <c r="AQ347"/>
    </row>
    <row r="348" spans="2:43" s="150" customFormat="1" ht="15">
      <c r="B348" s="150">
        <v>336</v>
      </c>
      <c r="C348" s="153">
        <v>54758</v>
      </c>
      <c r="D348" s="151">
        <f t="shared" ca="1" si="57"/>
        <v>33087089.812537972</v>
      </c>
      <c r="E348" s="151">
        <f t="shared" ca="1" si="58"/>
        <v>306019.32180541131</v>
      </c>
      <c r="F348" s="151">
        <f t="shared" ca="1" si="59"/>
        <v>138560.61881470282</v>
      </c>
      <c r="G348" s="151">
        <f t="shared" ca="1" si="60"/>
        <v>167458.70299070849</v>
      </c>
      <c r="H348" s="151">
        <f ca="1">'HUD - Snapshot'!$K$10/12*D347</f>
        <v>6928.0309407351415</v>
      </c>
      <c r="I348" s="151">
        <f t="shared" ca="1" si="61"/>
        <v>312947.35274614644</v>
      </c>
      <c r="J348" s="162"/>
      <c r="K348" s="152">
        <f ca="1">SUM(I337:I348)</f>
        <v>3757629.8149625785</v>
      </c>
      <c r="L348" s="152">
        <f ca="1">SUM(F337:F348)</f>
        <v>1707959.0659528575</v>
      </c>
      <c r="Q348"/>
      <c r="R348"/>
      <c r="S348"/>
      <c r="T348"/>
      <c r="U348"/>
      <c r="V348"/>
      <c r="W348"/>
      <c r="X348"/>
      <c r="Y348"/>
      <c r="Z348"/>
      <c r="AA348"/>
      <c r="AB348"/>
      <c r="AC348"/>
      <c r="AD348"/>
      <c r="AE348"/>
      <c r="AF348"/>
      <c r="AG348"/>
      <c r="AH348"/>
      <c r="AI348"/>
      <c r="AJ348"/>
      <c r="AK348"/>
      <c r="AL348"/>
      <c r="AM348"/>
      <c r="AN348"/>
      <c r="AO348"/>
      <c r="AP348"/>
      <c r="AQ348"/>
    </row>
    <row r="349" spans="2:43" s="150" customFormat="1" ht="15">
      <c r="B349" s="150">
        <v>337</v>
      </c>
      <c r="C349" s="153">
        <v>54789</v>
      </c>
      <c r="D349" s="151">
        <f t="shared" ca="1" si="57"/>
        <v>32918933.364951469</v>
      </c>
      <c r="E349" s="151">
        <f t="shared" ca="1" si="58"/>
        <v>306019.32180541131</v>
      </c>
      <c r="F349" s="151">
        <f t="shared" ca="1" si="59"/>
        <v>137862.87421890823</v>
      </c>
      <c r="G349" s="151">
        <f t="shared" ca="1" si="60"/>
        <v>168156.44758650308</v>
      </c>
      <c r="H349" s="151">
        <f ca="1">'HUD - Snapshot'!$K$10/12*D348</f>
        <v>6893.1437109454109</v>
      </c>
      <c r="I349" s="151">
        <f t="shared" ca="1" si="61"/>
        <v>312912.46551635669</v>
      </c>
      <c r="J349" s="162"/>
      <c r="K349" s="152"/>
      <c r="L349" s="152"/>
      <c r="Q349"/>
      <c r="R349"/>
      <c r="S349"/>
      <c r="T349"/>
      <c r="U349"/>
      <c r="V349"/>
      <c r="W349"/>
      <c r="X349"/>
      <c r="Y349"/>
      <c r="Z349"/>
      <c r="AA349"/>
      <c r="AB349"/>
      <c r="AC349"/>
      <c r="AD349"/>
      <c r="AE349"/>
      <c r="AF349"/>
      <c r="AG349"/>
      <c r="AH349"/>
      <c r="AI349"/>
      <c r="AJ349"/>
      <c r="AK349"/>
      <c r="AL349"/>
      <c r="AM349"/>
      <c r="AN349"/>
      <c r="AO349"/>
      <c r="AP349"/>
      <c r="AQ349"/>
    </row>
    <row r="350" spans="2:43" s="150" customFormat="1" ht="15">
      <c r="B350" s="150">
        <v>338</v>
      </c>
      <c r="C350" s="153">
        <v>54820</v>
      </c>
      <c r="D350" s="151">
        <f t="shared" ca="1" si="57"/>
        <v>32750076.265500024</v>
      </c>
      <c r="E350" s="151">
        <f t="shared" ca="1" si="58"/>
        <v>306019.32180541131</v>
      </c>
      <c r="F350" s="151">
        <f t="shared" ca="1" si="59"/>
        <v>137162.22235396446</v>
      </c>
      <c r="G350" s="151">
        <f t="shared" ca="1" si="60"/>
        <v>168857.09945144685</v>
      </c>
      <c r="H350" s="151">
        <f ca="1">'HUD - Snapshot'!$K$10/12*D349</f>
        <v>6858.1111176982231</v>
      </c>
      <c r="I350" s="151">
        <f t="shared" ca="1" si="61"/>
        <v>312877.4329231095</v>
      </c>
      <c r="J350" s="162"/>
      <c r="K350" s="152"/>
      <c r="L350" s="152"/>
      <c r="Q350"/>
      <c r="R350"/>
      <c r="S350"/>
      <c r="T350"/>
      <c r="U350"/>
      <c r="V350"/>
      <c r="W350"/>
      <c r="X350"/>
      <c r="Y350"/>
      <c r="Z350"/>
      <c r="AA350"/>
      <c r="AB350"/>
      <c r="AC350"/>
      <c r="AD350"/>
      <c r="AE350"/>
      <c r="AF350"/>
      <c r="AG350"/>
      <c r="AH350"/>
      <c r="AI350"/>
      <c r="AJ350"/>
      <c r="AK350"/>
      <c r="AL350"/>
      <c r="AM350"/>
      <c r="AN350"/>
      <c r="AO350"/>
      <c r="AP350"/>
      <c r="AQ350"/>
    </row>
    <row r="351" spans="2:43" s="150" customFormat="1" ht="15">
      <c r="B351" s="150">
        <v>339</v>
      </c>
      <c r="C351" s="153">
        <v>54848</v>
      </c>
      <c r="D351" s="151">
        <f t="shared" ca="1" si="57"/>
        <v>32580515.594800863</v>
      </c>
      <c r="E351" s="151">
        <f t="shared" ca="1" si="58"/>
        <v>306019.32180541131</v>
      </c>
      <c r="F351" s="151">
        <f t="shared" ca="1" si="59"/>
        <v>136458.65110625009</v>
      </c>
      <c r="G351" s="151">
        <f t="shared" ca="1" si="60"/>
        <v>169560.67069916122</v>
      </c>
      <c r="H351" s="151">
        <f ca="1">'HUD - Snapshot'!$K$10/12*D350</f>
        <v>6822.9325553125054</v>
      </c>
      <c r="I351" s="151">
        <f t="shared" ca="1" si="61"/>
        <v>312842.25436072383</v>
      </c>
      <c r="J351" s="162"/>
      <c r="K351" s="152"/>
      <c r="L351" s="152"/>
      <c r="Q351"/>
      <c r="R351"/>
      <c r="S351"/>
      <c r="T351"/>
      <c r="U351"/>
      <c r="V351"/>
      <c r="W351"/>
      <c r="X351"/>
      <c r="Y351"/>
      <c r="Z351"/>
      <c r="AA351"/>
      <c r="AB351"/>
      <c r="AC351"/>
      <c r="AD351"/>
      <c r="AE351"/>
      <c r="AF351"/>
      <c r="AG351"/>
      <c r="AH351"/>
      <c r="AI351"/>
      <c r="AJ351"/>
      <c r="AK351"/>
      <c r="AL351"/>
      <c r="AM351"/>
      <c r="AN351"/>
      <c r="AO351"/>
      <c r="AP351"/>
      <c r="AQ351"/>
    </row>
    <row r="352" spans="2:43" s="150" customFormat="1" ht="15">
      <c r="B352" s="150">
        <v>340</v>
      </c>
      <c r="C352" s="153">
        <v>54879</v>
      </c>
      <c r="D352" s="151">
        <f t="shared" ca="1" si="57"/>
        <v>32410248.421307124</v>
      </c>
      <c r="E352" s="151">
        <f t="shared" ca="1" si="58"/>
        <v>306019.32180541131</v>
      </c>
      <c r="F352" s="151">
        <f t="shared" ca="1" si="59"/>
        <v>135752.14831167026</v>
      </c>
      <c r="G352" s="151">
        <f t="shared" ca="1" si="60"/>
        <v>170267.17349374105</v>
      </c>
      <c r="H352" s="151">
        <f ca="1">'HUD - Snapshot'!$K$10/12*D351</f>
        <v>6787.607415583514</v>
      </c>
      <c r="I352" s="151">
        <f t="shared" ca="1" si="61"/>
        <v>312806.92922099482</v>
      </c>
      <c r="J352" s="162"/>
      <c r="K352" s="152"/>
      <c r="L352" s="152"/>
      <c r="Q352"/>
      <c r="R352"/>
      <c r="S352"/>
      <c r="T352"/>
      <c r="U352"/>
      <c r="V352"/>
      <c r="W352"/>
      <c r="X352"/>
      <c r="Y352"/>
      <c r="Z352"/>
      <c r="AA352"/>
      <c r="AB352"/>
      <c r="AC352"/>
      <c r="AD352"/>
      <c r="AE352"/>
      <c r="AF352"/>
      <c r="AG352"/>
      <c r="AH352"/>
      <c r="AI352"/>
      <c r="AJ352"/>
      <c r="AK352"/>
      <c r="AL352"/>
      <c r="AM352"/>
      <c r="AN352"/>
      <c r="AO352"/>
      <c r="AP352"/>
      <c r="AQ352"/>
    </row>
    <row r="353" spans="2:43" s="150" customFormat="1" ht="15">
      <c r="B353" s="150">
        <v>341</v>
      </c>
      <c r="C353" s="153">
        <v>54909</v>
      </c>
      <c r="D353" s="151">
        <f t="shared" ca="1" si="57"/>
        <v>32239271.80125716</v>
      </c>
      <c r="E353" s="151">
        <f t="shared" ca="1" si="58"/>
        <v>306019.32180541131</v>
      </c>
      <c r="F353" s="151">
        <f t="shared" ca="1" si="59"/>
        <v>135042.70175544635</v>
      </c>
      <c r="G353" s="151">
        <f t="shared" ca="1" si="60"/>
        <v>170976.62004996496</v>
      </c>
      <c r="H353" s="151">
        <f ca="1">'HUD - Snapshot'!$K$10/12*D352</f>
        <v>6752.135087772318</v>
      </c>
      <c r="I353" s="151">
        <f t="shared" ca="1" si="61"/>
        <v>312771.45689318364</v>
      </c>
      <c r="J353" s="162"/>
      <c r="K353" s="152"/>
      <c r="L353" s="152"/>
      <c r="Q353"/>
      <c r="R353"/>
      <c r="S353"/>
      <c r="T353"/>
      <c r="U353"/>
      <c r="V353"/>
      <c r="W353"/>
      <c r="X353"/>
      <c r="Y353"/>
      <c r="Z353"/>
      <c r="AA353"/>
      <c r="AB353"/>
      <c r="AC353"/>
      <c r="AD353"/>
      <c r="AE353"/>
      <c r="AF353"/>
      <c r="AG353"/>
      <c r="AH353"/>
      <c r="AI353"/>
      <c r="AJ353"/>
      <c r="AK353"/>
      <c r="AL353"/>
      <c r="AM353"/>
      <c r="AN353"/>
      <c r="AO353"/>
      <c r="AP353"/>
      <c r="AQ353"/>
    </row>
    <row r="354" spans="2:43" s="150" customFormat="1" ht="15">
      <c r="B354" s="150">
        <v>342</v>
      </c>
      <c r="C354" s="153">
        <v>54940</v>
      </c>
      <c r="D354" s="151">
        <f t="shared" ca="1" si="57"/>
        <v>32067582.778623652</v>
      </c>
      <c r="E354" s="151">
        <f t="shared" ca="1" si="58"/>
        <v>306019.32180541131</v>
      </c>
      <c r="F354" s="151">
        <f t="shared" ca="1" si="59"/>
        <v>134330.29917190483</v>
      </c>
      <c r="G354" s="151">
        <f t="shared" ca="1" si="60"/>
        <v>171689.02263350648</v>
      </c>
      <c r="H354" s="151">
        <f ca="1">'HUD - Snapshot'!$K$10/12*D353</f>
        <v>6716.5149585952422</v>
      </c>
      <c r="I354" s="151">
        <f t="shared" ca="1" si="61"/>
        <v>312735.83676400653</v>
      </c>
      <c r="J354" s="162"/>
      <c r="K354" s="152"/>
      <c r="L354" s="152"/>
      <c r="Q354"/>
      <c r="R354"/>
      <c r="S354"/>
      <c r="T354"/>
      <c r="U354"/>
      <c r="V354"/>
      <c r="W354"/>
      <c r="X354"/>
      <c r="Y354"/>
      <c r="Z354"/>
      <c r="AA354"/>
      <c r="AB354"/>
      <c r="AC354"/>
      <c r="AD354"/>
      <c r="AE354"/>
      <c r="AF354"/>
      <c r="AG354"/>
      <c r="AH354"/>
      <c r="AI354"/>
      <c r="AJ354"/>
      <c r="AK354"/>
      <c r="AL354"/>
      <c r="AM354"/>
      <c r="AN354"/>
      <c r="AO354"/>
      <c r="AP354"/>
      <c r="AQ354"/>
    </row>
    <row r="355" spans="2:43" s="150" customFormat="1" ht="15">
      <c r="B355" s="150">
        <v>343</v>
      </c>
      <c r="C355" s="153">
        <v>54970</v>
      </c>
      <c r="D355" s="151">
        <f t="shared" ca="1" si="57"/>
        <v>31895178.385062505</v>
      </c>
      <c r="E355" s="151">
        <f t="shared" ca="1" si="58"/>
        <v>306019.32180541131</v>
      </c>
      <c r="F355" s="151">
        <f t="shared" ca="1" si="59"/>
        <v>133614.9282442652</v>
      </c>
      <c r="G355" s="151">
        <f t="shared" ca="1" si="60"/>
        <v>172404.39356114611</v>
      </c>
      <c r="H355" s="151">
        <f ca="1">'HUD - Snapshot'!$K$10/12*D354</f>
        <v>6680.7464122132615</v>
      </c>
      <c r="I355" s="151">
        <f t="shared" ca="1" si="61"/>
        <v>312700.06821762456</v>
      </c>
      <c r="J355" s="162"/>
      <c r="K355" s="152"/>
      <c r="L355" s="152"/>
      <c r="Q355"/>
      <c r="R355"/>
      <c r="S355"/>
      <c r="T355"/>
      <c r="U355"/>
      <c r="V355"/>
      <c r="W355"/>
      <c r="X355"/>
      <c r="Y355"/>
      <c r="Z355"/>
      <c r="AA355"/>
      <c r="AB355"/>
      <c r="AC355"/>
      <c r="AD355"/>
      <c r="AE355"/>
      <c r="AF355"/>
      <c r="AG355"/>
      <c r="AH355"/>
      <c r="AI355"/>
      <c r="AJ355"/>
      <c r="AK355"/>
      <c r="AL355"/>
      <c r="AM355"/>
      <c r="AN355"/>
      <c r="AO355"/>
      <c r="AP355"/>
      <c r="AQ355"/>
    </row>
    <row r="356" spans="2:43" s="150" customFormat="1" ht="15">
      <c r="B356" s="150">
        <v>344</v>
      </c>
      <c r="C356" s="153">
        <v>55001</v>
      </c>
      <c r="D356" s="151">
        <f t="shared" ca="1" si="57"/>
        <v>31722055.63986152</v>
      </c>
      <c r="E356" s="151">
        <f t="shared" ca="1" si="58"/>
        <v>306019.32180541131</v>
      </c>
      <c r="F356" s="151">
        <f t="shared" ca="1" si="59"/>
        <v>132896.5766044271</v>
      </c>
      <c r="G356" s="151">
        <f t="shared" ca="1" si="60"/>
        <v>173122.74520098421</v>
      </c>
      <c r="H356" s="151">
        <f ca="1">'HUD - Snapshot'!$K$10/12*D355</f>
        <v>6644.8288302213559</v>
      </c>
      <c r="I356" s="151">
        <f t="shared" ca="1" si="61"/>
        <v>312664.15063563269</v>
      </c>
      <c r="J356" s="162"/>
      <c r="K356" s="152"/>
      <c r="L356" s="152"/>
      <c r="Q356"/>
      <c r="R356"/>
      <c r="S356"/>
      <c r="T356"/>
      <c r="U356"/>
      <c r="V356"/>
      <c r="W356"/>
      <c r="X356"/>
      <c r="Y356"/>
      <c r="Z356"/>
      <c r="AA356"/>
      <c r="AB356"/>
      <c r="AC356"/>
      <c r="AD356"/>
      <c r="AE356"/>
      <c r="AF356"/>
      <c r="AG356"/>
      <c r="AH356"/>
      <c r="AI356"/>
      <c r="AJ356"/>
      <c r="AK356"/>
      <c r="AL356"/>
      <c r="AM356"/>
      <c r="AN356"/>
      <c r="AO356"/>
      <c r="AP356"/>
      <c r="AQ356"/>
    </row>
    <row r="357" spans="2:43" s="150" customFormat="1" ht="15">
      <c r="B357" s="150">
        <v>345</v>
      </c>
      <c r="C357" s="153">
        <v>55032</v>
      </c>
      <c r="D357" s="151">
        <f t="shared" ca="1" si="57"/>
        <v>31548211.549888864</v>
      </c>
      <c r="E357" s="151">
        <f t="shared" ca="1" si="58"/>
        <v>306019.32180541131</v>
      </c>
      <c r="F357" s="151">
        <f t="shared" ca="1" si="59"/>
        <v>132175.23183275634</v>
      </c>
      <c r="G357" s="151">
        <f t="shared" ca="1" si="60"/>
        <v>173844.08997265497</v>
      </c>
      <c r="H357" s="151">
        <f ca="1">'HUD - Snapshot'!$K$10/12*D356</f>
        <v>6608.7615916378172</v>
      </c>
      <c r="I357" s="151">
        <f t="shared" ca="1" si="61"/>
        <v>312628.08339704911</v>
      </c>
      <c r="J357" s="162"/>
      <c r="K357" s="152"/>
      <c r="L357" s="152"/>
      <c r="Q357"/>
      <c r="R357"/>
      <c r="S357"/>
      <c r="T357"/>
      <c r="U357"/>
      <c r="V357"/>
      <c r="W357"/>
      <c r="X357"/>
      <c r="Y357"/>
      <c r="Z357"/>
      <c r="AA357"/>
      <c r="AB357"/>
      <c r="AC357"/>
      <c r="AD357"/>
      <c r="AE357"/>
      <c r="AF357"/>
      <c r="AG357"/>
      <c r="AH357"/>
      <c r="AI357"/>
      <c r="AJ357"/>
      <c r="AK357"/>
      <c r="AL357"/>
      <c r="AM357"/>
      <c r="AN357"/>
      <c r="AO357"/>
      <c r="AP357"/>
      <c r="AQ357"/>
    </row>
    <row r="358" spans="2:43" s="150" customFormat="1" ht="15">
      <c r="B358" s="150">
        <v>346</v>
      </c>
      <c r="C358" s="153">
        <v>55062</v>
      </c>
      <c r="D358" s="151">
        <f t="shared" ca="1" si="57"/>
        <v>31373643.109541323</v>
      </c>
      <c r="E358" s="151">
        <f t="shared" ca="1" si="58"/>
        <v>306019.32180541131</v>
      </c>
      <c r="F358" s="151">
        <f t="shared" ca="1" si="59"/>
        <v>131450.88145787027</v>
      </c>
      <c r="G358" s="151">
        <f t="shared" ca="1" si="60"/>
        <v>174568.44034754104</v>
      </c>
      <c r="H358" s="151">
        <f ca="1">'HUD - Snapshot'!$K$10/12*D357</f>
        <v>6572.5440728935137</v>
      </c>
      <c r="I358" s="151">
        <f t="shared" ca="1" si="61"/>
        <v>312591.86587830482</v>
      </c>
      <c r="J358" s="162"/>
      <c r="K358" s="152"/>
      <c r="L358" s="152"/>
      <c r="Q358"/>
      <c r="R358"/>
      <c r="S358"/>
      <c r="T358"/>
      <c r="U358"/>
      <c r="V358"/>
      <c r="W358"/>
      <c r="X358"/>
      <c r="Y358"/>
      <c r="Z358"/>
      <c r="AA358"/>
      <c r="AB358"/>
      <c r="AC358"/>
      <c r="AD358"/>
      <c r="AE358"/>
      <c r="AF358"/>
      <c r="AG358"/>
      <c r="AH358"/>
      <c r="AI358"/>
      <c r="AJ358"/>
      <c r="AK358"/>
      <c r="AL358"/>
      <c r="AM358"/>
      <c r="AN358"/>
      <c r="AO358"/>
      <c r="AP358"/>
      <c r="AQ358"/>
    </row>
    <row r="359" spans="2:43" s="150" customFormat="1" ht="15">
      <c r="B359" s="150">
        <v>347</v>
      </c>
      <c r="C359" s="153">
        <v>55093</v>
      </c>
      <c r="D359" s="151">
        <f t="shared" ca="1" si="57"/>
        <v>31198347.300692335</v>
      </c>
      <c r="E359" s="151">
        <f t="shared" ca="1" si="58"/>
        <v>306019.32180541131</v>
      </c>
      <c r="F359" s="151">
        <f t="shared" ca="1" si="59"/>
        <v>130723.51295642217</v>
      </c>
      <c r="G359" s="151">
        <f t="shared" ca="1" si="60"/>
        <v>175295.80884898914</v>
      </c>
      <c r="H359" s="151">
        <f ca="1">'HUD - Snapshot'!$K$10/12*D358</f>
        <v>6536.1756478211091</v>
      </c>
      <c r="I359" s="151">
        <f t="shared" ca="1" si="61"/>
        <v>312555.49745323241</v>
      </c>
      <c r="J359" s="162"/>
      <c r="K359" s="152"/>
      <c r="L359" s="152"/>
      <c r="Q359"/>
      <c r="R359"/>
      <c r="S359"/>
      <c r="T359"/>
      <c r="U359"/>
      <c r="V359"/>
      <c r="W359"/>
      <c r="X359"/>
      <c r="Y359"/>
      <c r="Z359"/>
      <c r="AA359"/>
      <c r="AB359"/>
      <c r="AC359"/>
      <c r="AD359"/>
      <c r="AE359"/>
      <c r="AF359"/>
      <c r="AG359"/>
      <c r="AH359"/>
      <c r="AI359"/>
      <c r="AJ359"/>
      <c r="AK359"/>
      <c r="AL359"/>
      <c r="AM359"/>
      <c r="AN359"/>
      <c r="AO359"/>
      <c r="AP359"/>
      <c r="AQ359"/>
    </row>
    <row r="360" spans="2:43" s="150" customFormat="1" ht="15">
      <c r="B360" s="150">
        <v>348</v>
      </c>
      <c r="C360" s="153">
        <v>55123</v>
      </c>
      <c r="D360" s="151">
        <f t="shared" ca="1" si="57"/>
        <v>31022321.092639808</v>
      </c>
      <c r="E360" s="151">
        <f t="shared" ca="1" si="58"/>
        <v>306019.32180541131</v>
      </c>
      <c r="F360" s="151">
        <f t="shared" ca="1" si="59"/>
        <v>129993.11375288473</v>
      </c>
      <c r="G360" s="151">
        <f t="shared" ca="1" si="60"/>
        <v>176026.20805252658</v>
      </c>
      <c r="H360" s="151">
        <f ca="1">'HUD - Snapshot'!$K$10/12*D359</f>
        <v>6499.6556876442364</v>
      </c>
      <c r="I360" s="151">
        <f t="shared" ca="1" si="61"/>
        <v>312518.97749305557</v>
      </c>
      <c r="J360" s="162"/>
      <c r="K360" s="152">
        <f ca="1">SUM(I349:I360)</f>
        <v>3752605.0187532739</v>
      </c>
      <c r="L360" s="152">
        <f ca="1">SUM(F349:F360)</f>
        <v>1607463.1417667703</v>
      </c>
      <c r="Q360"/>
      <c r="R360"/>
      <c r="S360"/>
      <c r="T360"/>
      <c r="U360"/>
      <c r="V360"/>
      <c r="W360"/>
      <c r="X360"/>
      <c r="Y360"/>
      <c r="Z360"/>
      <c r="AA360"/>
      <c r="AB360"/>
      <c r="AC360"/>
      <c r="AD360"/>
      <c r="AE360"/>
      <c r="AF360"/>
      <c r="AG360"/>
      <c r="AH360"/>
      <c r="AI360"/>
      <c r="AJ360"/>
      <c r="AK360"/>
      <c r="AL360"/>
      <c r="AM360"/>
      <c r="AN360"/>
      <c r="AO360"/>
      <c r="AP360"/>
      <c r="AQ360"/>
    </row>
    <row r="361" spans="2:43" s="150" customFormat="1" ht="15">
      <c r="B361" s="150">
        <v>349</v>
      </c>
      <c r="C361" s="153">
        <v>55154</v>
      </c>
      <c r="D361" s="151">
        <f t="shared" ca="1" si="57"/>
        <v>30845561.442053728</v>
      </c>
      <c r="E361" s="151">
        <f t="shared" ca="1" si="58"/>
        <v>306019.32180541131</v>
      </c>
      <c r="F361" s="151">
        <f t="shared" ca="1" si="59"/>
        <v>129259.67121933254</v>
      </c>
      <c r="G361" s="151">
        <f t="shared" ca="1" si="60"/>
        <v>176759.65058607876</v>
      </c>
      <c r="H361" s="151">
        <f ca="1">'HUD - Snapshot'!$K$10/12*D360</f>
        <v>6462.983560966627</v>
      </c>
      <c r="I361" s="151">
        <f t="shared" ca="1" si="61"/>
        <v>312482.30536637793</v>
      </c>
      <c r="J361" s="162"/>
      <c r="K361" s="152"/>
      <c r="L361" s="152"/>
      <c r="Q361"/>
      <c r="R361"/>
      <c r="S361"/>
      <c r="T361"/>
      <c r="U361"/>
      <c r="V361"/>
      <c r="W361"/>
      <c r="X361"/>
      <c r="Y361"/>
      <c r="Z361"/>
      <c r="AA361"/>
      <c r="AB361"/>
      <c r="AC361"/>
      <c r="AD361"/>
      <c r="AE361"/>
      <c r="AF361"/>
      <c r="AG361"/>
      <c r="AH361"/>
      <c r="AI361"/>
      <c r="AJ361"/>
      <c r="AK361"/>
      <c r="AL361"/>
      <c r="AM361"/>
      <c r="AN361"/>
      <c r="AO361"/>
      <c r="AP361"/>
      <c r="AQ361"/>
    </row>
    <row r="362" spans="2:43" s="150" customFormat="1" ht="15">
      <c r="B362" s="150">
        <v>350</v>
      </c>
      <c r="C362" s="153">
        <v>55185</v>
      </c>
      <c r="D362" s="151">
        <f t="shared" ca="1" si="57"/>
        <v>30668065.29292354</v>
      </c>
      <c r="E362" s="151">
        <f t="shared" ca="1" si="58"/>
        <v>306019.32180541131</v>
      </c>
      <c r="F362" s="151">
        <f t="shared" ca="1" si="59"/>
        <v>128523.17267522386</v>
      </c>
      <c r="G362" s="151">
        <f t="shared" ca="1" si="60"/>
        <v>177496.14913018746</v>
      </c>
      <c r="H362" s="151">
        <f ca="1">'HUD - Snapshot'!$K$10/12*D361</f>
        <v>6426.1586337611934</v>
      </c>
      <c r="I362" s="151">
        <f t="shared" ca="1" si="61"/>
        <v>312445.48043917248</v>
      </c>
      <c r="J362" s="162"/>
      <c r="K362" s="152"/>
      <c r="L362" s="152"/>
      <c r="Q362"/>
      <c r="R362"/>
      <c r="S362"/>
      <c r="T362"/>
      <c r="U362"/>
      <c r="V362"/>
      <c r="W362"/>
      <c r="X362"/>
      <c r="Y362"/>
      <c r="Z362"/>
      <c r="AA362"/>
      <c r="AB362"/>
      <c r="AC362"/>
      <c r="AD362"/>
      <c r="AE362"/>
      <c r="AF362"/>
      <c r="AG362"/>
      <c r="AH362"/>
      <c r="AI362"/>
      <c r="AJ362"/>
      <c r="AK362"/>
      <c r="AL362"/>
      <c r="AM362"/>
      <c r="AN362"/>
      <c r="AO362"/>
      <c r="AP362"/>
      <c r="AQ362"/>
    </row>
    <row r="363" spans="2:43" s="150" customFormat="1" ht="15">
      <c r="B363" s="150">
        <v>351</v>
      </c>
      <c r="C363" s="153">
        <v>55213</v>
      </c>
      <c r="D363" s="151">
        <f t="shared" ca="1" si="57"/>
        <v>30489829.576505311</v>
      </c>
      <c r="E363" s="151">
        <f t="shared" ca="1" si="58"/>
        <v>306019.32180541131</v>
      </c>
      <c r="F363" s="151">
        <f t="shared" ca="1" si="59"/>
        <v>127783.60538718141</v>
      </c>
      <c r="G363" s="151">
        <f t="shared" ca="1" si="60"/>
        <v>178235.71641822992</v>
      </c>
      <c r="H363" s="151">
        <f ca="1">'HUD - Snapshot'!$K$10/12*D362</f>
        <v>6389.1802693590716</v>
      </c>
      <c r="I363" s="151">
        <f t="shared" ca="1" si="61"/>
        <v>312408.5020747704</v>
      </c>
      <c r="J363" s="162"/>
      <c r="K363" s="152"/>
      <c r="L363" s="152"/>
      <c r="Q363"/>
      <c r="R363"/>
      <c r="S363"/>
      <c r="T363"/>
      <c r="U363"/>
      <c r="V363"/>
      <c r="W363"/>
      <c r="X363"/>
      <c r="Y363"/>
      <c r="Z363"/>
      <c r="AA363"/>
      <c r="AB363"/>
      <c r="AC363"/>
      <c r="AD363"/>
      <c r="AE363"/>
      <c r="AF363"/>
      <c r="AG363"/>
      <c r="AH363"/>
      <c r="AI363"/>
      <c r="AJ363"/>
      <c r="AK363"/>
      <c r="AL363"/>
      <c r="AM363"/>
      <c r="AN363"/>
      <c r="AO363"/>
      <c r="AP363"/>
      <c r="AQ363"/>
    </row>
    <row r="364" spans="2:43" s="150" customFormat="1" ht="15">
      <c r="B364" s="150">
        <v>352</v>
      </c>
      <c r="C364" s="153">
        <v>55244</v>
      </c>
      <c r="D364" s="151">
        <f t="shared" ca="1" si="57"/>
        <v>30310851.211268671</v>
      </c>
      <c r="E364" s="151">
        <f t="shared" ca="1" si="58"/>
        <v>306019.32180541131</v>
      </c>
      <c r="F364" s="151">
        <f t="shared" ca="1" si="59"/>
        <v>127040.95656877213</v>
      </c>
      <c r="G364" s="151">
        <f t="shared" ca="1" si="60"/>
        <v>178978.36523663916</v>
      </c>
      <c r="H364" s="151">
        <f ca="1">'HUD - Snapshot'!$K$10/12*D363</f>
        <v>6352.0478284386072</v>
      </c>
      <c r="I364" s="151">
        <f t="shared" ca="1" si="61"/>
        <v>312371.36963384994</v>
      </c>
      <c r="J364" s="162"/>
      <c r="K364" s="152"/>
      <c r="L364" s="152"/>
      <c r="Q364"/>
      <c r="R364"/>
      <c r="S364"/>
      <c r="T364"/>
      <c r="U364"/>
      <c r="V364"/>
      <c r="W364"/>
      <c r="X364"/>
      <c r="Y364"/>
      <c r="Z364"/>
      <c r="AA364"/>
      <c r="AB364"/>
      <c r="AC364"/>
      <c r="AD364"/>
      <c r="AE364"/>
      <c r="AF364"/>
      <c r="AG364"/>
      <c r="AH364"/>
      <c r="AI364"/>
      <c r="AJ364"/>
      <c r="AK364"/>
      <c r="AL364"/>
      <c r="AM364"/>
      <c r="AN364"/>
      <c r="AO364"/>
      <c r="AP364"/>
      <c r="AQ364"/>
    </row>
    <row r="365" spans="2:43" s="150" customFormat="1" ht="15">
      <c r="B365" s="150">
        <v>353</v>
      </c>
      <c r="C365" s="153">
        <v>55274</v>
      </c>
      <c r="D365" s="151">
        <f t="shared" ca="1" si="57"/>
        <v>30131127.102843545</v>
      </c>
      <c r="E365" s="151">
        <f t="shared" ca="1" si="58"/>
        <v>306019.32180541131</v>
      </c>
      <c r="F365" s="151">
        <f t="shared" ca="1" si="59"/>
        <v>126295.21338028612</v>
      </c>
      <c r="G365" s="151">
        <f t="shared" ca="1" si="60"/>
        <v>179724.10842512519</v>
      </c>
      <c r="H365" s="151">
        <f ca="1">'HUD - Snapshot'!$K$10/12*D364</f>
        <v>6314.7606690143066</v>
      </c>
      <c r="I365" s="151">
        <f t="shared" ca="1" si="61"/>
        <v>312334.08247442561</v>
      </c>
      <c r="J365" s="162"/>
      <c r="K365" s="152"/>
      <c r="L365" s="152"/>
      <c r="Q365"/>
      <c r="R365"/>
      <c r="S365"/>
      <c r="T365"/>
      <c r="U365"/>
      <c r="V365"/>
      <c r="W365"/>
      <c r="X365"/>
      <c r="Y365"/>
      <c r="Z365"/>
      <c r="AA365"/>
      <c r="AB365"/>
      <c r="AC365"/>
      <c r="AD365"/>
      <c r="AE365"/>
      <c r="AF365"/>
      <c r="AG365"/>
      <c r="AH365"/>
      <c r="AI365"/>
      <c r="AJ365"/>
      <c r="AK365"/>
      <c r="AL365"/>
      <c r="AM365"/>
      <c r="AN365"/>
      <c r="AO365"/>
      <c r="AP365"/>
      <c r="AQ365"/>
    </row>
    <row r="366" spans="2:43" s="150" customFormat="1" ht="15">
      <c r="B366" s="150">
        <v>354</v>
      </c>
      <c r="C366" s="153">
        <v>55305</v>
      </c>
      <c r="D366" s="151">
        <f t="shared" ca="1" si="57"/>
        <v>29950654.143966649</v>
      </c>
      <c r="E366" s="151">
        <f t="shared" ca="1" si="58"/>
        <v>306019.32180541131</v>
      </c>
      <c r="F366" s="151">
        <f t="shared" ca="1" si="59"/>
        <v>125546.36292851478</v>
      </c>
      <c r="G366" s="151">
        <f t="shared" ca="1" si="60"/>
        <v>180472.95887689653</v>
      </c>
      <c r="H366" s="151">
        <f ca="1">'HUD - Snapshot'!$K$10/12*D365</f>
        <v>6277.3181464257386</v>
      </c>
      <c r="I366" s="151">
        <f t="shared" ca="1" si="61"/>
        <v>312296.63995183707</v>
      </c>
      <c r="J366" s="162"/>
      <c r="K366" s="152"/>
      <c r="L366" s="152"/>
      <c r="Q366"/>
      <c r="R366"/>
      <c r="S366"/>
      <c r="T366"/>
      <c r="U366"/>
      <c r="V366"/>
      <c r="W366"/>
      <c r="X366"/>
      <c r="Y366"/>
      <c r="Z366"/>
      <c r="AA366"/>
      <c r="AB366"/>
      <c r="AC366"/>
      <c r="AD366"/>
      <c r="AE366"/>
      <c r="AF366"/>
      <c r="AG366"/>
      <c r="AH366"/>
      <c r="AI366"/>
      <c r="AJ366"/>
      <c r="AK366"/>
      <c r="AL366"/>
      <c r="AM366"/>
      <c r="AN366"/>
      <c r="AO366"/>
      <c r="AP366"/>
      <c r="AQ366"/>
    </row>
    <row r="367" spans="2:43" s="150" customFormat="1" ht="15">
      <c r="B367" s="150">
        <v>355</v>
      </c>
      <c r="C367" s="153">
        <v>55335</v>
      </c>
      <c r="D367" s="151">
        <f t="shared" ca="1" si="57"/>
        <v>29769429.214427765</v>
      </c>
      <c r="E367" s="151">
        <f t="shared" ca="1" si="58"/>
        <v>306019.32180541131</v>
      </c>
      <c r="F367" s="151">
        <f t="shared" ca="1" si="59"/>
        <v>124794.39226652771</v>
      </c>
      <c r="G367" s="151">
        <f t="shared" ca="1" si="60"/>
        <v>181224.92953888362</v>
      </c>
      <c r="H367" s="151">
        <f ca="1">'HUD - Snapshot'!$K$10/12*D366</f>
        <v>6239.7196133263851</v>
      </c>
      <c r="I367" s="151">
        <f t="shared" ca="1" si="61"/>
        <v>312259.04141873767</v>
      </c>
      <c r="J367" s="162"/>
      <c r="K367" s="152"/>
      <c r="L367" s="152"/>
      <c r="Q367"/>
      <c r="R367"/>
      <c r="S367"/>
      <c r="T367"/>
      <c r="U367"/>
      <c r="V367"/>
      <c r="W367"/>
      <c r="X367"/>
      <c r="Y367"/>
      <c r="Z367"/>
      <c r="AA367"/>
      <c r="AB367"/>
      <c r="AC367"/>
      <c r="AD367"/>
      <c r="AE367"/>
      <c r="AF367"/>
      <c r="AG367"/>
      <c r="AH367"/>
      <c r="AI367"/>
      <c r="AJ367"/>
      <c r="AK367"/>
      <c r="AL367"/>
      <c r="AM367"/>
      <c r="AN367"/>
      <c r="AO367"/>
      <c r="AP367"/>
      <c r="AQ367"/>
    </row>
    <row r="368" spans="2:43" s="150" customFormat="1" ht="15">
      <c r="B368" s="150">
        <v>356</v>
      </c>
      <c r="C368" s="153">
        <v>55366</v>
      </c>
      <c r="D368" s="151">
        <f t="shared" ca="1" si="57"/>
        <v>29587449.181015804</v>
      </c>
      <c r="E368" s="151">
        <f t="shared" ca="1" si="58"/>
        <v>306019.32180541131</v>
      </c>
      <c r="F368" s="151">
        <f t="shared" ca="1" si="59"/>
        <v>124039.28839344902</v>
      </c>
      <c r="G368" s="151">
        <f t="shared" ca="1" si="60"/>
        <v>181980.03341196227</v>
      </c>
      <c r="H368" s="151">
        <f ca="1">'HUD - Snapshot'!$K$10/12*D367</f>
        <v>6201.9644196724512</v>
      </c>
      <c r="I368" s="151">
        <f t="shared" ca="1" si="61"/>
        <v>312221.28622508375</v>
      </c>
      <c r="J368" s="162"/>
      <c r="K368" s="152"/>
      <c r="L368" s="152"/>
      <c r="Q368"/>
      <c r="R368"/>
      <c r="S368"/>
      <c r="T368"/>
      <c r="U368"/>
      <c r="V368"/>
      <c r="W368"/>
      <c r="X368"/>
      <c r="Y368"/>
      <c r="Z368"/>
      <c r="AA368"/>
      <c r="AB368"/>
      <c r="AC368"/>
      <c r="AD368"/>
      <c r="AE368"/>
      <c r="AF368"/>
      <c r="AG368"/>
      <c r="AH368"/>
      <c r="AI368"/>
      <c r="AJ368"/>
      <c r="AK368"/>
      <c r="AL368"/>
      <c r="AM368"/>
      <c r="AN368"/>
      <c r="AO368"/>
      <c r="AP368"/>
      <c r="AQ368"/>
    </row>
    <row r="369" spans="2:43" s="150" customFormat="1" ht="15">
      <c r="B369" s="150">
        <v>357</v>
      </c>
      <c r="C369" s="153">
        <v>55397</v>
      </c>
      <c r="D369" s="151">
        <f t="shared" ca="1" si="57"/>
        <v>29404710.897464626</v>
      </c>
      <c r="E369" s="151">
        <f t="shared" ca="1" si="58"/>
        <v>306019.32180541131</v>
      </c>
      <c r="F369" s="151">
        <f t="shared" ca="1" si="59"/>
        <v>123281.03825423251</v>
      </c>
      <c r="G369" s="151">
        <f t="shared" ca="1" si="60"/>
        <v>182738.28355117881</v>
      </c>
      <c r="H369" s="151">
        <f ca="1">'HUD - Snapshot'!$K$10/12*D368</f>
        <v>6164.0519127116268</v>
      </c>
      <c r="I369" s="151">
        <f t="shared" ca="1" si="61"/>
        <v>312183.37371812295</v>
      </c>
      <c r="J369" s="162"/>
      <c r="K369" s="152"/>
      <c r="L369" s="152"/>
      <c r="Q369"/>
      <c r="R369"/>
      <c r="S369"/>
      <c r="T369"/>
      <c r="U369"/>
      <c r="V369"/>
      <c r="W369"/>
      <c r="X369"/>
      <c r="Y369"/>
      <c r="Z369"/>
      <c r="AA369"/>
      <c r="AB369"/>
      <c r="AC369"/>
      <c r="AD369"/>
      <c r="AE369"/>
      <c r="AF369"/>
      <c r="AG369"/>
      <c r="AH369"/>
      <c r="AI369"/>
      <c r="AJ369"/>
      <c r="AK369"/>
      <c r="AL369"/>
      <c r="AM369"/>
      <c r="AN369"/>
      <c r="AO369"/>
      <c r="AP369"/>
      <c r="AQ369"/>
    </row>
    <row r="370" spans="2:43" s="150" customFormat="1" ht="15">
      <c r="B370" s="150">
        <v>358</v>
      </c>
      <c r="C370" s="153">
        <v>55427</v>
      </c>
      <c r="D370" s="151">
        <f t="shared" ca="1" si="57"/>
        <v>29221211.204398651</v>
      </c>
      <c r="E370" s="151">
        <f t="shared" ca="1" si="58"/>
        <v>306019.32180541131</v>
      </c>
      <c r="F370" s="151">
        <f t="shared" ca="1" si="59"/>
        <v>122519.62873943594</v>
      </c>
      <c r="G370" s="151">
        <f t="shared" ca="1" si="60"/>
        <v>183499.69306597539</v>
      </c>
      <c r="H370" s="151">
        <f ca="1">'HUD - Snapshot'!$K$10/12*D369</f>
        <v>6125.9814369717969</v>
      </c>
      <c r="I370" s="151">
        <f t="shared" ca="1" si="61"/>
        <v>312145.30324238312</v>
      </c>
      <c r="J370" s="162"/>
      <c r="K370" s="152"/>
      <c r="L370" s="152"/>
      <c r="Q370"/>
      <c r="R370"/>
      <c r="S370"/>
      <c r="T370"/>
      <c r="U370"/>
      <c r="V370"/>
      <c r="W370"/>
      <c r="X370"/>
      <c r="Y370"/>
      <c r="Z370"/>
      <c r="AA370"/>
      <c r="AB370"/>
      <c r="AC370"/>
      <c r="AD370"/>
      <c r="AE370"/>
      <c r="AF370"/>
      <c r="AG370"/>
      <c r="AH370"/>
      <c r="AI370"/>
      <c r="AJ370"/>
      <c r="AK370"/>
      <c r="AL370"/>
      <c r="AM370"/>
      <c r="AN370"/>
      <c r="AO370"/>
      <c r="AP370"/>
      <c r="AQ370"/>
    </row>
    <row r="371" spans="2:43" s="150" customFormat="1" ht="15">
      <c r="B371" s="150">
        <v>359</v>
      </c>
      <c r="C371" s="153">
        <v>55458</v>
      </c>
      <c r="D371" s="151">
        <f t="shared" ca="1" si="57"/>
        <v>29036946.929278232</v>
      </c>
      <c r="E371" s="151">
        <f t="shared" ca="1" si="58"/>
        <v>306019.32180541131</v>
      </c>
      <c r="F371" s="151">
        <f t="shared" ca="1" si="59"/>
        <v>121755.04668499438</v>
      </c>
      <c r="G371" s="151">
        <f t="shared" ca="1" si="60"/>
        <v>184264.27512041695</v>
      </c>
      <c r="H371" s="151">
        <f ca="1">'HUD - Snapshot'!$K$10/12*D370</f>
        <v>6087.7523342497188</v>
      </c>
      <c r="I371" s="151">
        <f t="shared" ca="1" si="61"/>
        <v>312107.07413966104</v>
      </c>
      <c r="J371" s="162"/>
      <c r="K371" s="152"/>
      <c r="L371" s="152"/>
      <c r="Q371"/>
      <c r="R371"/>
      <c r="S371"/>
      <c r="T371"/>
      <c r="U371"/>
      <c r="V371"/>
      <c r="W371"/>
      <c r="X371"/>
      <c r="Y371"/>
      <c r="Z371"/>
      <c r="AA371"/>
      <c r="AB371"/>
      <c r="AC371"/>
      <c r="AD371"/>
      <c r="AE371"/>
      <c r="AF371"/>
      <c r="AG371"/>
      <c r="AH371"/>
      <c r="AI371"/>
      <c r="AJ371"/>
      <c r="AK371"/>
      <c r="AL371"/>
      <c r="AM371"/>
      <c r="AN371"/>
      <c r="AO371"/>
      <c r="AP371"/>
      <c r="AQ371"/>
    </row>
    <row r="372" spans="2:43" s="150" customFormat="1" ht="15">
      <c r="B372" s="150">
        <v>360</v>
      </c>
      <c r="C372" s="153">
        <v>55488</v>
      </c>
      <c r="D372" s="151">
        <f t="shared" ca="1" si="57"/>
        <v>28851914.886344813</v>
      </c>
      <c r="E372" s="151">
        <f t="shared" ca="1" si="58"/>
        <v>306019.32180541131</v>
      </c>
      <c r="F372" s="151">
        <f t="shared" ca="1" si="59"/>
        <v>120987.27887199263</v>
      </c>
      <c r="G372" s="151">
        <f t="shared" ca="1" si="60"/>
        <v>185032.04293341868</v>
      </c>
      <c r="H372" s="151">
        <f ca="1">'HUD - Snapshot'!$K$10/12*D371</f>
        <v>6049.363943599632</v>
      </c>
      <c r="I372" s="151">
        <f t="shared" ca="1" si="61"/>
        <v>312068.68574901094</v>
      </c>
      <c r="J372" s="162"/>
      <c r="K372" s="152">
        <f ca="1">SUM(I361:I372)</f>
        <v>3747323.1444334332</v>
      </c>
      <c r="L372" s="152">
        <f ca="1">SUM(F361:F372)</f>
        <v>1501825.6553699432</v>
      </c>
      <c r="Q372"/>
      <c r="R372"/>
      <c r="S372"/>
      <c r="T372"/>
      <c r="U372"/>
      <c r="V372"/>
      <c r="W372"/>
      <c r="X372"/>
      <c r="Y372"/>
      <c r="Z372"/>
      <c r="AA372"/>
      <c r="AB372"/>
      <c r="AC372"/>
      <c r="AD372"/>
      <c r="AE372"/>
      <c r="AF372"/>
      <c r="AG372"/>
      <c r="AH372"/>
      <c r="AI372"/>
      <c r="AJ372"/>
      <c r="AK372"/>
      <c r="AL372"/>
      <c r="AM372"/>
      <c r="AN372"/>
      <c r="AO372"/>
      <c r="AP372"/>
      <c r="AQ372"/>
    </row>
    <row r="373" spans="2:43" s="150" customFormat="1" ht="15">
      <c r="B373" s="150">
        <v>361</v>
      </c>
      <c r="C373" s="153">
        <v>55519</v>
      </c>
      <c r="D373" s="151">
        <f t="shared" ca="1" si="57"/>
        <v>28666111.876565836</v>
      </c>
      <c r="E373" s="151">
        <f t="shared" ca="1" si="58"/>
        <v>306019.32180541131</v>
      </c>
      <c r="F373" s="151">
        <f t="shared" ca="1" si="59"/>
        <v>120216.31202643672</v>
      </c>
      <c r="G373" s="151">
        <f t="shared" ca="1" si="60"/>
        <v>185803.00977897458</v>
      </c>
      <c r="H373" s="151">
        <f ca="1">'HUD - Snapshot'!$K$10/12*D372</f>
        <v>6010.8156013218368</v>
      </c>
      <c r="I373" s="151">
        <f t="shared" ca="1" si="61"/>
        <v>312030.13740673312</v>
      </c>
      <c r="J373" s="162"/>
      <c r="K373" s="152"/>
      <c r="L373" s="152"/>
      <c r="Q373"/>
      <c r="R373"/>
      <c r="S373"/>
      <c r="T373"/>
      <c r="U373"/>
      <c r="V373"/>
      <c r="W373"/>
      <c r="X373"/>
      <c r="Y373"/>
      <c r="Z373"/>
      <c r="AA373"/>
      <c r="AB373"/>
      <c r="AC373"/>
      <c r="AD373"/>
      <c r="AE373"/>
      <c r="AF373"/>
      <c r="AG373"/>
      <c r="AH373"/>
      <c r="AI373"/>
      <c r="AJ373"/>
      <c r="AK373"/>
      <c r="AL373"/>
      <c r="AM373"/>
      <c r="AN373"/>
      <c r="AO373"/>
      <c r="AP373"/>
      <c r="AQ373"/>
    </row>
    <row r="374" spans="2:43" s="150" customFormat="1" ht="15">
      <c r="B374" s="150">
        <v>362</v>
      </c>
      <c r="C374" s="153">
        <v>55550</v>
      </c>
      <c r="D374" s="151">
        <f t="shared" ca="1" si="57"/>
        <v>28479534.687579449</v>
      </c>
      <c r="E374" s="151">
        <f t="shared" ca="1" si="58"/>
        <v>306019.32180541131</v>
      </c>
      <c r="F374" s="151">
        <f t="shared" ca="1" si="59"/>
        <v>119442.13281902432</v>
      </c>
      <c r="G374" s="151">
        <f t="shared" ca="1" si="60"/>
        <v>186577.18898638699</v>
      </c>
      <c r="H374" s="151">
        <f ca="1">'HUD - Snapshot'!$K$10/12*D373</f>
        <v>5972.1066409512159</v>
      </c>
      <c r="I374" s="151">
        <f t="shared" ca="1" si="61"/>
        <v>311991.42844636255</v>
      </c>
      <c r="J374" s="162"/>
      <c r="K374" s="152"/>
      <c r="L374" s="152"/>
      <c r="Q374"/>
      <c r="R374"/>
      <c r="S374"/>
      <c r="T374"/>
      <c r="U374"/>
      <c r="V374"/>
      <c r="W374"/>
      <c r="X374"/>
      <c r="Y374"/>
      <c r="Z374"/>
      <c r="AA374"/>
      <c r="AB374"/>
      <c r="AC374"/>
      <c r="AD374"/>
      <c r="AE374"/>
      <c r="AF374"/>
      <c r="AG374"/>
      <c r="AH374"/>
      <c r="AI374"/>
      <c r="AJ374"/>
      <c r="AK374"/>
      <c r="AL374"/>
      <c r="AM374"/>
      <c r="AN374"/>
      <c r="AO374"/>
      <c r="AP374"/>
      <c r="AQ374"/>
    </row>
    <row r="375" spans="2:43" s="150" customFormat="1" ht="15">
      <c r="B375" s="150">
        <v>363</v>
      </c>
      <c r="C375" s="153">
        <v>55579</v>
      </c>
      <c r="D375" s="151">
        <f t="shared" ca="1" si="57"/>
        <v>28292180.093638953</v>
      </c>
      <c r="E375" s="151">
        <f t="shared" ca="1" si="58"/>
        <v>306019.32180541131</v>
      </c>
      <c r="F375" s="151">
        <f t="shared" ca="1" si="59"/>
        <v>118664.72786491437</v>
      </c>
      <c r="G375" s="151">
        <f t="shared" ca="1" si="60"/>
        <v>187354.59394049694</v>
      </c>
      <c r="H375" s="151">
        <f ca="1">'HUD - Snapshot'!$K$10/12*D374</f>
        <v>5933.2363932457192</v>
      </c>
      <c r="I375" s="151">
        <f t="shared" ca="1" si="61"/>
        <v>311952.558198657</v>
      </c>
      <c r="J375" s="162"/>
      <c r="K375" s="152"/>
      <c r="L375" s="152"/>
      <c r="Q375"/>
      <c r="R375"/>
      <c r="S375"/>
      <c r="T375"/>
      <c r="U375"/>
      <c r="V375"/>
      <c r="W375"/>
      <c r="X375"/>
      <c r="Y375"/>
      <c r="Z375"/>
      <c r="AA375"/>
      <c r="AB375"/>
      <c r="AC375"/>
      <c r="AD375"/>
      <c r="AE375"/>
      <c r="AF375"/>
      <c r="AG375"/>
      <c r="AH375"/>
      <c r="AI375"/>
      <c r="AJ375"/>
      <c r="AK375"/>
      <c r="AL375"/>
      <c r="AM375"/>
      <c r="AN375"/>
      <c r="AO375"/>
      <c r="AP375"/>
      <c r="AQ375"/>
    </row>
    <row r="376" spans="2:43" s="150" customFormat="1" ht="15">
      <c r="B376" s="150">
        <v>364</v>
      </c>
      <c r="C376" s="153">
        <v>55610</v>
      </c>
      <c r="D376" s="151">
        <f t="shared" ca="1" si="57"/>
        <v>28104044.855557036</v>
      </c>
      <c r="E376" s="151">
        <f t="shared" ca="1" si="58"/>
        <v>306019.32180541131</v>
      </c>
      <c r="F376" s="151">
        <f t="shared" ca="1" si="59"/>
        <v>117884.08372349564</v>
      </c>
      <c r="G376" s="151">
        <f t="shared" ca="1" si="60"/>
        <v>188135.23808191565</v>
      </c>
      <c r="H376" s="151">
        <f ca="1">'HUD - Snapshot'!$K$10/12*D375</f>
        <v>5894.2041861747821</v>
      </c>
      <c r="I376" s="151">
        <f t="shared" ca="1" si="61"/>
        <v>311913.5259915861</v>
      </c>
      <c r="J376" s="162"/>
      <c r="K376" s="152"/>
      <c r="L376" s="152"/>
      <c r="Q376"/>
      <c r="R376"/>
      <c r="S376"/>
      <c r="T376"/>
      <c r="U376"/>
      <c r="V376"/>
      <c r="W376"/>
      <c r="X376"/>
      <c r="Y376"/>
      <c r="Z376"/>
      <c r="AA376"/>
      <c r="AB376"/>
      <c r="AC376"/>
      <c r="AD376"/>
      <c r="AE376"/>
      <c r="AF376"/>
      <c r="AG376"/>
      <c r="AH376"/>
      <c r="AI376"/>
      <c r="AJ376"/>
      <c r="AK376"/>
      <c r="AL376"/>
      <c r="AM376"/>
      <c r="AN376"/>
      <c r="AO376"/>
      <c r="AP376"/>
      <c r="AQ376"/>
    </row>
    <row r="377" spans="2:43" s="150" customFormat="1" ht="15">
      <c r="B377" s="150">
        <v>365</v>
      </c>
      <c r="C377" s="153">
        <v>55640</v>
      </c>
      <c r="D377" s="151">
        <f t="shared" ca="1" si="57"/>
        <v>27915125.720649779</v>
      </c>
      <c r="E377" s="151">
        <f t="shared" ca="1" si="58"/>
        <v>306019.32180541131</v>
      </c>
      <c r="F377" s="151">
        <f t="shared" ca="1" si="59"/>
        <v>117100.18689815431</v>
      </c>
      <c r="G377" s="151">
        <f t="shared" ca="1" si="60"/>
        <v>188919.13490725699</v>
      </c>
      <c r="H377" s="151">
        <f ca="1">'HUD - Snapshot'!$K$10/12*D376</f>
        <v>5855.0093449077158</v>
      </c>
      <c r="I377" s="151">
        <f t="shared" ca="1" si="61"/>
        <v>311874.33115031902</v>
      </c>
      <c r="J377" s="162"/>
      <c r="K377" s="152"/>
      <c r="L377" s="152"/>
      <c r="Q377"/>
      <c r="R377"/>
      <c r="S377"/>
      <c r="T377"/>
      <c r="U377"/>
      <c r="V377"/>
      <c r="W377"/>
      <c r="X377"/>
      <c r="Y377"/>
      <c r="Z377"/>
      <c r="AA377"/>
      <c r="AB377"/>
      <c r="AC377"/>
      <c r="AD377"/>
      <c r="AE377"/>
      <c r="AF377"/>
      <c r="AG377"/>
      <c r="AH377"/>
      <c r="AI377"/>
      <c r="AJ377"/>
      <c r="AK377"/>
      <c r="AL377"/>
      <c r="AM377"/>
      <c r="AN377"/>
      <c r="AO377"/>
      <c r="AP377"/>
      <c r="AQ377"/>
    </row>
    <row r="378" spans="2:43" s="150" customFormat="1" ht="15">
      <c r="B378" s="150">
        <v>366</v>
      </c>
      <c r="C378" s="153">
        <v>55671</v>
      </c>
      <c r="D378" s="151">
        <f t="shared" ca="1" si="57"/>
        <v>27725419.422680408</v>
      </c>
      <c r="E378" s="151">
        <f t="shared" ca="1" si="58"/>
        <v>306019.32180541131</v>
      </c>
      <c r="F378" s="151">
        <f t="shared" ca="1" si="59"/>
        <v>116313.02383604074</v>
      </c>
      <c r="G378" s="151">
        <f t="shared" ca="1" si="60"/>
        <v>189706.29796937056</v>
      </c>
      <c r="H378" s="151">
        <f ca="1">'HUD - Snapshot'!$K$10/12*D377</f>
        <v>5815.6511918020378</v>
      </c>
      <c r="I378" s="151">
        <f t="shared" ca="1" si="61"/>
        <v>311834.97299721336</v>
      </c>
      <c r="J378" s="162"/>
      <c r="K378" s="152"/>
      <c r="L378" s="152"/>
      <c r="Q378"/>
      <c r="R378"/>
      <c r="S378"/>
      <c r="T378"/>
      <c r="U378"/>
      <c r="V378"/>
      <c r="W378"/>
      <c r="X378"/>
      <c r="Y378"/>
      <c r="Z378"/>
      <c r="AA378"/>
      <c r="AB378"/>
      <c r="AC378"/>
      <c r="AD378"/>
      <c r="AE378"/>
      <c r="AF378"/>
      <c r="AG378"/>
      <c r="AH378"/>
      <c r="AI378"/>
      <c r="AJ378"/>
      <c r="AK378"/>
      <c r="AL378"/>
      <c r="AM378"/>
      <c r="AN378"/>
      <c r="AO378"/>
      <c r="AP378"/>
      <c r="AQ378"/>
    </row>
    <row r="379" spans="2:43" s="150" customFormat="1" ht="15">
      <c r="B379" s="150">
        <v>367</v>
      </c>
      <c r="C379" s="153">
        <v>55701</v>
      </c>
      <c r="D379" s="151">
        <f t="shared" ca="1" si="57"/>
        <v>27534922.681802832</v>
      </c>
      <c r="E379" s="151">
        <f t="shared" ca="1" si="58"/>
        <v>306019.32180541131</v>
      </c>
      <c r="F379" s="151">
        <f t="shared" ca="1" si="59"/>
        <v>115522.58092783504</v>
      </c>
      <c r="G379" s="151">
        <f t="shared" ca="1" si="60"/>
        <v>190496.74087757629</v>
      </c>
      <c r="H379" s="151">
        <f ca="1">'HUD - Snapshot'!$K$10/12*D378</f>
        <v>5776.1290463917521</v>
      </c>
      <c r="I379" s="151">
        <f t="shared" ca="1" si="61"/>
        <v>311795.45085180306</v>
      </c>
      <c r="J379" s="162"/>
      <c r="K379" s="152"/>
      <c r="L379" s="152"/>
      <c r="Q379"/>
      <c r="R379"/>
      <c r="S379"/>
      <c r="T379"/>
      <c r="U379"/>
      <c r="V379"/>
      <c r="W379"/>
      <c r="X379"/>
      <c r="Y379"/>
      <c r="Z379"/>
      <c r="AA379"/>
      <c r="AB379"/>
      <c r="AC379"/>
      <c r="AD379"/>
      <c r="AE379"/>
      <c r="AF379"/>
      <c r="AG379"/>
      <c r="AH379"/>
      <c r="AI379"/>
      <c r="AJ379"/>
      <c r="AK379"/>
      <c r="AL379"/>
      <c r="AM379"/>
      <c r="AN379"/>
      <c r="AO379"/>
      <c r="AP379"/>
      <c r="AQ379"/>
    </row>
    <row r="380" spans="2:43" s="150" customFormat="1" ht="15">
      <c r="B380" s="150">
        <v>368</v>
      </c>
      <c r="C380" s="153">
        <v>55732</v>
      </c>
      <c r="D380" s="151">
        <f t="shared" ca="1" si="57"/>
        <v>27343632.204504933</v>
      </c>
      <c r="E380" s="151">
        <f t="shared" ca="1" si="58"/>
        <v>306019.32180541131</v>
      </c>
      <c r="F380" s="151">
        <f t="shared" ca="1" si="59"/>
        <v>114728.84450751179</v>
      </c>
      <c r="G380" s="151">
        <f t="shared" ca="1" si="60"/>
        <v>191290.47729789952</v>
      </c>
      <c r="H380" s="151">
        <f ca="1">'HUD - Snapshot'!$K$10/12*D379</f>
        <v>5736.4422253755902</v>
      </c>
      <c r="I380" s="151">
        <f t="shared" ca="1" si="61"/>
        <v>311755.76403078687</v>
      </c>
      <c r="J380" s="162"/>
      <c r="K380" s="152"/>
      <c r="L380" s="152"/>
      <c r="Q380"/>
      <c r="R380"/>
      <c r="S380"/>
      <c r="T380"/>
      <c r="U380"/>
      <c r="V380"/>
      <c r="W380"/>
      <c r="X380"/>
      <c r="Y380"/>
      <c r="Z380"/>
      <c r="AA380"/>
      <c r="AB380"/>
      <c r="AC380"/>
      <c r="AD380"/>
      <c r="AE380"/>
      <c r="AF380"/>
      <c r="AG380"/>
      <c r="AH380"/>
      <c r="AI380"/>
      <c r="AJ380"/>
      <c r="AK380"/>
      <c r="AL380"/>
      <c r="AM380"/>
      <c r="AN380"/>
      <c r="AO380"/>
      <c r="AP380"/>
      <c r="AQ380"/>
    </row>
    <row r="381" spans="2:43" s="150" customFormat="1" ht="15">
      <c r="B381" s="150">
        <v>369</v>
      </c>
      <c r="C381" s="153">
        <v>55763</v>
      </c>
      <c r="D381" s="151">
        <f t="shared" ca="1" si="57"/>
        <v>27151544.683551624</v>
      </c>
      <c r="E381" s="151">
        <f t="shared" ca="1" si="58"/>
        <v>306019.32180541131</v>
      </c>
      <c r="F381" s="151">
        <f t="shared" ca="1" si="59"/>
        <v>113931.80085210389</v>
      </c>
      <c r="G381" s="151">
        <f t="shared" ca="1" si="60"/>
        <v>192087.52095330742</v>
      </c>
      <c r="H381" s="151">
        <f ca="1">'HUD - Snapshot'!$K$10/12*D380</f>
        <v>5696.5900426051949</v>
      </c>
      <c r="I381" s="151">
        <f t="shared" ca="1" si="61"/>
        <v>311715.91184801649</v>
      </c>
      <c r="J381" s="162"/>
      <c r="K381" s="152"/>
      <c r="L381" s="152"/>
      <c r="Q381"/>
      <c r="R381"/>
      <c r="S381"/>
      <c r="T381"/>
      <c r="U381"/>
      <c r="V381"/>
      <c r="W381"/>
      <c r="X381"/>
      <c r="Y381"/>
      <c r="Z381"/>
      <c r="AA381"/>
      <c r="AB381"/>
      <c r="AC381"/>
      <c r="AD381"/>
      <c r="AE381"/>
      <c r="AF381"/>
      <c r="AG381"/>
      <c r="AH381"/>
      <c r="AI381"/>
      <c r="AJ381"/>
      <c r="AK381"/>
      <c r="AL381"/>
      <c r="AM381"/>
      <c r="AN381"/>
      <c r="AO381"/>
      <c r="AP381"/>
      <c r="AQ381"/>
    </row>
    <row r="382" spans="2:43" s="150" customFormat="1" ht="15">
      <c r="B382" s="150">
        <v>370</v>
      </c>
      <c r="C382" s="153">
        <v>55793</v>
      </c>
      <c r="D382" s="151">
        <f t="shared" ca="1" si="57"/>
        <v>26958656.797927678</v>
      </c>
      <c r="E382" s="151">
        <f t="shared" ca="1" si="58"/>
        <v>306019.32180541131</v>
      </c>
      <c r="F382" s="151">
        <f t="shared" ca="1" si="59"/>
        <v>113131.43618146511</v>
      </c>
      <c r="G382" s="151">
        <f t="shared" ca="1" si="60"/>
        <v>192887.8856239462</v>
      </c>
      <c r="H382" s="151">
        <f ca="1">'HUD - Snapshot'!$K$10/12*D381</f>
        <v>5656.5718090732553</v>
      </c>
      <c r="I382" s="151">
        <f t="shared" ca="1" si="61"/>
        <v>311675.89361448458</v>
      </c>
      <c r="J382" s="162"/>
      <c r="K382" s="152"/>
      <c r="L382" s="152"/>
      <c r="Q382"/>
      <c r="R382"/>
      <c r="S382"/>
      <c r="T382"/>
      <c r="U382"/>
      <c r="V382"/>
      <c r="W382"/>
      <c r="X382"/>
      <c r="Y382"/>
      <c r="Z382"/>
      <c r="AA382"/>
      <c r="AB382"/>
      <c r="AC382"/>
      <c r="AD382"/>
      <c r="AE382"/>
      <c r="AF382"/>
      <c r="AG382"/>
      <c r="AH382"/>
      <c r="AI382"/>
      <c r="AJ382"/>
      <c r="AK382"/>
      <c r="AL382"/>
      <c r="AM382"/>
      <c r="AN382"/>
      <c r="AO382"/>
      <c r="AP382"/>
      <c r="AQ382"/>
    </row>
    <row r="383" spans="2:43" s="150" customFormat="1" ht="15">
      <c r="B383" s="150">
        <v>371</v>
      </c>
      <c r="C383" s="153">
        <v>55824</v>
      </c>
      <c r="D383" s="151">
        <f t="shared" ca="1" si="57"/>
        <v>26764965.212780297</v>
      </c>
      <c r="E383" s="151">
        <f t="shared" ca="1" si="58"/>
        <v>306019.32180541131</v>
      </c>
      <c r="F383" s="151">
        <f t="shared" ca="1" si="59"/>
        <v>112327.73665803199</v>
      </c>
      <c r="G383" s="151">
        <f t="shared" ca="1" si="60"/>
        <v>193691.58514737932</v>
      </c>
      <c r="H383" s="151">
        <f ca="1">'HUD - Snapshot'!$K$10/12*D382</f>
        <v>5616.3868329015995</v>
      </c>
      <c r="I383" s="151">
        <f t="shared" ca="1" si="61"/>
        <v>311635.70863831294</v>
      </c>
      <c r="J383" s="162"/>
      <c r="K383" s="152"/>
      <c r="L383" s="152"/>
      <c r="Q383"/>
      <c r="R383"/>
      <c r="S383"/>
      <c r="T383"/>
      <c r="U383"/>
      <c r="V383"/>
      <c r="W383"/>
      <c r="X383"/>
      <c r="Y383"/>
      <c r="Z383"/>
      <c r="AA383"/>
      <c r="AB383"/>
      <c r="AC383"/>
      <c r="AD383"/>
      <c r="AE383"/>
      <c r="AF383"/>
      <c r="AG383"/>
      <c r="AH383"/>
      <c r="AI383"/>
      <c r="AJ383"/>
      <c r="AK383"/>
      <c r="AL383"/>
      <c r="AM383"/>
      <c r="AN383"/>
      <c r="AO383"/>
      <c r="AP383"/>
      <c r="AQ383"/>
    </row>
    <row r="384" spans="2:43" s="150" customFormat="1" ht="15">
      <c r="B384" s="150">
        <v>372</v>
      </c>
      <c r="C384" s="153">
        <v>55854</v>
      </c>
      <c r="D384" s="151">
        <f t="shared" ca="1" si="57"/>
        <v>26570466.579361469</v>
      </c>
      <c r="E384" s="151">
        <f t="shared" ca="1" si="58"/>
        <v>306019.32180541131</v>
      </c>
      <c r="F384" s="151">
        <f t="shared" ca="1" si="59"/>
        <v>111520.68838658457</v>
      </c>
      <c r="G384" s="151">
        <f t="shared" ca="1" si="60"/>
        <v>194498.63341882674</v>
      </c>
      <c r="H384" s="151">
        <f ca="1">'HUD - Snapshot'!$K$10/12*D383</f>
        <v>5576.0344193292285</v>
      </c>
      <c r="I384" s="151">
        <f t="shared" ca="1" si="61"/>
        <v>311595.35622474056</v>
      </c>
      <c r="J384" s="162"/>
      <c r="K384" s="152">
        <f ca="1">SUM(I373:I384)</f>
        <v>3741771.0393990153</v>
      </c>
      <c r="L384" s="152">
        <f ca="1">SUM(F373:F384)</f>
        <v>1390783.5546815987</v>
      </c>
      <c r="Q384"/>
      <c r="R384"/>
      <c r="S384"/>
      <c r="T384"/>
      <c r="U384"/>
      <c r="V384"/>
      <c r="W384"/>
      <c r="X384"/>
      <c r="Y384"/>
      <c r="Z384"/>
      <c r="AA384"/>
      <c r="AB384"/>
      <c r="AC384"/>
      <c r="AD384"/>
      <c r="AE384"/>
      <c r="AF384"/>
      <c r="AG384"/>
      <c r="AH384"/>
      <c r="AI384"/>
      <c r="AJ384"/>
      <c r="AK384"/>
      <c r="AL384"/>
      <c r="AM384"/>
      <c r="AN384"/>
      <c r="AO384"/>
      <c r="AP384"/>
      <c r="AQ384"/>
    </row>
    <row r="385" spans="2:43" s="150" customFormat="1" ht="15">
      <c r="B385" s="150">
        <v>373</v>
      </c>
      <c r="C385" s="153">
        <v>55885</v>
      </c>
      <c r="D385" s="151">
        <f t="shared" ca="1" si="57"/>
        <v>26375157.534970064</v>
      </c>
      <c r="E385" s="151">
        <f t="shared" ca="1" si="58"/>
        <v>306019.32180541131</v>
      </c>
      <c r="F385" s="151">
        <f t="shared" ca="1" si="59"/>
        <v>110710.27741400612</v>
      </c>
      <c r="G385" s="151">
        <f t="shared" ca="1" si="60"/>
        <v>195309.04439140519</v>
      </c>
      <c r="H385" s="151">
        <f ca="1">'HUD - Snapshot'!$K$10/12*D384</f>
        <v>5535.5138707003061</v>
      </c>
      <c r="I385" s="151">
        <f t="shared" ca="1" si="61"/>
        <v>311554.83567611163</v>
      </c>
      <c r="J385" s="162"/>
      <c r="K385" s="152"/>
      <c r="L385" s="152"/>
      <c r="Q385"/>
      <c r="R385"/>
      <c r="S385"/>
      <c r="T385"/>
      <c r="U385"/>
      <c r="V385"/>
      <c r="W385"/>
      <c r="X385"/>
      <c r="Y385"/>
      <c r="Z385"/>
      <c r="AA385"/>
      <c r="AB385"/>
      <c r="AC385"/>
      <c r="AD385"/>
      <c r="AE385"/>
      <c r="AF385"/>
      <c r="AG385"/>
      <c r="AH385"/>
      <c r="AI385"/>
      <c r="AJ385"/>
      <c r="AK385"/>
      <c r="AL385"/>
      <c r="AM385"/>
      <c r="AN385"/>
      <c r="AO385"/>
      <c r="AP385"/>
      <c r="AQ385"/>
    </row>
    <row r="386" spans="2:43" s="150" customFormat="1" ht="15">
      <c r="B386" s="150">
        <v>374</v>
      </c>
      <c r="C386" s="153">
        <v>55916</v>
      </c>
      <c r="D386" s="151">
        <f t="shared" ca="1" si="57"/>
        <v>26179034.702893693</v>
      </c>
      <c r="E386" s="151">
        <f t="shared" ca="1" si="58"/>
        <v>306019.32180541131</v>
      </c>
      <c r="F386" s="151">
        <f t="shared" ca="1" si="59"/>
        <v>109896.48972904193</v>
      </c>
      <c r="G386" s="151">
        <f t="shared" ca="1" si="60"/>
        <v>196122.83207636938</v>
      </c>
      <c r="H386" s="151">
        <f ca="1">'HUD - Snapshot'!$K$10/12*D385</f>
        <v>5494.8244864520966</v>
      </c>
      <c r="I386" s="151">
        <f t="shared" ca="1" si="61"/>
        <v>311514.14629186341</v>
      </c>
      <c r="J386" s="162"/>
      <c r="K386" s="152"/>
      <c r="L386" s="152"/>
      <c r="Q386"/>
      <c r="R386"/>
      <c r="S386"/>
      <c r="T386"/>
      <c r="U386"/>
      <c r="V386"/>
      <c r="W386"/>
      <c r="X386"/>
      <c r="Y386"/>
      <c r="Z386"/>
      <c r="AA386"/>
      <c r="AB386"/>
      <c r="AC386"/>
      <c r="AD386"/>
      <c r="AE386"/>
      <c r="AF386"/>
      <c r="AG386"/>
      <c r="AH386"/>
      <c r="AI386"/>
      <c r="AJ386"/>
      <c r="AK386"/>
      <c r="AL386"/>
      <c r="AM386"/>
      <c r="AN386"/>
      <c r="AO386"/>
      <c r="AP386"/>
      <c r="AQ386"/>
    </row>
    <row r="387" spans="2:43" s="150" customFormat="1" ht="15">
      <c r="B387" s="150">
        <v>375</v>
      </c>
      <c r="C387" s="153">
        <v>55944</v>
      </c>
      <c r="D387" s="151">
        <f t="shared" ca="1" si="57"/>
        <v>25982094.692350339</v>
      </c>
      <c r="E387" s="151">
        <f t="shared" ca="1" si="58"/>
        <v>306019.32180541131</v>
      </c>
      <c r="F387" s="151">
        <f t="shared" ca="1" si="59"/>
        <v>109079.31126205705</v>
      </c>
      <c r="G387" s="151">
        <f t="shared" ca="1" si="60"/>
        <v>196940.01054335426</v>
      </c>
      <c r="H387" s="151">
        <f ca="1">'HUD - Snapshot'!$K$10/12*D386</f>
        <v>5453.9655631028527</v>
      </c>
      <c r="I387" s="151">
        <f t="shared" ca="1" si="61"/>
        <v>311473.28736851417</v>
      </c>
      <c r="J387" s="162"/>
      <c r="K387" s="152"/>
      <c r="L387" s="152"/>
      <c r="Q387"/>
      <c r="R387"/>
      <c r="S387"/>
      <c r="T387"/>
      <c r="U387"/>
      <c r="V387"/>
      <c r="W387"/>
      <c r="X387"/>
      <c r="Y387"/>
      <c r="Z387"/>
      <c r="AA387"/>
      <c r="AB387"/>
      <c r="AC387"/>
      <c r="AD387"/>
      <c r="AE387"/>
      <c r="AF387"/>
      <c r="AG387"/>
      <c r="AH387"/>
      <c r="AI387"/>
      <c r="AJ387"/>
      <c r="AK387"/>
      <c r="AL387"/>
      <c r="AM387"/>
      <c r="AN387"/>
      <c r="AO387"/>
      <c r="AP387"/>
      <c r="AQ387"/>
    </row>
    <row r="388" spans="2:43" s="150" customFormat="1" ht="15">
      <c r="B388" s="150">
        <v>376</v>
      </c>
      <c r="C388" s="153">
        <v>55975</v>
      </c>
      <c r="D388" s="151">
        <f t="shared" ca="1" si="57"/>
        <v>25784334.098429721</v>
      </c>
      <c r="E388" s="151">
        <f t="shared" ca="1" si="58"/>
        <v>306019.32180541131</v>
      </c>
      <c r="F388" s="151">
        <f t="shared" ca="1" si="59"/>
        <v>108258.72788479307</v>
      </c>
      <c r="G388" s="151">
        <f t="shared" ca="1" si="60"/>
        <v>197760.59392061824</v>
      </c>
      <c r="H388" s="151">
        <f ca="1">'HUD - Snapshot'!$K$10/12*D387</f>
        <v>5412.936394239654</v>
      </c>
      <c r="I388" s="151">
        <f t="shared" ca="1" si="61"/>
        <v>311432.25819965097</v>
      </c>
      <c r="J388" s="162"/>
      <c r="K388" s="152"/>
      <c r="L388" s="152"/>
      <c r="Q388"/>
      <c r="R388"/>
      <c r="S388"/>
      <c r="T388"/>
      <c r="U388"/>
      <c r="V388"/>
      <c r="W388"/>
      <c r="X388"/>
      <c r="Y388"/>
      <c r="Z388"/>
      <c r="AA388"/>
      <c r="AB388"/>
      <c r="AC388"/>
      <c r="AD388"/>
      <c r="AE388"/>
      <c r="AF388"/>
      <c r="AG388"/>
      <c r="AH388"/>
      <c r="AI388"/>
      <c r="AJ388"/>
      <c r="AK388"/>
      <c r="AL388"/>
      <c r="AM388"/>
      <c r="AN388"/>
      <c r="AO388"/>
      <c r="AP388"/>
      <c r="AQ388"/>
    </row>
    <row r="389" spans="2:43" s="150" customFormat="1" ht="15">
      <c r="B389" s="150">
        <v>377</v>
      </c>
      <c r="C389" s="153">
        <v>56005</v>
      </c>
      <c r="D389" s="151">
        <f t="shared" ca="1" si="57"/>
        <v>25585749.502034433</v>
      </c>
      <c r="E389" s="151">
        <f t="shared" ca="1" si="58"/>
        <v>306019.32180541131</v>
      </c>
      <c r="F389" s="151">
        <f t="shared" ca="1" si="59"/>
        <v>107434.72541012384</v>
      </c>
      <c r="G389" s="151">
        <f t="shared" ca="1" si="60"/>
        <v>198584.59639528749</v>
      </c>
      <c r="H389" s="151">
        <f ca="1">'HUD - Snapshot'!$K$10/12*D388</f>
        <v>5371.7362705061923</v>
      </c>
      <c r="I389" s="151">
        <f t="shared" ca="1" si="61"/>
        <v>311391.05807591748</v>
      </c>
      <c r="J389" s="162"/>
      <c r="K389" s="152"/>
      <c r="L389" s="152"/>
      <c r="Q389"/>
      <c r="R389"/>
      <c r="S389"/>
      <c r="T389"/>
      <c r="U389"/>
      <c r="V389"/>
      <c r="W389"/>
      <c r="X389"/>
      <c r="Y389"/>
      <c r="Z389"/>
      <c r="AA389"/>
      <c r="AB389"/>
      <c r="AC389"/>
      <c r="AD389"/>
      <c r="AE389"/>
      <c r="AF389"/>
      <c r="AG389"/>
      <c r="AH389"/>
      <c r="AI389"/>
      <c r="AJ389"/>
      <c r="AK389"/>
      <c r="AL389"/>
      <c r="AM389"/>
      <c r="AN389"/>
      <c r="AO389"/>
      <c r="AP389"/>
      <c r="AQ389"/>
    </row>
    <row r="390" spans="2:43" s="150" customFormat="1" ht="15">
      <c r="B390" s="150">
        <v>378</v>
      </c>
      <c r="C390" s="153">
        <v>56036</v>
      </c>
      <c r="D390" s="151">
        <f t="shared" ca="1" si="57"/>
        <v>25386337.469820831</v>
      </c>
      <c r="E390" s="151">
        <f t="shared" ca="1" si="58"/>
        <v>306019.32180541131</v>
      </c>
      <c r="F390" s="151">
        <f t="shared" ca="1" si="59"/>
        <v>106607.28959181014</v>
      </c>
      <c r="G390" s="151">
        <f t="shared" ca="1" si="60"/>
        <v>199412.03221360117</v>
      </c>
      <c r="H390" s="151">
        <f ca="1">'HUD - Snapshot'!$K$10/12*D389</f>
        <v>5330.3644795905075</v>
      </c>
      <c r="I390" s="151">
        <f t="shared" ca="1" si="61"/>
        <v>311349.68628500181</v>
      </c>
      <c r="J390" s="162"/>
      <c r="K390" s="152"/>
      <c r="L390" s="152"/>
      <c r="Q390"/>
      <c r="R390"/>
      <c r="S390"/>
      <c r="T390"/>
      <c r="U390"/>
      <c r="V390"/>
      <c r="W390"/>
      <c r="X390"/>
      <c r="Y390"/>
      <c r="Z390"/>
      <c r="AA390"/>
      <c r="AB390"/>
      <c r="AC390"/>
      <c r="AD390"/>
      <c r="AE390"/>
      <c r="AF390"/>
      <c r="AG390"/>
      <c r="AH390"/>
      <c r="AI390"/>
      <c r="AJ390"/>
      <c r="AK390"/>
      <c r="AL390"/>
      <c r="AM390"/>
      <c r="AN390"/>
      <c r="AO390"/>
      <c r="AP390"/>
      <c r="AQ390"/>
    </row>
    <row r="391" spans="2:43" s="150" customFormat="1" ht="15">
      <c r="B391" s="150">
        <v>379</v>
      </c>
      <c r="C391" s="153">
        <v>56066</v>
      </c>
      <c r="D391" s="151">
        <f t="shared" ca="1" si="57"/>
        <v>25186094.554139674</v>
      </c>
      <c r="E391" s="151">
        <f t="shared" ca="1" si="58"/>
        <v>306019.32180541131</v>
      </c>
      <c r="F391" s="151">
        <f t="shared" ca="1" si="59"/>
        <v>105776.40612425347</v>
      </c>
      <c r="G391" s="151">
        <f t="shared" ca="1" si="60"/>
        <v>200242.91568115784</v>
      </c>
      <c r="H391" s="151">
        <f ca="1">'HUD - Snapshot'!$K$10/12*D390</f>
        <v>5288.8203062126731</v>
      </c>
      <c r="I391" s="151">
        <f t="shared" ca="1" si="61"/>
        <v>311308.14211162401</v>
      </c>
      <c r="J391" s="162"/>
      <c r="K391" s="152"/>
      <c r="L391" s="152"/>
      <c r="Q391"/>
      <c r="R391"/>
      <c r="S391"/>
      <c r="T391"/>
      <c r="U391"/>
      <c r="V391"/>
      <c r="W391"/>
      <c r="X391"/>
      <c r="Y391"/>
      <c r="Z391"/>
      <c r="AA391"/>
      <c r="AB391"/>
      <c r="AC391"/>
      <c r="AD391"/>
      <c r="AE391"/>
      <c r="AF391"/>
      <c r="AG391"/>
      <c r="AH391"/>
      <c r="AI391"/>
      <c r="AJ391"/>
      <c r="AK391"/>
      <c r="AL391"/>
      <c r="AM391"/>
      <c r="AN391"/>
      <c r="AO391"/>
      <c r="AP391"/>
      <c r="AQ391"/>
    </row>
    <row r="392" spans="2:43" s="150" customFormat="1" ht="15">
      <c r="B392" s="150">
        <v>380</v>
      </c>
      <c r="C392" s="153">
        <v>56097</v>
      </c>
      <c r="D392" s="151">
        <f t="shared" ca="1" si="57"/>
        <v>24985017.29297651</v>
      </c>
      <c r="E392" s="151">
        <f t="shared" ca="1" si="58"/>
        <v>306019.32180541131</v>
      </c>
      <c r="F392" s="151">
        <f t="shared" ca="1" si="59"/>
        <v>104942.06064224865</v>
      </c>
      <c r="G392" s="151">
        <f t="shared" ca="1" si="60"/>
        <v>201077.26116316265</v>
      </c>
      <c r="H392" s="151">
        <f ca="1">'HUD - Snapshot'!$K$10/12*D391</f>
        <v>5247.1030321124326</v>
      </c>
      <c r="I392" s="151">
        <f t="shared" ca="1" si="61"/>
        <v>311266.42483752372</v>
      </c>
      <c r="J392" s="162"/>
      <c r="K392" s="152"/>
      <c r="L392" s="152"/>
      <c r="Q392"/>
      <c r="R392"/>
      <c r="S392"/>
      <c r="T392"/>
      <c r="U392"/>
      <c r="V392"/>
      <c r="W392"/>
      <c r="X392"/>
      <c r="Y392"/>
      <c r="Z392"/>
      <c r="AA392"/>
      <c r="AB392"/>
      <c r="AC392"/>
      <c r="AD392"/>
      <c r="AE392"/>
      <c r="AF392"/>
      <c r="AG392"/>
      <c r="AH392"/>
      <c r="AI392"/>
      <c r="AJ392"/>
      <c r="AK392"/>
      <c r="AL392"/>
      <c r="AM392"/>
      <c r="AN392"/>
      <c r="AO392"/>
      <c r="AP392"/>
      <c r="AQ392"/>
    </row>
    <row r="393" spans="2:43" s="150" customFormat="1" ht="15">
      <c r="B393" s="150">
        <v>381</v>
      </c>
      <c r="C393" s="153">
        <v>56128</v>
      </c>
      <c r="D393" s="151">
        <f t="shared" ca="1" si="57"/>
        <v>24783102.209891833</v>
      </c>
      <c r="E393" s="151">
        <f t="shared" ca="1" si="58"/>
        <v>306019.32180541131</v>
      </c>
      <c r="F393" s="151">
        <f t="shared" ca="1" si="59"/>
        <v>104104.23872073546</v>
      </c>
      <c r="G393" s="151">
        <f t="shared" ca="1" si="60"/>
        <v>201915.08308467583</v>
      </c>
      <c r="H393" s="151">
        <f ca="1">'HUD - Snapshot'!$K$10/12*D392</f>
        <v>5205.2119360367733</v>
      </c>
      <c r="I393" s="151">
        <f t="shared" ca="1" si="61"/>
        <v>311224.53374144807</v>
      </c>
      <c r="J393" s="162"/>
      <c r="K393" s="152"/>
      <c r="L393" s="152"/>
      <c r="Q393"/>
      <c r="R393"/>
      <c r="S393"/>
      <c r="T393"/>
      <c r="U393"/>
      <c r="V393"/>
      <c r="W393"/>
      <c r="X393"/>
      <c r="Y393"/>
      <c r="Z393"/>
      <c r="AA393"/>
      <c r="AB393"/>
      <c r="AC393"/>
      <c r="AD393"/>
      <c r="AE393"/>
      <c r="AF393"/>
      <c r="AG393"/>
      <c r="AH393"/>
      <c r="AI393"/>
      <c r="AJ393"/>
      <c r="AK393"/>
      <c r="AL393"/>
      <c r="AM393"/>
      <c r="AN393"/>
      <c r="AO393"/>
      <c r="AP393"/>
      <c r="AQ393"/>
    </row>
    <row r="394" spans="2:43" s="150" customFormat="1" ht="15">
      <c r="B394" s="150">
        <v>382</v>
      </c>
      <c r="C394" s="153">
        <v>56158</v>
      </c>
      <c r="D394" s="151">
        <f t="shared" ca="1" si="57"/>
        <v>24580345.813960973</v>
      </c>
      <c r="E394" s="151">
        <f t="shared" ca="1" si="58"/>
        <v>306019.32180541131</v>
      </c>
      <c r="F394" s="151">
        <f t="shared" ca="1" si="59"/>
        <v>103262.9258745493</v>
      </c>
      <c r="G394" s="151">
        <f t="shared" ca="1" si="60"/>
        <v>202756.395930862</v>
      </c>
      <c r="H394" s="151">
        <f ca="1">'HUD - Snapshot'!$K$10/12*D393</f>
        <v>5163.1462937274655</v>
      </c>
      <c r="I394" s="151">
        <f t="shared" ca="1" si="61"/>
        <v>311182.46809913876</v>
      </c>
      <c r="J394" s="162"/>
      <c r="K394" s="152"/>
      <c r="L394" s="152"/>
      <c r="Q394"/>
      <c r="R394"/>
      <c r="S394"/>
      <c r="T394"/>
      <c r="U394"/>
      <c r="V394"/>
      <c r="W394"/>
      <c r="X394"/>
      <c r="Y394"/>
      <c r="Z394"/>
      <c r="AA394"/>
      <c r="AB394"/>
      <c r="AC394"/>
      <c r="AD394"/>
      <c r="AE394"/>
      <c r="AF394"/>
      <c r="AG394"/>
      <c r="AH394"/>
      <c r="AI394"/>
      <c r="AJ394"/>
      <c r="AK394"/>
      <c r="AL394"/>
      <c r="AM394"/>
      <c r="AN394"/>
      <c r="AO394"/>
      <c r="AP394"/>
      <c r="AQ394"/>
    </row>
    <row r="395" spans="2:43" s="150" customFormat="1" ht="15">
      <c r="B395" s="150">
        <v>383</v>
      </c>
      <c r="C395" s="153">
        <v>56189</v>
      </c>
      <c r="D395" s="151">
        <f t="shared" ca="1" si="57"/>
        <v>24376744.599713732</v>
      </c>
      <c r="E395" s="151">
        <f t="shared" ca="1" si="58"/>
        <v>306019.32180541131</v>
      </c>
      <c r="F395" s="151">
        <f t="shared" ca="1" si="59"/>
        <v>102418.10755817073</v>
      </c>
      <c r="G395" s="151">
        <f t="shared" ca="1" si="60"/>
        <v>203601.21424724057</v>
      </c>
      <c r="H395" s="151">
        <f ca="1">'HUD - Snapshot'!$K$10/12*D394</f>
        <v>5120.9053779085361</v>
      </c>
      <c r="I395" s="151">
        <f t="shared" ca="1" si="61"/>
        <v>311140.22718331986</v>
      </c>
      <c r="J395" s="162"/>
      <c r="K395" s="152"/>
      <c r="L395" s="152"/>
      <c r="Q395"/>
      <c r="R395"/>
      <c r="S395"/>
      <c r="T395"/>
      <c r="U395"/>
      <c r="V395"/>
      <c r="W395"/>
      <c r="X395"/>
      <c r="Y395"/>
      <c r="Z395"/>
      <c r="AA395"/>
      <c r="AB395"/>
      <c r="AC395"/>
      <c r="AD395"/>
      <c r="AE395"/>
      <c r="AF395"/>
      <c r="AG395"/>
      <c r="AH395"/>
      <c r="AI395"/>
      <c r="AJ395"/>
      <c r="AK395"/>
      <c r="AL395"/>
      <c r="AM395"/>
      <c r="AN395"/>
      <c r="AO395"/>
      <c r="AP395"/>
      <c r="AQ395"/>
    </row>
    <row r="396" spans="2:43" s="150" customFormat="1" ht="15">
      <c r="B396" s="150">
        <v>384</v>
      </c>
      <c r="C396" s="153">
        <v>56219</v>
      </c>
      <c r="D396" s="151">
        <f t="shared" ca="1" si="57"/>
        <v>24172295.047073793</v>
      </c>
      <c r="E396" s="151">
        <f t="shared" ca="1" si="58"/>
        <v>306019.32180541131</v>
      </c>
      <c r="F396" s="151">
        <f t="shared" ca="1" si="59"/>
        <v>101569.76916547387</v>
      </c>
      <c r="G396" s="151">
        <f t="shared" ca="1" si="60"/>
        <v>204449.55263993744</v>
      </c>
      <c r="H396" s="151">
        <f ca="1">'HUD - Snapshot'!$K$10/12*D395</f>
        <v>5078.4884582736941</v>
      </c>
      <c r="I396" s="151">
        <f t="shared" ca="1" si="61"/>
        <v>311097.81026368501</v>
      </c>
      <c r="J396" s="162"/>
      <c r="K396" s="152">
        <f ca="1">SUM(I385:I396)</f>
        <v>3735934.8781337989</v>
      </c>
      <c r="L396" s="152">
        <f ca="1">SUM(F385:F396)</f>
        <v>1274060.3293772638</v>
      </c>
      <c r="Q396"/>
      <c r="R396"/>
      <c r="S396"/>
      <c r="T396"/>
      <c r="U396"/>
      <c r="V396"/>
      <c r="W396"/>
      <c r="X396"/>
      <c r="Y396"/>
      <c r="Z396"/>
      <c r="AA396"/>
      <c r="AB396"/>
      <c r="AC396"/>
      <c r="AD396"/>
      <c r="AE396"/>
      <c r="AF396"/>
      <c r="AG396"/>
      <c r="AH396"/>
      <c r="AI396"/>
      <c r="AJ396"/>
      <c r="AK396"/>
      <c r="AL396"/>
      <c r="AM396"/>
      <c r="AN396"/>
      <c r="AO396"/>
      <c r="AP396"/>
      <c r="AQ396"/>
    </row>
    <row r="397" spans="2:43" s="150" customFormat="1" ht="15">
      <c r="B397" s="150">
        <v>385</v>
      </c>
      <c r="C397" s="153">
        <v>56250</v>
      </c>
      <c r="D397" s="151">
        <f t="shared" ref="D397:D460" ca="1" si="62">D396-G397</f>
        <v>23966993.621297855</v>
      </c>
      <c r="E397" s="151">
        <f t="shared" ref="E397:E460" ca="1" si="63">$D$9</f>
        <v>306019.32180541131</v>
      </c>
      <c r="F397" s="151">
        <f t="shared" ref="F397:F460" ca="1" si="64">$D$8/12*D396</f>
        <v>100717.89602947414</v>
      </c>
      <c r="G397" s="151">
        <f t="shared" ref="G397:G460" ca="1" si="65">E397-F397</f>
        <v>205301.42577593715</v>
      </c>
      <c r="H397" s="151">
        <f ca="1">'HUD - Snapshot'!$K$10/12*D396</f>
        <v>5035.894801473707</v>
      </c>
      <c r="I397" s="151">
        <f t="shared" ref="I397:I460" ca="1" si="66">SUM(F397:H397)</f>
        <v>311055.21660688502</v>
      </c>
      <c r="J397" s="162"/>
      <c r="K397" s="152"/>
      <c r="L397" s="152"/>
      <c r="Q397"/>
      <c r="R397"/>
      <c r="S397"/>
      <c r="T397"/>
      <c r="U397"/>
      <c r="V397"/>
      <c r="W397"/>
      <c r="X397"/>
      <c r="Y397"/>
      <c r="Z397"/>
      <c r="AA397"/>
      <c r="AB397"/>
      <c r="AC397"/>
      <c r="AD397"/>
      <c r="AE397"/>
      <c r="AF397"/>
      <c r="AG397"/>
      <c r="AH397"/>
      <c r="AI397"/>
      <c r="AJ397"/>
      <c r="AK397"/>
      <c r="AL397"/>
      <c r="AM397"/>
      <c r="AN397"/>
      <c r="AO397"/>
      <c r="AP397"/>
      <c r="AQ397"/>
    </row>
    <row r="398" spans="2:43" s="150" customFormat="1" ht="15">
      <c r="B398" s="150">
        <v>386</v>
      </c>
      <c r="C398" s="153">
        <v>56281</v>
      </c>
      <c r="D398" s="151">
        <f t="shared" ca="1" si="62"/>
        <v>23760836.772914518</v>
      </c>
      <c r="E398" s="151">
        <f t="shared" ca="1" si="63"/>
        <v>306019.32180541131</v>
      </c>
      <c r="F398" s="151">
        <f t="shared" ca="1" si="64"/>
        <v>99862.473422074399</v>
      </c>
      <c r="G398" s="151">
        <f t="shared" ca="1" si="65"/>
        <v>206156.84838333691</v>
      </c>
      <c r="H398" s="151">
        <f ca="1">'HUD - Snapshot'!$K$10/12*D397</f>
        <v>4993.12367110372</v>
      </c>
      <c r="I398" s="151">
        <f t="shared" ca="1" si="66"/>
        <v>311012.44547651504</v>
      </c>
      <c r="J398" s="162"/>
      <c r="K398" s="152"/>
      <c r="L398" s="152"/>
      <c r="Q398"/>
      <c r="R398"/>
      <c r="S398"/>
      <c r="T398"/>
      <c r="U398"/>
      <c r="V398"/>
      <c r="W398"/>
      <c r="X398"/>
      <c r="Y398"/>
      <c r="Z398"/>
      <c r="AA398"/>
      <c r="AB398"/>
      <c r="AC398"/>
      <c r="AD398"/>
      <c r="AE398"/>
      <c r="AF398"/>
      <c r="AG398"/>
      <c r="AH398"/>
      <c r="AI398"/>
      <c r="AJ398"/>
      <c r="AK398"/>
      <c r="AL398"/>
      <c r="AM398"/>
      <c r="AN398"/>
      <c r="AO398"/>
      <c r="AP398"/>
      <c r="AQ398"/>
    </row>
    <row r="399" spans="2:43" s="150" customFormat="1" ht="15">
      <c r="B399" s="150">
        <v>387</v>
      </c>
      <c r="C399" s="153">
        <v>56309</v>
      </c>
      <c r="D399" s="151">
        <f t="shared" ca="1" si="62"/>
        <v>23553820.937662918</v>
      </c>
      <c r="E399" s="151">
        <f t="shared" ca="1" si="63"/>
        <v>306019.32180541131</v>
      </c>
      <c r="F399" s="151">
        <f t="shared" ca="1" si="64"/>
        <v>99003.486553810493</v>
      </c>
      <c r="G399" s="151">
        <f t="shared" ca="1" si="65"/>
        <v>207015.83525160083</v>
      </c>
      <c r="H399" s="151">
        <f ca="1">'HUD - Snapshot'!$K$10/12*D398</f>
        <v>4950.1743276905245</v>
      </c>
      <c r="I399" s="151">
        <f t="shared" ca="1" si="66"/>
        <v>310969.49613310181</v>
      </c>
      <c r="J399" s="162"/>
      <c r="K399" s="152"/>
      <c r="L399" s="152"/>
      <c r="Q399"/>
      <c r="R399"/>
      <c r="S399"/>
      <c r="T399"/>
      <c r="U399"/>
      <c r="V399"/>
      <c r="W399"/>
      <c r="X399"/>
      <c r="Y399"/>
      <c r="Z399"/>
      <c r="AA399"/>
      <c r="AB399"/>
      <c r="AC399"/>
      <c r="AD399"/>
      <c r="AE399"/>
      <c r="AF399"/>
      <c r="AG399"/>
      <c r="AH399"/>
      <c r="AI399"/>
      <c r="AJ399"/>
      <c r="AK399"/>
      <c r="AL399"/>
      <c r="AM399"/>
      <c r="AN399"/>
      <c r="AO399"/>
      <c r="AP399"/>
      <c r="AQ399"/>
    </row>
    <row r="400" spans="2:43" s="150" customFormat="1" ht="15">
      <c r="B400" s="150">
        <v>388</v>
      </c>
      <c r="C400" s="153">
        <v>56340</v>
      </c>
      <c r="D400" s="151">
        <f t="shared" ca="1" si="62"/>
        <v>23345942.536431104</v>
      </c>
      <c r="E400" s="151">
        <f t="shared" ca="1" si="63"/>
        <v>306019.32180541131</v>
      </c>
      <c r="F400" s="151">
        <f t="shared" ca="1" si="64"/>
        <v>98140.920573595489</v>
      </c>
      <c r="G400" s="151">
        <f t="shared" ca="1" si="65"/>
        <v>207878.40123181581</v>
      </c>
      <c r="H400" s="151">
        <f ca="1">'HUD - Snapshot'!$K$10/12*D399</f>
        <v>4907.0460286797752</v>
      </c>
      <c r="I400" s="151">
        <f t="shared" ca="1" si="66"/>
        <v>310926.36783409107</v>
      </c>
      <c r="J400" s="162"/>
      <c r="K400" s="152"/>
      <c r="L400" s="152"/>
      <c r="Q400"/>
      <c r="R400"/>
      <c r="S400"/>
      <c r="T400"/>
      <c r="U400"/>
      <c r="V400"/>
      <c r="W400"/>
      <c r="X400"/>
      <c r="Y400"/>
      <c r="Z400"/>
      <c r="AA400"/>
      <c r="AB400"/>
      <c r="AC400"/>
      <c r="AD400"/>
      <c r="AE400"/>
      <c r="AF400"/>
      <c r="AG400"/>
      <c r="AH400"/>
      <c r="AI400"/>
      <c r="AJ400"/>
      <c r="AK400"/>
      <c r="AL400"/>
      <c r="AM400"/>
      <c r="AN400"/>
      <c r="AO400"/>
      <c r="AP400"/>
      <c r="AQ400"/>
    </row>
    <row r="401" spans="2:43" s="150" customFormat="1" ht="15">
      <c r="B401" s="150">
        <v>389</v>
      </c>
      <c r="C401" s="153">
        <v>56370</v>
      </c>
      <c r="D401" s="151">
        <f t="shared" ca="1" si="62"/>
        <v>23137197.975194156</v>
      </c>
      <c r="E401" s="151">
        <f t="shared" ca="1" si="63"/>
        <v>306019.32180541131</v>
      </c>
      <c r="F401" s="151">
        <f t="shared" ca="1" si="64"/>
        <v>97274.760568462938</v>
      </c>
      <c r="G401" s="151">
        <f t="shared" ca="1" si="65"/>
        <v>208744.56123694836</v>
      </c>
      <c r="H401" s="151">
        <f ca="1">'HUD - Snapshot'!$K$10/12*D400</f>
        <v>4863.7380284231467</v>
      </c>
      <c r="I401" s="151">
        <f t="shared" ca="1" si="66"/>
        <v>310883.05983383447</v>
      </c>
      <c r="J401" s="162"/>
      <c r="K401" s="152"/>
      <c r="L401" s="152"/>
      <c r="Q401"/>
      <c r="R401"/>
      <c r="S401"/>
      <c r="T401"/>
      <c r="U401"/>
      <c r="V401"/>
      <c r="W401"/>
      <c r="X401"/>
      <c r="Y401"/>
      <c r="Z401"/>
      <c r="AA401"/>
      <c r="AB401"/>
      <c r="AC401"/>
      <c r="AD401"/>
      <c r="AE401"/>
      <c r="AF401"/>
      <c r="AG401"/>
      <c r="AH401"/>
      <c r="AI401"/>
      <c r="AJ401"/>
      <c r="AK401"/>
      <c r="AL401"/>
      <c r="AM401"/>
      <c r="AN401"/>
      <c r="AO401"/>
      <c r="AP401"/>
      <c r="AQ401"/>
    </row>
    <row r="402" spans="2:43" s="150" customFormat="1" ht="15">
      <c r="B402" s="150">
        <v>390</v>
      </c>
      <c r="C402" s="153">
        <v>56401</v>
      </c>
      <c r="D402" s="151">
        <f t="shared" ca="1" si="62"/>
        <v>22927583.644952055</v>
      </c>
      <c r="E402" s="151">
        <f t="shared" ca="1" si="63"/>
        <v>306019.32180541131</v>
      </c>
      <c r="F402" s="151">
        <f t="shared" ca="1" si="64"/>
        <v>96404.991563308984</v>
      </c>
      <c r="G402" s="151">
        <f t="shared" ca="1" si="65"/>
        <v>209614.33024210233</v>
      </c>
      <c r="H402" s="151">
        <f ca="1">'HUD - Snapshot'!$K$10/12*D401</f>
        <v>4820.2495781654497</v>
      </c>
      <c r="I402" s="151">
        <f t="shared" ca="1" si="66"/>
        <v>310839.57138357678</v>
      </c>
      <c r="J402" s="162"/>
      <c r="K402" s="152"/>
      <c r="L402" s="152"/>
      <c r="Q402"/>
      <c r="R402"/>
      <c r="S402"/>
      <c r="T402"/>
      <c r="U402"/>
      <c r="V402"/>
      <c r="W402"/>
      <c r="X402"/>
      <c r="Y402"/>
      <c r="Z402"/>
      <c r="AA402"/>
      <c r="AB402"/>
      <c r="AC402"/>
      <c r="AD402"/>
      <c r="AE402"/>
      <c r="AF402"/>
      <c r="AG402"/>
      <c r="AH402"/>
      <c r="AI402"/>
      <c r="AJ402"/>
      <c r="AK402"/>
      <c r="AL402"/>
      <c r="AM402"/>
      <c r="AN402"/>
      <c r="AO402"/>
      <c r="AP402"/>
      <c r="AQ402"/>
    </row>
    <row r="403" spans="2:43" s="150" customFormat="1" ht="15">
      <c r="B403" s="150">
        <v>391</v>
      </c>
      <c r="C403" s="153">
        <v>56431</v>
      </c>
      <c r="D403" s="151">
        <f t="shared" ca="1" si="62"/>
        <v>22717095.921667278</v>
      </c>
      <c r="E403" s="151">
        <f t="shared" ca="1" si="63"/>
        <v>306019.32180541131</v>
      </c>
      <c r="F403" s="151">
        <f t="shared" ca="1" si="64"/>
        <v>95531.598520633561</v>
      </c>
      <c r="G403" s="151">
        <f t="shared" ca="1" si="65"/>
        <v>210487.72328477775</v>
      </c>
      <c r="H403" s="151">
        <f ca="1">'HUD - Snapshot'!$K$10/12*D402</f>
        <v>4776.579926031678</v>
      </c>
      <c r="I403" s="151">
        <f t="shared" ca="1" si="66"/>
        <v>310795.90173144301</v>
      </c>
      <c r="J403" s="162"/>
      <c r="K403" s="152"/>
      <c r="L403" s="152"/>
      <c r="Q403"/>
      <c r="R403"/>
      <c r="S403"/>
      <c r="T403"/>
      <c r="U403"/>
      <c r="V403"/>
      <c r="W403"/>
      <c r="X403"/>
      <c r="Y403"/>
      <c r="Z403"/>
      <c r="AA403"/>
      <c r="AB403"/>
      <c r="AC403"/>
      <c r="AD403"/>
      <c r="AE403"/>
      <c r="AF403"/>
      <c r="AG403"/>
      <c r="AH403"/>
      <c r="AI403"/>
      <c r="AJ403"/>
      <c r="AK403"/>
      <c r="AL403"/>
      <c r="AM403"/>
      <c r="AN403"/>
      <c r="AO403"/>
      <c r="AP403"/>
      <c r="AQ403"/>
    </row>
    <row r="404" spans="2:43" s="150" customFormat="1" ht="15">
      <c r="B404" s="150">
        <v>392</v>
      </c>
      <c r="C404" s="153">
        <v>56462</v>
      </c>
      <c r="D404" s="151">
        <f t="shared" ca="1" si="62"/>
        <v>22505731.166202147</v>
      </c>
      <c r="E404" s="151">
        <f t="shared" ca="1" si="63"/>
        <v>306019.32180541131</v>
      </c>
      <c r="F404" s="151">
        <f t="shared" ca="1" si="64"/>
        <v>94654.566340280318</v>
      </c>
      <c r="G404" s="151">
        <f t="shared" ca="1" si="65"/>
        <v>211364.75546513099</v>
      </c>
      <c r="H404" s="151">
        <f ca="1">'HUD - Snapshot'!$K$10/12*D403</f>
        <v>4732.7283170140163</v>
      </c>
      <c r="I404" s="151">
        <f t="shared" ca="1" si="66"/>
        <v>310752.05012242531</v>
      </c>
      <c r="J404" s="162"/>
      <c r="K404" s="152"/>
      <c r="L404" s="152"/>
      <c r="Q404"/>
      <c r="R404"/>
      <c r="S404"/>
      <c r="T404"/>
      <c r="U404"/>
      <c r="V404"/>
      <c r="W404"/>
      <c r="X404"/>
      <c r="Y404"/>
      <c r="Z404"/>
      <c r="AA404"/>
      <c r="AB404"/>
      <c r="AC404"/>
      <c r="AD404"/>
      <c r="AE404"/>
      <c r="AF404"/>
      <c r="AG404"/>
      <c r="AH404"/>
      <c r="AI404"/>
      <c r="AJ404"/>
      <c r="AK404"/>
      <c r="AL404"/>
      <c r="AM404"/>
      <c r="AN404"/>
      <c r="AO404"/>
      <c r="AP404"/>
      <c r="AQ404"/>
    </row>
    <row r="405" spans="2:43" s="150" customFormat="1" ht="15">
      <c r="B405" s="150">
        <v>393</v>
      </c>
      <c r="C405" s="153">
        <v>56493</v>
      </c>
      <c r="D405" s="151">
        <f t="shared" ca="1" si="62"/>
        <v>22293485.724255912</v>
      </c>
      <c r="E405" s="151">
        <f t="shared" ca="1" si="63"/>
        <v>306019.32180541131</v>
      </c>
      <c r="F405" s="151">
        <f t="shared" ca="1" si="64"/>
        <v>93773.879859175606</v>
      </c>
      <c r="G405" s="151">
        <f t="shared" ca="1" si="65"/>
        <v>212245.44194623572</v>
      </c>
      <c r="H405" s="151">
        <f ca="1">'HUD - Snapshot'!$K$10/12*D404</f>
        <v>4688.6939929587807</v>
      </c>
      <c r="I405" s="151">
        <f t="shared" ca="1" si="66"/>
        <v>310708.01579837006</v>
      </c>
      <c r="J405" s="162"/>
      <c r="K405" s="152"/>
      <c r="L405" s="152"/>
      <c r="Q405"/>
      <c r="R405"/>
      <c r="S405"/>
      <c r="T405"/>
      <c r="U405"/>
      <c r="V405"/>
      <c r="W405"/>
      <c r="X405"/>
      <c r="Y405"/>
      <c r="Z405"/>
      <c r="AA405"/>
      <c r="AB405"/>
      <c r="AC405"/>
      <c r="AD405"/>
      <c r="AE405"/>
      <c r="AF405"/>
      <c r="AG405"/>
      <c r="AH405"/>
      <c r="AI405"/>
      <c r="AJ405"/>
      <c r="AK405"/>
      <c r="AL405"/>
      <c r="AM405"/>
      <c r="AN405"/>
      <c r="AO405"/>
      <c r="AP405"/>
      <c r="AQ405"/>
    </row>
    <row r="406" spans="2:43" s="150" customFormat="1" ht="15">
      <c r="B406" s="150">
        <v>394</v>
      </c>
      <c r="C406" s="153">
        <v>56523</v>
      </c>
      <c r="D406" s="151">
        <f t="shared" ca="1" si="62"/>
        <v>22080355.926301569</v>
      </c>
      <c r="E406" s="151">
        <f t="shared" ca="1" si="63"/>
        <v>306019.32180541131</v>
      </c>
      <c r="F406" s="151">
        <f t="shared" ca="1" si="64"/>
        <v>92889.523851066304</v>
      </c>
      <c r="G406" s="151">
        <f t="shared" ca="1" si="65"/>
        <v>213129.79795434501</v>
      </c>
      <c r="H406" s="151">
        <f ca="1">'HUD - Snapshot'!$K$10/12*D405</f>
        <v>4644.4761925533157</v>
      </c>
      <c r="I406" s="151">
        <f t="shared" ca="1" si="66"/>
        <v>310663.7979979646</v>
      </c>
      <c r="J406" s="162"/>
      <c r="K406" s="152"/>
      <c r="L406" s="152"/>
      <c r="Q406"/>
      <c r="R406"/>
      <c r="S406"/>
      <c r="T406"/>
      <c r="U406"/>
      <c r="V406"/>
      <c r="W406"/>
      <c r="X406"/>
      <c r="Y406"/>
      <c r="Z406"/>
      <c r="AA406"/>
      <c r="AB406"/>
      <c r="AC406"/>
      <c r="AD406"/>
      <c r="AE406"/>
      <c r="AF406"/>
      <c r="AG406"/>
      <c r="AH406"/>
      <c r="AI406"/>
      <c r="AJ406"/>
      <c r="AK406"/>
      <c r="AL406"/>
      <c r="AM406"/>
      <c r="AN406"/>
      <c r="AO406"/>
      <c r="AP406"/>
      <c r="AQ406"/>
    </row>
    <row r="407" spans="2:43" s="150" customFormat="1" ht="15">
      <c r="B407" s="150">
        <v>395</v>
      </c>
      <c r="C407" s="153">
        <v>56554</v>
      </c>
      <c r="D407" s="151">
        <f t="shared" ca="1" si="62"/>
        <v>21866338.087522414</v>
      </c>
      <c r="E407" s="151">
        <f t="shared" ca="1" si="63"/>
        <v>306019.32180541131</v>
      </c>
      <c r="F407" s="151">
        <f t="shared" ca="1" si="64"/>
        <v>92001.483026256537</v>
      </c>
      <c r="G407" s="151">
        <f t="shared" ca="1" si="65"/>
        <v>214017.83877915476</v>
      </c>
      <c r="H407" s="151">
        <f ca="1">'HUD - Snapshot'!$K$10/12*D406</f>
        <v>4600.0741513128269</v>
      </c>
      <c r="I407" s="151">
        <f t="shared" ca="1" si="66"/>
        <v>310619.39595672413</v>
      </c>
      <c r="J407" s="162"/>
      <c r="K407" s="152"/>
      <c r="L407" s="152"/>
      <c r="Q407"/>
      <c r="R407"/>
      <c r="S407"/>
      <c r="T407"/>
      <c r="U407"/>
      <c r="V407"/>
      <c r="W407"/>
      <c r="X407"/>
      <c r="Y407"/>
      <c r="Z407"/>
      <c r="AA407"/>
      <c r="AB407"/>
      <c r="AC407"/>
      <c r="AD407"/>
      <c r="AE407"/>
      <c r="AF407"/>
      <c r="AG407"/>
      <c r="AH407"/>
      <c r="AI407"/>
      <c r="AJ407"/>
      <c r="AK407"/>
      <c r="AL407"/>
      <c r="AM407"/>
      <c r="AN407"/>
      <c r="AO407"/>
      <c r="AP407"/>
      <c r="AQ407"/>
    </row>
    <row r="408" spans="2:43" s="150" customFormat="1" ht="15">
      <c r="B408" s="150">
        <v>396</v>
      </c>
      <c r="C408" s="153">
        <v>56584</v>
      </c>
      <c r="D408" s="151">
        <f t="shared" ca="1" si="62"/>
        <v>21651428.507748347</v>
      </c>
      <c r="E408" s="151">
        <f t="shared" ca="1" si="63"/>
        <v>306019.32180541131</v>
      </c>
      <c r="F408" s="151">
        <f t="shared" ca="1" si="64"/>
        <v>91109.742031343383</v>
      </c>
      <c r="G408" s="151">
        <f t="shared" ca="1" si="65"/>
        <v>214909.57977406791</v>
      </c>
      <c r="H408" s="151">
        <f ca="1">'HUD - Snapshot'!$K$10/12*D407</f>
        <v>4555.4871015671697</v>
      </c>
      <c r="I408" s="151">
        <f t="shared" ca="1" si="66"/>
        <v>310574.80890697846</v>
      </c>
      <c r="J408" s="162"/>
      <c r="K408" s="152">
        <f ca="1">SUM(I397:I408)</f>
        <v>3729800.1277819094</v>
      </c>
      <c r="L408" s="152">
        <f ca="1">SUM(F397:F408)</f>
        <v>1151365.3223394821</v>
      </c>
      <c r="Q408"/>
      <c r="R408"/>
      <c r="S408"/>
      <c r="T408"/>
      <c r="U408"/>
      <c r="V408"/>
      <c r="W408"/>
      <c r="X408"/>
      <c r="Y408"/>
      <c r="Z408"/>
      <c r="AA408"/>
      <c r="AB408"/>
      <c r="AC408"/>
      <c r="AD408"/>
      <c r="AE408"/>
      <c r="AF408"/>
      <c r="AG408"/>
      <c r="AH408"/>
      <c r="AI408"/>
      <c r="AJ408"/>
      <c r="AK408"/>
      <c r="AL408"/>
      <c r="AM408"/>
      <c r="AN408"/>
      <c r="AO408"/>
      <c r="AP408"/>
      <c r="AQ408"/>
    </row>
    <row r="409" spans="2:43" s="150" customFormat="1" ht="15">
      <c r="B409" s="150">
        <v>397</v>
      </c>
      <c r="C409" s="153">
        <v>56615</v>
      </c>
      <c r="D409" s="151">
        <f t="shared" ca="1" si="62"/>
        <v>21435623.471391886</v>
      </c>
      <c r="E409" s="151">
        <f t="shared" ca="1" si="63"/>
        <v>306019.32180541131</v>
      </c>
      <c r="F409" s="151">
        <f t="shared" ca="1" si="64"/>
        <v>90214.285448951443</v>
      </c>
      <c r="G409" s="151">
        <f t="shared" ca="1" si="65"/>
        <v>215805.03635645987</v>
      </c>
      <c r="H409" s="151">
        <f ca="1">'HUD - Snapshot'!$K$10/12*D408</f>
        <v>4510.7142724475725</v>
      </c>
      <c r="I409" s="151">
        <f t="shared" ca="1" si="66"/>
        <v>310530.03607785888</v>
      </c>
      <c r="J409" s="162"/>
      <c r="K409" s="152"/>
      <c r="L409" s="152"/>
      <c r="Q409"/>
      <c r="R409"/>
      <c r="S409"/>
      <c r="T409"/>
      <c r="U409"/>
      <c r="V409"/>
      <c r="W409"/>
      <c r="X409"/>
      <c r="Y409"/>
      <c r="Z409"/>
      <c r="AA409"/>
      <c r="AB409"/>
      <c r="AC409"/>
      <c r="AD409"/>
      <c r="AE409"/>
      <c r="AF409"/>
      <c r="AG409"/>
      <c r="AH409"/>
      <c r="AI409"/>
      <c r="AJ409"/>
      <c r="AK409"/>
      <c r="AL409"/>
      <c r="AM409"/>
      <c r="AN409"/>
      <c r="AO409"/>
      <c r="AP409"/>
      <c r="AQ409"/>
    </row>
    <row r="410" spans="2:43" s="150" customFormat="1" ht="15">
      <c r="B410" s="150">
        <v>398</v>
      </c>
      <c r="C410" s="153">
        <v>56646</v>
      </c>
      <c r="D410" s="151">
        <f t="shared" ca="1" si="62"/>
        <v>21218919.247383941</v>
      </c>
      <c r="E410" s="151">
        <f t="shared" ca="1" si="63"/>
        <v>306019.32180541131</v>
      </c>
      <c r="F410" s="151">
        <f t="shared" ca="1" si="64"/>
        <v>89315.097797466195</v>
      </c>
      <c r="G410" s="151">
        <f t="shared" ca="1" si="65"/>
        <v>216704.2240079451</v>
      </c>
      <c r="H410" s="151">
        <f ca="1">'HUD - Snapshot'!$K$10/12*D409</f>
        <v>4465.7548898733103</v>
      </c>
      <c r="I410" s="151">
        <f t="shared" ca="1" si="66"/>
        <v>310485.07669528463</v>
      </c>
      <c r="J410" s="162"/>
      <c r="K410" s="152"/>
      <c r="L410" s="152"/>
      <c r="Q410"/>
      <c r="R410"/>
      <c r="S410"/>
      <c r="T410"/>
      <c r="U410"/>
      <c r="V410"/>
      <c r="W410"/>
      <c r="X410"/>
      <c r="Y410"/>
      <c r="Z410"/>
      <c r="AA410"/>
      <c r="AB410"/>
      <c r="AC410"/>
      <c r="AD410"/>
      <c r="AE410"/>
      <c r="AF410"/>
      <c r="AG410"/>
      <c r="AH410"/>
      <c r="AI410"/>
      <c r="AJ410"/>
      <c r="AK410"/>
      <c r="AL410"/>
      <c r="AM410"/>
      <c r="AN410"/>
      <c r="AO410"/>
      <c r="AP410"/>
      <c r="AQ410"/>
    </row>
    <row r="411" spans="2:43" s="150" customFormat="1" ht="15">
      <c r="B411" s="150">
        <v>399</v>
      </c>
      <c r="C411" s="153">
        <v>56674</v>
      </c>
      <c r="D411" s="151">
        <f t="shared" ca="1" si="62"/>
        <v>21001312.089109298</v>
      </c>
      <c r="E411" s="151">
        <f t="shared" ca="1" si="63"/>
        <v>306019.32180541131</v>
      </c>
      <c r="F411" s="151">
        <f t="shared" ca="1" si="64"/>
        <v>88412.163530766426</v>
      </c>
      <c r="G411" s="151">
        <f t="shared" ca="1" si="65"/>
        <v>217607.15827464487</v>
      </c>
      <c r="H411" s="151">
        <f ca="1">'HUD - Snapshot'!$K$10/12*D410</f>
        <v>4420.6081765383215</v>
      </c>
      <c r="I411" s="151">
        <f t="shared" ca="1" si="66"/>
        <v>310439.92998194962</v>
      </c>
      <c r="J411" s="162"/>
      <c r="K411" s="152"/>
      <c r="L411" s="152"/>
      <c r="Q411"/>
      <c r="R411"/>
      <c r="S411"/>
      <c r="T411"/>
      <c r="U411"/>
      <c r="V411"/>
      <c r="W411"/>
      <c r="X411"/>
      <c r="Y411"/>
      <c r="Z411"/>
      <c r="AA411"/>
      <c r="AB411"/>
      <c r="AC411"/>
      <c r="AD411"/>
      <c r="AE411"/>
      <c r="AF411"/>
      <c r="AG411"/>
      <c r="AH411"/>
      <c r="AI411"/>
      <c r="AJ411"/>
      <c r="AK411"/>
      <c r="AL411"/>
      <c r="AM411"/>
      <c r="AN411"/>
      <c r="AO411"/>
      <c r="AP411"/>
      <c r="AQ411"/>
    </row>
    <row r="412" spans="2:43" s="150" customFormat="1" ht="15">
      <c r="B412" s="150">
        <v>400</v>
      </c>
      <c r="C412" s="153">
        <v>56705</v>
      </c>
      <c r="D412" s="151">
        <f t="shared" ca="1" si="62"/>
        <v>20782798.234341841</v>
      </c>
      <c r="E412" s="151">
        <f t="shared" ca="1" si="63"/>
        <v>306019.32180541131</v>
      </c>
      <c r="F412" s="151">
        <f t="shared" ca="1" si="64"/>
        <v>87505.467037955401</v>
      </c>
      <c r="G412" s="151">
        <f t="shared" ca="1" si="65"/>
        <v>218513.85476745589</v>
      </c>
      <c r="H412" s="151">
        <f ca="1">'HUD - Snapshot'!$K$10/12*D411</f>
        <v>4375.2733518977702</v>
      </c>
      <c r="I412" s="151">
        <f t="shared" ca="1" si="66"/>
        <v>310394.59515730909</v>
      </c>
      <c r="J412" s="162"/>
      <c r="K412" s="152"/>
      <c r="L412" s="152"/>
      <c r="Q412"/>
      <c r="R412"/>
      <c r="S412"/>
      <c r="T412"/>
      <c r="U412"/>
      <c r="V412"/>
      <c r="W412"/>
      <c r="X412"/>
      <c r="Y412"/>
      <c r="Z412"/>
      <c r="AA412"/>
      <c r="AB412"/>
      <c r="AC412"/>
      <c r="AD412"/>
      <c r="AE412"/>
      <c r="AF412"/>
      <c r="AG412"/>
      <c r="AH412"/>
      <c r="AI412"/>
      <c r="AJ412"/>
      <c r="AK412"/>
      <c r="AL412"/>
      <c r="AM412"/>
      <c r="AN412"/>
      <c r="AO412"/>
      <c r="AP412"/>
      <c r="AQ412"/>
    </row>
    <row r="413" spans="2:43" s="150" customFormat="1" ht="15">
      <c r="B413" s="150">
        <v>401</v>
      </c>
      <c r="C413" s="153">
        <v>56735</v>
      </c>
      <c r="D413" s="151">
        <f t="shared" ca="1" si="62"/>
        <v>20563373.905179519</v>
      </c>
      <c r="E413" s="151">
        <f t="shared" ca="1" si="63"/>
        <v>306019.32180541131</v>
      </c>
      <c r="F413" s="151">
        <f t="shared" ca="1" si="64"/>
        <v>86594.992643090998</v>
      </c>
      <c r="G413" s="151">
        <f t="shared" ca="1" si="65"/>
        <v>219424.3291623203</v>
      </c>
      <c r="H413" s="151">
        <f ca="1">'HUD - Snapshot'!$K$10/12*D412</f>
        <v>4329.7496321545505</v>
      </c>
      <c r="I413" s="151">
        <f t="shared" ca="1" si="66"/>
        <v>310349.07143756584</v>
      </c>
      <c r="J413" s="162"/>
      <c r="K413" s="152"/>
      <c r="L413" s="152"/>
      <c r="Q413"/>
      <c r="R413"/>
      <c r="S413"/>
      <c r="T413"/>
      <c r="U413"/>
      <c r="V413"/>
      <c r="W413"/>
      <c r="X413"/>
      <c r="Y413"/>
      <c r="Z413"/>
      <c r="AA413"/>
      <c r="AB413"/>
      <c r="AC413"/>
      <c r="AD413"/>
      <c r="AE413"/>
      <c r="AF413"/>
      <c r="AG413"/>
      <c r="AH413"/>
      <c r="AI413"/>
      <c r="AJ413"/>
      <c r="AK413"/>
      <c r="AL413"/>
      <c r="AM413"/>
      <c r="AN413"/>
      <c r="AO413"/>
      <c r="AP413"/>
      <c r="AQ413"/>
    </row>
    <row r="414" spans="2:43" s="150" customFormat="1" ht="15">
      <c r="B414" s="150">
        <v>402</v>
      </c>
      <c r="C414" s="153">
        <v>56766</v>
      </c>
      <c r="D414" s="151">
        <f t="shared" ca="1" si="62"/>
        <v>20343035.307979021</v>
      </c>
      <c r="E414" s="151">
        <f t="shared" ca="1" si="63"/>
        <v>306019.32180541131</v>
      </c>
      <c r="F414" s="151">
        <f t="shared" ca="1" si="64"/>
        <v>85680.724604914663</v>
      </c>
      <c r="G414" s="151">
        <f t="shared" ca="1" si="65"/>
        <v>220338.59720049665</v>
      </c>
      <c r="H414" s="151">
        <f ca="1">'HUD - Snapshot'!$K$10/12*D413</f>
        <v>4284.0362302457333</v>
      </c>
      <c r="I414" s="151">
        <f t="shared" ca="1" si="66"/>
        <v>310303.35803565703</v>
      </c>
      <c r="J414" s="162"/>
      <c r="K414" s="152"/>
      <c r="L414" s="152"/>
      <c r="Q414"/>
      <c r="R414"/>
      <c r="S414"/>
      <c r="T414"/>
      <c r="U414"/>
      <c r="V414"/>
      <c r="W414"/>
      <c r="X414"/>
      <c r="Y414"/>
      <c r="Z414"/>
      <c r="AA414"/>
      <c r="AB414"/>
      <c r="AC414"/>
      <c r="AD414"/>
      <c r="AE414"/>
      <c r="AF414"/>
      <c r="AG414"/>
      <c r="AH414"/>
      <c r="AI414"/>
      <c r="AJ414"/>
      <c r="AK414"/>
      <c r="AL414"/>
      <c r="AM414"/>
      <c r="AN414"/>
      <c r="AO414"/>
      <c r="AP414"/>
      <c r="AQ414"/>
    </row>
    <row r="415" spans="2:43" s="150" customFormat="1" ht="15">
      <c r="B415" s="150">
        <v>403</v>
      </c>
      <c r="C415" s="153">
        <v>56796</v>
      </c>
      <c r="D415" s="151">
        <f t="shared" ca="1" si="62"/>
        <v>20121778.63329019</v>
      </c>
      <c r="E415" s="151">
        <f t="shared" ca="1" si="63"/>
        <v>306019.32180541131</v>
      </c>
      <c r="F415" s="151">
        <f t="shared" ca="1" si="64"/>
        <v>84762.647116579261</v>
      </c>
      <c r="G415" s="151">
        <f t="shared" ca="1" si="65"/>
        <v>221256.67468883205</v>
      </c>
      <c r="H415" s="151">
        <f ca="1">'HUD - Snapshot'!$K$10/12*D414</f>
        <v>4238.1323558289632</v>
      </c>
      <c r="I415" s="151">
        <f t="shared" ca="1" si="66"/>
        <v>310257.45416124025</v>
      </c>
      <c r="J415" s="162"/>
      <c r="K415" s="152"/>
      <c r="L415" s="152"/>
      <c r="Q415"/>
      <c r="R415"/>
      <c r="S415"/>
      <c r="T415"/>
      <c r="U415"/>
      <c r="V415"/>
      <c r="W415"/>
      <c r="X415"/>
      <c r="Y415"/>
      <c r="Z415"/>
      <c r="AA415"/>
      <c r="AB415"/>
      <c r="AC415"/>
      <c r="AD415"/>
      <c r="AE415"/>
      <c r="AF415"/>
      <c r="AG415"/>
      <c r="AH415"/>
      <c r="AI415"/>
      <c r="AJ415"/>
      <c r="AK415"/>
      <c r="AL415"/>
      <c r="AM415"/>
      <c r="AN415"/>
      <c r="AO415"/>
      <c r="AP415"/>
      <c r="AQ415"/>
    </row>
    <row r="416" spans="2:43" s="150" customFormat="1" ht="15">
      <c r="B416" s="150">
        <v>404</v>
      </c>
      <c r="C416" s="153">
        <v>56827</v>
      </c>
      <c r="D416" s="151">
        <f t="shared" ca="1" si="62"/>
        <v>19899600.055790156</v>
      </c>
      <c r="E416" s="151">
        <f t="shared" ca="1" si="63"/>
        <v>306019.32180541131</v>
      </c>
      <c r="F416" s="151">
        <f t="shared" ca="1" si="64"/>
        <v>83840.744305375789</v>
      </c>
      <c r="G416" s="151">
        <f t="shared" ca="1" si="65"/>
        <v>222178.57750003552</v>
      </c>
      <c r="H416" s="151">
        <f ca="1">'HUD - Snapshot'!$K$10/12*D415</f>
        <v>4192.0372152687896</v>
      </c>
      <c r="I416" s="151">
        <f t="shared" ca="1" si="66"/>
        <v>310211.35902068007</v>
      </c>
      <c r="J416" s="162"/>
      <c r="K416" s="152"/>
      <c r="L416" s="152"/>
      <c r="Q416"/>
      <c r="R416"/>
      <c r="S416"/>
      <c r="T416"/>
      <c r="U416"/>
      <c r="V416"/>
      <c r="W416"/>
      <c r="X416"/>
      <c r="Y416"/>
      <c r="Z416"/>
      <c r="AA416"/>
      <c r="AB416"/>
      <c r="AC416"/>
      <c r="AD416"/>
      <c r="AE416"/>
      <c r="AF416"/>
      <c r="AG416"/>
      <c r="AH416"/>
      <c r="AI416"/>
      <c r="AJ416"/>
      <c r="AK416"/>
      <c r="AL416"/>
      <c r="AM416"/>
      <c r="AN416"/>
      <c r="AO416"/>
      <c r="AP416"/>
      <c r="AQ416"/>
    </row>
    <row r="417" spans="2:43" s="150" customFormat="1" ht="15">
      <c r="B417" s="150">
        <v>405</v>
      </c>
      <c r="C417" s="153">
        <v>56858</v>
      </c>
      <c r="D417" s="151">
        <f t="shared" ca="1" si="62"/>
        <v>19676495.734217204</v>
      </c>
      <c r="E417" s="151">
        <f t="shared" ca="1" si="63"/>
        <v>306019.32180541131</v>
      </c>
      <c r="F417" s="151">
        <f t="shared" ca="1" si="64"/>
        <v>82915.000232458988</v>
      </c>
      <c r="G417" s="151">
        <f t="shared" ca="1" si="65"/>
        <v>223104.32157295232</v>
      </c>
      <c r="H417" s="151">
        <f ca="1">'HUD - Snapshot'!$K$10/12*D416</f>
        <v>4145.7500116229494</v>
      </c>
      <c r="I417" s="151">
        <f t="shared" ca="1" si="66"/>
        <v>310165.07181703427</v>
      </c>
      <c r="J417" s="162"/>
      <c r="K417" s="152"/>
      <c r="L417" s="152"/>
      <c r="Q417"/>
      <c r="R417"/>
      <c r="S417"/>
      <c r="T417"/>
      <c r="U417"/>
      <c r="V417"/>
      <c r="W417"/>
      <c r="X417"/>
      <c r="Y417"/>
      <c r="Z417"/>
      <c r="AA417"/>
      <c r="AB417"/>
      <c r="AC417"/>
      <c r="AD417"/>
      <c r="AE417"/>
      <c r="AF417"/>
      <c r="AG417"/>
      <c r="AH417"/>
      <c r="AI417"/>
      <c r="AJ417"/>
      <c r="AK417"/>
      <c r="AL417"/>
      <c r="AM417"/>
      <c r="AN417"/>
      <c r="AO417"/>
      <c r="AP417"/>
      <c r="AQ417"/>
    </row>
    <row r="418" spans="2:43" s="150" customFormat="1" ht="15">
      <c r="B418" s="150">
        <v>406</v>
      </c>
      <c r="C418" s="153">
        <v>56888</v>
      </c>
      <c r="D418" s="151">
        <f t="shared" ca="1" si="62"/>
        <v>19452461.811304364</v>
      </c>
      <c r="E418" s="151">
        <f t="shared" ca="1" si="63"/>
        <v>306019.32180541131</v>
      </c>
      <c r="F418" s="151">
        <f t="shared" ca="1" si="64"/>
        <v>81985.398892571684</v>
      </c>
      <c r="G418" s="151">
        <f t="shared" ca="1" si="65"/>
        <v>224033.92291283963</v>
      </c>
      <c r="H418" s="151">
        <f ca="1">'HUD - Snapshot'!$K$10/12*D417</f>
        <v>4099.2699446285842</v>
      </c>
      <c r="I418" s="151">
        <f t="shared" ca="1" si="66"/>
        <v>310118.59175003989</v>
      </c>
      <c r="J418" s="162"/>
      <c r="K418" s="152"/>
      <c r="L418" s="152"/>
      <c r="Q418"/>
      <c r="R418"/>
      <c r="S418"/>
      <c r="T418"/>
      <c r="U418"/>
      <c r="V418"/>
      <c r="W418"/>
      <c r="X418"/>
      <c r="Y418"/>
      <c r="Z418"/>
      <c r="AA418"/>
      <c r="AB418"/>
      <c r="AC418"/>
      <c r="AD418"/>
      <c r="AE418"/>
      <c r="AF418"/>
      <c r="AG418"/>
      <c r="AH418"/>
      <c r="AI418"/>
      <c r="AJ418"/>
      <c r="AK418"/>
      <c r="AL418"/>
      <c r="AM418"/>
      <c r="AN418"/>
      <c r="AO418"/>
      <c r="AP418"/>
      <c r="AQ418"/>
    </row>
    <row r="419" spans="2:43" s="150" customFormat="1" ht="15">
      <c r="B419" s="150">
        <v>407</v>
      </c>
      <c r="C419" s="153">
        <v>56919</v>
      </c>
      <c r="D419" s="151">
        <f t="shared" ca="1" si="62"/>
        <v>19227494.413712721</v>
      </c>
      <c r="E419" s="151">
        <f t="shared" ca="1" si="63"/>
        <v>306019.32180541131</v>
      </c>
      <c r="F419" s="151">
        <f t="shared" ca="1" si="64"/>
        <v>81051.924213768187</v>
      </c>
      <c r="G419" s="151">
        <f t="shared" ca="1" si="65"/>
        <v>224967.39759164312</v>
      </c>
      <c r="H419" s="151">
        <f ca="1">'HUD - Snapshot'!$K$10/12*D418</f>
        <v>4052.5962106884094</v>
      </c>
      <c r="I419" s="151">
        <f t="shared" ca="1" si="66"/>
        <v>310071.91801609972</v>
      </c>
      <c r="J419" s="162"/>
      <c r="K419" s="152"/>
      <c r="L419" s="152"/>
      <c r="Q419"/>
      <c r="R419"/>
      <c r="S419"/>
      <c r="T419"/>
      <c r="U419"/>
      <c r="V419"/>
      <c r="W419"/>
      <c r="X419"/>
      <c r="Y419"/>
      <c r="Z419"/>
      <c r="AA419"/>
      <c r="AB419"/>
      <c r="AC419"/>
      <c r="AD419"/>
      <c r="AE419"/>
      <c r="AF419"/>
      <c r="AG419"/>
      <c r="AH419"/>
      <c r="AI419"/>
      <c r="AJ419"/>
      <c r="AK419"/>
      <c r="AL419"/>
      <c r="AM419"/>
      <c r="AN419"/>
      <c r="AO419"/>
      <c r="AP419"/>
      <c r="AQ419"/>
    </row>
    <row r="420" spans="2:43" s="150" customFormat="1" ht="15">
      <c r="B420" s="150">
        <v>408</v>
      </c>
      <c r="C420" s="153">
        <v>56949</v>
      </c>
      <c r="D420" s="151">
        <f t="shared" ca="1" si="62"/>
        <v>19001589.651964445</v>
      </c>
      <c r="E420" s="151">
        <f t="shared" ca="1" si="63"/>
        <v>306019.32180541131</v>
      </c>
      <c r="F420" s="151">
        <f t="shared" ca="1" si="64"/>
        <v>80114.560057136332</v>
      </c>
      <c r="G420" s="151">
        <f t="shared" ca="1" si="65"/>
        <v>225904.76174827496</v>
      </c>
      <c r="H420" s="151">
        <f ca="1">'HUD - Snapshot'!$K$10/12*D419</f>
        <v>4005.7280028568171</v>
      </c>
      <c r="I420" s="151">
        <f t="shared" ca="1" si="66"/>
        <v>310025.04980826814</v>
      </c>
      <c r="J420" s="162"/>
      <c r="K420" s="152">
        <f ca="1">SUM(I409:I420)</f>
        <v>3723351.5119589875</v>
      </c>
      <c r="L420" s="152">
        <f ca="1">SUM(F409:F420)</f>
        <v>1022393.0058810356</v>
      </c>
      <c r="Q420"/>
      <c r="R420"/>
      <c r="S420"/>
      <c r="T420"/>
      <c r="U420"/>
      <c r="V420"/>
      <c r="W420"/>
      <c r="X420"/>
      <c r="Y420"/>
      <c r="Z420"/>
      <c r="AA420"/>
      <c r="AB420"/>
      <c r="AC420"/>
      <c r="AD420"/>
      <c r="AE420"/>
      <c r="AF420"/>
      <c r="AG420"/>
      <c r="AH420"/>
      <c r="AI420"/>
      <c r="AJ420"/>
      <c r="AK420"/>
      <c r="AL420"/>
      <c r="AM420"/>
      <c r="AN420"/>
      <c r="AO420"/>
      <c r="AP420"/>
      <c r="AQ420"/>
    </row>
    <row r="421" spans="2:43" s="150" customFormat="1" ht="15">
      <c r="B421" s="150">
        <v>409</v>
      </c>
      <c r="C421" s="153">
        <v>56980</v>
      </c>
      <c r="D421" s="151">
        <f t="shared" ca="1" si="62"/>
        <v>18774743.620375551</v>
      </c>
      <c r="E421" s="151">
        <f t="shared" ca="1" si="63"/>
        <v>306019.32180541131</v>
      </c>
      <c r="F421" s="151">
        <f t="shared" ca="1" si="64"/>
        <v>79173.290216518522</v>
      </c>
      <c r="G421" s="151">
        <f t="shared" ca="1" si="65"/>
        <v>226846.0315888928</v>
      </c>
      <c r="H421" s="151">
        <f ca="1">'HUD - Snapshot'!$K$10/12*D420</f>
        <v>3958.6645108259263</v>
      </c>
      <c r="I421" s="151">
        <f t="shared" ca="1" si="66"/>
        <v>309977.98631623725</v>
      </c>
      <c r="J421" s="162"/>
      <c r="K421" s="152"/>
      <c r="L421" s="152"/>
      <c r="Q421"/>
      <c r="R421"/>
      <c r="S421"/>
      <c r="T421"/>
      <c r="U421"/>
      <c r="V421"/>
      <c r="W421"/>
      <c r="X421"/>
      <c r="Y421"/>
      <c r="Z421"/>
      <c r="AA421"/>
      <c r="AB421"/>
      <c r="AC421"/>
      <c r="AD421"/>
      <c r="AE421"/>
      <c r="AF421"/>
      <c r="AG421"/>
      <c r="AH421"/>
      <c r="AI421"/>
      <c r="AJ421"/>
      <c r="AK421"/>
      <c r="AL421"/>
      <c r="AM421"/>
      <c r="AN421"/>
      <c r="AO421"/>
      <c r="AP421"/>
      <c r="AQ421"/>
    </row>
    <row r="422" spans="2:43" s="150" customFormat="1" ht="15">
      <c r="B422" s="150">
        <v>410</v>
      </c>
      <c r="C422" s="153">
        <v>57011</v>
      </c>
      <c r="D422" s="151">
        <f t="shared" ca="1" si="62"/>
        <v>18546952.396988373</v>
      </c>
      <c r="E422" s="151">
        <f t="shared" ca="1" si="63"/>
        <v>306019.32180541131</v>
      </c>
      <c r="F422" s="151">
        <f t="shared" ca="1" si="64"/>
        <v>78228.098418231457</v>
      </c>
      <c r="G422" s="151">
        <f t="shared" ca="1" si="65"/>
        <v>227791.22338717984</v>
      </c>
      <c r="H422" s="151">
        <f ca="1">'HUD - Snapshot'!$K$10/12*D421</f>
        <v>3911.4049209115733</v>
      </c>
      <c r="I422" s="151">
        <f t="shared" ca="1" si="66"/>
        <v>309930.7267263229</v>
      </c>
      <c r="J422" s="162"/>
      <c r="K422" s="152"/>
      <c r="L422" s="152"/>
      <c r="Q422"/>
      <c r="R422"/>
      <c r="S422"/>
      <c r="T422"/>
      <c r="U422"/>
      <c r="V422"/>
      <c r="W422"/>
      <c r="X422"/>
      <c r="Y422"/>
      <c r="Z422"/>
      <c r="AA422"/>
      <c r="AB422"/>
      <c r="AC422"/>
      <c r="AD422"/>
      <c r="AE422"/>
      <c r="AF422"/>
      <c r="AG422"/>
      <c r="AH422"/>
      <c r="AI422"/>
      <c r="AJ422"/>
      <c r="AK422"/>
      <c r="AL422"/>
      <c r="AM422"/>
      <c r="AN422"/>
      <c r="AO422"/>
      <c r="AP422"/>
      <c r="AQ422"/>
    </row>
    <row r="423" spans="2:43" s="150" customFormat="1" ht="15">
      <c r="B423" s="150">
        <v>411</v>
      </c>
      <c r="C423" s="153">
        <v>57040</v>
      </c>
      <c r="D423" s="151">
        <f t="shared" ca="1" si="62"/>
        <v>18318212.043503746</v>
      </c>
      <c r="E423" s="151">
        <f t="shared" ca="1" si="63"/>
        <v>306019.32180541131</v>
      </c>
      <c r="F423" s="151">
        <f t="shared" ca="1" si="64"/>
        <v>77278.968320784887</v>
      </c>
      <c r="G423" s="151">
        <f t="shared" ca="1" si="65"/>
        <v>228740.35348462642</v>
      </c>
      <c r="H423" s="151">
        <f ca="1">'HUD - Snapshot'!$K$10/12*D422</f>
        <v>3863.9484160392449</v>
      </c>
      <c r="I423" s="151">
        <f t="shared" ca="1" si="66"/>
        <v>309883.27022145054</v>
      </c>
      <c r="J423" s="162"/>
      <c r="K423" s="152"/>
      <c r="L423" s="152"/>
      <c r="Q423"/>
      <c r="R423"/>
      <c r="S423"/>
      <c r="T423"/>
      <c r="U423"/>
      <c r="V423"/>
      <c r="W423"/>
      <c r="X423"/>
      <c r="Y423"/>
      <c r="Z423"/>
      <c r="AA423"/>
      <c r="AB423"/>
      <c r="AC423"/>
      <c r="AD423"/>
      <c r="AE423"/>
      <c r="AF423"/>
      <c r="AG423"/>
      <c r="AH423"/>
      <c r="AI423"/>
      <c r="AJ423"/>
      <c r="AK423"/>
      <c r="AL423"/>
      <c r="AM423"/>
      <c r="AN423"/>
      <c r="AO423"/>
      <c r="AP423"/>
      <c r="AQ423"/>
    </row>
    <row r="424" spans="2:43" s="150" customFormat="1" ht="15">
      <c r="B424" s="150">
        <v>412</v>
      </c>
      <c r="C424" s="153">
        <v>57071</v>
      </c>
      <c r="D424" s="151">
        <f t="shared" ca="1" si="62"/>
        <v>18088518.605212934</v>
      </c>
      <c r="E424" s="151">
        <f t="shared" ca="1" si="63"/>
        <v>306019.32180541131</v>
      </c>
      <c r="F424" s="151">
        <f t="shared" ca="1" si="64"/>
        <v>76325.883514598943</v>
      </c>
      <c r="G424" s="151">
        <f t="shared" ca="1" si="65"/>
        <v>229693.43829081237</v>
      </c>
      <c r="H424" s="151">
        <f ca="1">'HUD - Snapshot'!$K$10/12*D423</f>
        <v>3816.2941757299473</v>
      </c>
      <c r="I424" s="151">
        <f t="shared" ca="1" si="66"/>
        <v>309835.61598114128</v>
      </c>
      <c r="J424" s="162"/>
      <c r="K424" s="152"/>
      <c r="L424" s="152"/>
      <c r="Q424"/>
      <c r="R424"/>
      <c r="S424"/>
      <c r="T424"/>
      <c r="U424"/>
      <c r="V424"/>
      <c r="W424"/>
      <c r="X424"/>
      <c r="Y424"/>
      <c r="Z424"/>
      <c r="AA424"/>
      <c r="AB424"/>
      <c r="AC424"/>
      <c r="AD424"/>
      <c r="AE424"/>
      <c r="AF424"/>
      <c r="AG424"/>
      <c r="AH424"/>
      <c r="AI424"/>
      <c r="AJ424"/>
      <c r="AK424"/>
      <c r="AL424"/>
      <c r="AM424"/>
      <c r="AN424"/>
      <c r="AO424"/>
      <c r="AP424"/>
      <c r="AQ424"/>
    </row>
    <row r="425" spans="2:43" s="150" customFormat="1" ht="15">
      <c r="B425" s="150">
        <v>413</v>
      </c>
      <c r="C425" s="153">
        <v>57101</v>
      </c>
      <c r="D425" s="151">
        <f t="shared" ca="1" si="62"/>
        <v>17857868.110929243</v>
      </c>
      <c r="E425" s="151">
        <f t="shared" ca="1" si="63"/>
        <v>306019.32180541131</v>
      </c>
      <c r="F425" s="151">
        <f t="shared" ca="1" si="64"/>
        <v>75368.827521720552</v>
      </c>
      <c r="G425" s="151">
        <f t="shared" ca="1" si="65"/>
        <v>230650.49428369076</v>
      </c>
      <c r="H425" s="151">
        <f ca="1">'HUD - Snapshot'!$K$10/12*D424</f>
        <v>3768.4413760860284</v>
      </c>
      <c r="I425" s="151">
        <f t="shared" ca="1" si="66"/>
        <v>309787.76318149734</v>
      </c>
      <c r="J425" s="162"/>
      <c r="K425" s="152"/>
      <c r="L425" s="152"/>
      <c r="Q425"/>
      <c r="R425"/>
      <c r="S425"/>
      <c r="T425"/>
      <c r="U425"/>
      <c r="V425"/>
      <c r="W425"/>
      <c r="X425"/>
      <c r="Y425"/>
      <c r="Z425"/>
      <c r="AA425"/>
      <c r="AB425"/>
      <c r="AC425"/>
      <c r="AD425"/>
      <c r="AE425"/>
      <c r="AF425"/>
      <c r="AG425"/>
      <c r="AH425"/>
      <c r="AI425"/>
      <c r="AJ425"/>
      <c r="AK425"/>
      <c r="AL425"/>
      <c r="AM425"/>
      <c r="AN425"/>
      <c r="AO425"/>
      <c r="AP425"/>
      <c r="AQ425"/>
    </row>
    <row r="426" spans="2:43" s="150" customFormat="1" ht="15">
      <c r="B426" s="150">
        <v>414</v>
      </c>
      <c r="C426" s="153">
        <v>57132</v>
      </c>
      <c r="D426" s="151">
        <f t="shared" ca="1" si="62"/>
        <v>17626256.572919369</v>
      </c>
      <c r="E426" s="151">
        <f t="shared" ca="1" si="63"/>
        <v>306019.32180541131</v>
      </c>
      <c r="F426" s="151">
        <f t="shared" ca="1" si="64"/>
        <v>74407.783795538518</v>
      </c>
      <c r="G426" s="151">
        <f t="shared" ca="1" si="65"/>
        <v>231611.53800987278</v>
      </c>
      <c r="H426" s="151">
        <f ca="1">'HUD - Snapshot'!$K$10/12*D425</f>
        <v>3720.3891897769258</v>
      </c>
      <c r="I426" s="151">
        <f t="shared" ca="1" si="66"/>
        <v>309739.71099518822</v>
      </c>
      <c r="J426" s="162"/>
      <c r="K426" s="152"/>
      <c r="L426" s="152"/>
      <c r="Q426"/>
      <c r="R426"/>
      <c r="S426"/>
      <c r="T426"/>
      <c r="U426"/>
      <c r="V426"/>
      <c r="W426"/>
      <c r="X426"/>
      <c r="Y426"/>
      <c r="Z426"/>
      <c r="AA426"/>
      <c r="AB426"/>
      <c r="AC426"/>
      <c r="AD426"/>
      <c r="AE426"/>
      <c r="AF426"/>
      <c r="AG426"/>
      <c r="AH426"/>
      <c r="AI426"/>
      <c r="AJ426"/>
      <c r="AK426"/>
      <c r="AL426"/>
      <c r="AM426"/>
      <c r="AN426"/>
      <c r="AO426"/>
      <c r="AP426"/>
      <c r="AQ426"/>
    </row>
    <row r="427" spans="2:43" s="150" customFormat="1" ht="15">
      <c r="B427" s="150">
        <v>415</v>
      </c>
      <c r="C427" s="153">
        <v>57162</v>
      </c>
      <c r="D427" s="151">
        <f t="shared" ca="1" si="62"/>
        <v>17393679.986834455</v>
      </c>
      <c r="E427" s="151">
        <f t="shared" ca="1" si="63"/>
        <v>306019.32180541131</v>
      </c>
      <c r="F427" s="151">
        <f t="shared" ca="1" si="64"/>
        <v>73442.735720497367</v>
      </c>
      <c r="G427" s="151">
        <f t="shared" ca="1" si="65"/>
        <v>232576.58608491393</v>
      </c>
      <c r="H427" s="151">
        <f ca="1">'HUD - Snapshot'!$K$10/12*D426</f>
        <v>3672.1367860248688</v>
      </c>
      <c r="I427" s="151">
        <f t="shared" ca="1" si="66"/>
        <v>309691.45859143615</v>
      </c>
      <c r="J427" s="162"/>
      <c r="K427" s="152"/>
      <c r="L427" s="152"/>
      <c r="Q427"/>
      <c r="R427"/>
      <c r="S427"/>
      <c r="T427"/>
      <c r="U427"/>
      <c r="V427"/>
      <c r="W427"/>
      <c r="X427"/>
      <c r="Y427"/>
      <c r="Z427"/>
      <c r="AA427"/>
      <c r="AB427"/>
      <c r="AC427"/>
      <c r="AD427"/>
      <c r="AE427"/>
      <c r="AF427"/>
      <c r="AG427"/>
      <c r="AH427"/>
      <c r="AI427"/>
      <c r="AJ427"/>
      <c r="AK427"/>
      <c r="AL427"/>
      <c r="AM427"/>
      <c r="AN427"/>
      <c r="AO427"/>
      <c r="AP427"/>
      <c r="AQ427"/>
    </row>
    <row r="428" spans="2:43" s="150" customFormat="1" ht="15">
      <c r="B428" s="150">
        <v>416</v>
      </c>
      <c r="C428" s="153">
        <v>57193</v>
      </c>
      <c r="D428" s="151">
        <f t="shared" ca="1" si="62"/>
        <v>17160134.331640854</v>
      </c>
      <c r="E428" s="151">
        <f t="shared" ca="1" si="63"/>
        <v>306019.32180541131</v>
      </c>
      <c r="F428" s="151">
        <f t="shared" ca="1" si="64"/>
        <v>72473.666611810229</v>
      </c>
      <c r="G428" s="151">
        <f t="shared" ca="1" si="65"/>
        <v>233545.65519360109</v>
      </c>
      <c r="H428" s="151">
        <f ca="1">'HUD - Snapshot'!$K$10/12*D427</f>
        <v>3623.6833305905116</v>
      </c>
      <c r="I428" s="151">
        <f t="shared" ca="1" si="66"/>
        <v>309643.0051360018</v>
      </c>
      <c r="J428" s="162"/>
      <c r="K428" s="152"/>
      <c r="L428" s="152"/>
      <c r="Q428"/>
      <c r="R428"/>
      <c r="S428"/>
      <c r="T428"/>
      <c r="U428"/>
      <c r="V428"/>
      <c r="W428"/>
      <c r="X428"/>
      <c r="Y428"/>
      <c r="Z428"/>
      <c r="AA428"/>
      <c r="AB428"/>
      <c r="AC428"/>
      <c r="AD428"/>
      <c r="AE428"/>
      <c r="AF428"/>
      <c r="AG428"/>
      <c r="AH428"/>
      <c r="AI428"/>
      <c r="AJ428"/>
      <c r="AK428"/>
      <c r="AL428"/>
      <c r="AM428"/>
      <c r="AN428"/>
      <c r="AO428"/>
      <c r="AP428"/>
      <c r="AQ428"/>
    </row>
    <row r="429" spans="2:43" s="150" customFormat="1" ht="15">
      <c r="B429" s="150">
        <v>417</v>
      </c>
      <c r="C429" s="153">
        <v>57224</v>
      </c>
      <c r="D429" s="151">
        <f t="shared" ca="1" si="62"/>
        <v>16925615.569550615</v>
      </c>
      <c r="E429" s="151">
        <f t="shared" ca="1" si="63"/>
        <v>306019.32180541131</v>
      </c>
      <c r="F429" s="151">
        <f t="shared" ca="1" si="64"/>
        <v>71500.559715170224</v>
      </c>
      <c r="G429" s="151">
        <f t="shared" ca="1" si="65"/>
        <v>234518.76209024107</v>
      </c>
      <c r="H429" s="151">
        <f ca="1">'HUD - Snapshot'!$K$10/12*D428</f>
        <v>3575.0279857585115</v>
      </c>
      <c r="I429" s="151">
        <f t="shared" ca="1" si="66"/>
        <v>309594.34979116981</v>
      </c>
      <c r="J429" s="162"/>
      <c r="K429" s="152"/>
      <c r="L429" s="152"/>
      <c r="Q429"/>
      <c r="R429"/>
      <c r="S429"/>
      <c r="T429"/>
      <c r="U429"/>
      <c r="V429"/>
      <c r="W429"/>
      <c r="X429"/>
      <c r="Y429"/>
      <c r="Z429"/>
      <c r="AA429"/>
      <c r="AB429"/>
      <c r="AC429"/>
      <c r="AD429"/>
      <c r="AE429"/>
      <c r="AF429"/>
      <c r="AG429"/>
      <c r="AH429"/>
      <c r="AI429"/>
      <c r="AJ429"/>
      <c r="AK429"/>
      <c r="AL429"/>
      <c r="AM429"/>
      <c r="AN429"/>
      <c r="AO429"/>
      <c r="AP429"/>
      <c r="AQ429"/>
    </row>
    <row r="430" spans="2:43" s="150" customFormat="1" ht="15">
      <c r="B430" s="150">
        <v>418</v>
      </c>
      <c r="C430" s="153">
        <v>57254</v>
      </c>
      <c r="D430" s="151">
        <f t="shared" ca="1" si="62"/>
        <v>16690119.645951664</v>
      </c>
      <c r="E430" s="151">
        <f t="shared" ca="1" si="63"/>
        <v>306019.32180541131</v>
      </c>
      <c r="F430" s="151">
        <f t="shared" ca="1" si="64"/>
        <v>70523.398206460901</v>
      </c>
      <c r="G430" s="151">
        <f t="shared" ca="1" si="65"/>
        <v>235495.92359895041</v>
      </c>
      <c r="H430" s="151">
        <f ca="1">'HUD - Snapshot'!$K$10/12*D429</f>
        <v>3526.1699103230449</v>
      </c>
      <c r="I430" s="151">
        <f t="shared" ca="1" si="66"/>
        <v>309545.49171573436</v>
      </c>
      <c r="J430" s="162"/>
      <c r="K430" s="152"/>
      <c r="L430" s="152"/>
      <c r="Q430"/>
      <c r="R430"/>
      <c r="S430"/>
      <c r="T430"/>
      <c r="U430"/>
      <c r="V430"/>
      <c r="W430"/>
      <c r="X430"/>
      <c r="Y430"/>
      <c r="Z430"/>
      <c r="AA430"/>
      <c r="AB430"/>
      <c r="AC430"/>
      <c r="AD430"/>
      <c r="AE430"/>
      <c r="AF430"/>
      <c r="AG430"/>
      <c r="AH430"/>
      <c r="AI430"/>
      <c r="AJ430"/>
      <c r="AK430"/>
      <c r="AL430"/>
      <c r="AM430"/>
      <c r="AN430"/>
      <c r="AO430"/>
      <c r="AP430"/>
      <c r="AQ430"/>
    </row>
    <row r="431" spans="2:43" s="150" customFormat="1" ht="15">
      <c r="B431" s="150">
        <v>419</v>
      </c>
      <c r="C431" s="153">
        <v>57285</v>
      </c>
      <c r="D431" s="151">
        <f t="shared" ca="1" si="62"/>
        <v>16453642.489337718</v>
      </c>
      <c r="E431" s="151">
        <f t="shared" ca="1" si="63"/>
        <v>306019.32180541131</v>
      </c>
      <c r="F431" s="151">
        <f t="shared" ca="1" si="64"/>
        <v>69542.165191465261</v>
      </c>
      <c r="G431" s="151">
        <f t="shared" ca="1" si="65"/>
        <v>236477.15661394605</v>
      </c>
      <c r="H431" s="151">
        <f ca="1">'HUD - Snapshot'!$K$10/12*D430</f>
        <v>3477.1082595732637</v>
      </c>
      <c r="I431" s="151">
        <f t="shared" ca="1" si="66"/>
        <v>309496.4300649846</v>
      </c>
      <c r="J431" s="162"/>
      <c r="K431" s="152"/>
      <c r="L431" s="152"/>
      <c r="Q431"/>
      <c r="R431"/>
      <c r="S431"/>
      <c r="T431"/>
      <c r="U431"/>
      <c r="V431"/>
      <c r="W431"/>
      <c r="X431"/>
      <c r="Y431"/>
      <c r="Z431"/>
      <c r="AA431"/>
      <c r="AB431"/>
      <c r="AC431"/>
      <c r="AD431"/>
      <c r="AE431"/>
      <c r="AF431"/>
      <c r="AG431"/>
      <c r="AH431"/>
      <c r="AI431"/>
      <c r="AJ431"/>
      <c r="AK431"/>
      <c r="AL431"/>
      <c r="AM431"/>
      <c r="AN431"/>
      <c r="AO431"/>
      <c r="AP431"/>
      <c r="AQ431"/>
    </row>
    <row r="432" spans="2:43" s="150" customFormat="1" ht="15">
      <c r="B432" s="150">
        <v>420</v>
      </c>
      <c r="C432" s="153">
        <v>57315</v>
      </c>
      <c r="D432" s="151">
        <f t="shared" ca="1" si="62"/>
        <v>16216180.01123788</v>
      </c>
      <c r="E432" s="151">
        <f t="shared" ca="1" si="63"/>
        <v>306019.32180541131</v>
      </c>
      <c r="F432" s="151">
        <f t="shared" ca="1" si="64"/>
        <v>68556.843705573818</v>
      </c>
      <c r="G432" s="151">
        <f t="shared" ca="1" si="65"/>
        <v>237462.47809983749</v>
      </c>
      <c r="H432" s="151">
        <f ca="1">'HUD - Snapshot'!$K$10/12*D431</f>
        <v>3427.8421852786914</v>
      </c>
      <c r="I432" s="151">
        <f t="shared" ca="1" si="66"/>
        <v>309447.16399069002</v>
      </c>
      <c r="J432" s="162"/>
      <c r="K432" s="152">
        <f ca="1">SUM(I421:I432)</f>
        <v>3716572.9727118541</v>
      </c>
      <c r="L432" s="152">
        <f ca="1">SUM(F421:F432)</f>
        <v>886822.22093837068</v>
      </c>
      <c r="Q432"/>
      <c r="R432"/>
      <c r="S432"/>
      <c r="T432"/>
      <c r="U432"/>
      <c r="V432"/>
      <c r="W432"/>
      <c r="X432"/>
      <c r="Y432"/>
      <c r="Z432"/>
      <c r="AA432"/>
      <c r="AB432"/>
      <c r="AC432"/>
      <c r="AD432"/>
      <c r="AE432"/>
      <c r="AF432"/>
      <c r="AG432"/>
      <c r="AH432"/>
      <c r="AI432"/>
      <c r="AJ432"/>
      <c r="AK432"/>
      <c r="AL432"/>
      <c r="AM432"/>
      <c r="AN432"/>
      <c r="AO432"/>
      <c r="AP432"/>
      <c r="AQ432"/>
    </row>
    <row r="433" spans="2:43" s="150" customFormat="1" ht="15">
      <c r="B433" s="150">
        <v>421</v>
      </c>
      <c r="C433" s="153">
        <v>57346</v>
      </c>
      <c r="D433" s="151">
        <f t="shared" ca="1" si="62"/>
        <v>15977728.106145959</v>
      </c>
      <c r="E433" s="151">
        <f t="shared" ca="1" si="63"/>
        <v>306019.32180541131</v>
      </c>
      <c r="F433" s="151">
        <f t="shared" ca="1" si="64"/>
        <v>67567.41671349117</v>
      </c>
      <c r="G433" s="151">
        <f t="shared" ca="1" si="65"/>
        <v>238451.90509192014</v>
      </c>
      <c r="H433" s="151">
        <f ca="1">'HUD - Snapshot'!$K$10/12*D432</f>
        <v>3378.3708356745587</v>
      </c>
      <c r="I433" s="151">
        <f t="shared" ca="1" si="66"/>
        <v>309397.69264108589</v>
      </c>
      <c r="J433" s="162"/>
      <c r="K433" s="152"/>
      <c r="L433" s="152"/>
      <c r="Q433"/>
      <c r="R433"/>
      <c r="S433"/>
      <c r="T433"/>
      <c r="U433"/>
      <c r="V433"/>
      <c r="W433"/>
      <c r="X433"/>
      <c r="Y433"/>
      <c r="Z433"/>
      <c r="AA433"/>
      <c r="AB433"/>
      <c r="AC433"/>
      <c r="AD433"/>
      <c r="AE433"/>
      <c r="AF433"/>
      <c r="AG433"/>
      <c r="AH433"/>
      <c r="AI433"/>
      <c r="AJ433"/>
      <c r="AK433"/>
      <c r="AL433"/>
      <c r="AM433"/>
      <c r="AN433"/>
      <c r="AO433"/>
      <c r="AP433"/>
      <c r="AQ433"/>
    </row>
    <row r="434" spans="2:43" s="150" customFormat="1" ht="15">
      <c r="B434" s="150">
        <v>422</v>
      </c>
      <c r="C434" s="153">
        <v>57377</v>
      </c>
      <c r="D434" s="151">
        <f t="shared" ca="1" si="62"/>
        <v>15738282.65144949</v>
      </c>
      <c r="E434" s="151">
        <f t="shared" ca="1" si="63"/>
        <v>306019.32180541131</v>
      </c>
      <c r="F434" s="151">
        <f t="shared" ca="1" si="64"/>
        <v>66573.8671089415</v>
      </c>
      <c r="G434" s="151">
        <f t="shared" ca="1" si="65"/>
        <v>239445.45469646982</v>
      </c>
      <c r="H434" s="151">
        <f ca="1">'HUD - Snapshot'!$K$10/12*D433</f>
        <v>3328.6933554470752</v>
      </c>
      <c r="I434" s="151">
        <f t="shared" ca="1" si="66"/>
        <v>309348.0151608584</v>
      </c>
      <c r="J434" s="162"/>
      <c r="K434" s="152"/>
      <c r="L434" s="152"/>
      <c r="Q434"/>
      <c r="R434"/>
      <c r="S434"/>
      <c r="T434"/>
      <c r="U434"/>
      <c r="V434"/>
      <c r="W434"/>
      <c r="X434"/>
      <c r="Y434"/>
      <c r="Z434"/>
      <c r="AA434"/>
      <c r="AB434"/>
      <c r="AC434"/>
      <c r="AD434"/>
      <c r="AE434"/>
      <c r="AF434"/>
      <c r="AG434"/>
      <c r="AH434"/>
      <c r="AI434"/>
      <c r="AJ434"/>
      <c r="AK434"/>
      <c r="AL434"/>
      <c r="AM434"/>
      <c r="AN434"/>
      <c r="AO434"/>
      <c r="AP434"/>
      <c r="AQ434"/>
    </row>
    <row r="435" spans="2:43" s="150" customFormat="1" ht="15">
      <c r="B435" s="150">
        <v>423</v>
      </c>
      <c r="C435" s="153">
        <v>57405</v>
      </c>
      <c r="D435" s="151">
        <f t="shared" ca="1" si="62"/>
        <v>15497839.507358452</v>
      </c>
      <c r="E435" s="151">
        <f t="shared" ca="1" si="63"/>
        <v>306019.32180541131</v>
      </c>
      <c r="F435" s="151">
        <f t="shared" ca="1" si="64"/>
        <v>65576.177714372869</v>
      </c>
      <c r="G435" s="151">
        <f t="shared" ca="1" si="65"/>
        <v>240443.14409103844</v>
      </c>
      <c r="H435" s="151">
        <f ca="1">'HUD - Snapshot'!$K$10/12*D434</f>
        <v>3278.808885718644</v>
      </c>
      <c r="I435" s="151">
        <f t="shared" ca="1" si="66"/>
        <v>309298.13069112995</v>
      </c>
      <c r="J435" s="162"/>
      <c r="K435" s="152"/>
      <c r="L435" s="152"/>
      <c r="Q435"/>
      <c r="R435"/>
      <c r="S435"/>
      <c r="T435"/>
      <c r="U435"/>
      <c r="V435"/>
      <c r="W435"/>
      <c r="X435"/>
      <c r="Y435"/>
      <c r="Z435"/>
      <c r="AA435"/>
      <c r="AB435"/>
      <c r="AC435"/>
      <c r="AD435"/>
      <c r="AE435"/>
      <c r="AF435"/>
      <c r="AG435"/>
      <c r="AH435"/>
      <c r="AI435"/>
      <c r="AJ435"/>
      <c r="AK435"/>
      <c r="AL435"/>
      <c r="AM435"/>
      <c r="AN435"/>
      <c r="AO435"/>
      <c r="AP435"/>
      <c r="AQ435"/>
    </row>
    <row r="436" spans="2:43" s="150" customFormat="1" ht="15">
      <c r="B436" s="150">
        <v>424</v>
      </c>
      <c r="C436" s="153">
        <v>57436</v>
      </c>
      <c r="D436" s="151">
        <f t="shared" ca="1" si="62"/>
        <v>15256394.516833702</v>
      </c>
      <c r="E436" s="151">
        <f t="shared" ca="1" si="63"/>
        <v>306019.32180541131</v>
      </c>
      <c r="F436" s="151">
        <f t="shared" ca="1" si="64"/>
        <v>64574.331280660219</v>
      </c>
      <c r="G436" s="151">
        <f t="shared" ca="1" si="65"/>
        <v>241444.99052475108</v>
      </c>
      <c r="H436" s="151">
        <f ca="1">'HUD - Snapshot'!$K$10/12*D435</f>
        <v>3228.7165640330113</v>
      </c>
      <c r="I436" s="151">
        <f t="shared" ca="1" si="66"/>
        <v>309248.03836944432</v>
      </c>
      <c r="J436" s="162"/>
      <c r="K436" s="152"/>
      <c r="L436" s="152"/>
      <c r="Q436"/>
      <c r="R436"/>
      <c r="S436"/>
      <c r="T436"/>
      <c r="U436"/>
      <c r="V436"/>
      <c r="W436"/>
      <c r="X436"/>
      <c r="Y436"/>
      <c r="Z436"/>
      <c r="AA436"/>
      <c r="AB436"/>
      <c r="AC436"/>
      <c r="AD436"/>
      <c r="AE436"/>
      <c r="AF436"/>
      <c r="AG436"/>
      <c r="AH436"/>
      <c r="AI436"/>
      <c r="AJ436"/>
      <c r="AK436"/>
      <c r="AL436"/>
      <c r="AM436"/>
      <c r="AN436"/>
      <c r="AO436"/>
      <c r="AP436"/>
      <c r="AQ436"/>
    </row>
    <row r="437" spans="2:43" s="150" customFormat="1" ht="15">
      <c r="B437" s="150">
        <v>425</v>
      </c>
      <c r="C437" s="153">
        <v>57466</v>
      </c>
      <c r="D437" s="151">
        <f t="shared" ca="1" si="62"/>
        <v>15013943.505515099</v>
      </c>
      <c r="E437" s="151">
        <f t="shared" ca="1" si="63"/>
        <v>306019.32180541131</v>
      </c>
      <c r="F437" s="151">
        <f t="shared" ca="1" si="64"/>
        <v>63568.310486807088</v>
      </c>
      <c r="G437" s="151">
        <f t="shared" ca="1" si="65"/>
        <v>242451.01131860423</v>
      </c>
      <c r="H437" s="151">
        <f ca="1">'HUD - Snapshot'!$K$10/12*D436</f>
        <v>3178.4155243403548</v>
      </c>
      <c r="I437" s="151">
        <f t="shared" ca="1" si="66"/>
        <v>309197.73732975166</v>
      </c>
      <c r="J437" s="162"/>
      <c r="K437" s="152"/>
      <c r="L437" s="152"/>
      <c r="Q437"/>
      <c r="R437"/>
      <c r="S437"/>
      <c r="T437"/>
      <c r="U437"/>
      <c r="V437"/>
      <c r="W437"/>
      <c r="X437"/>
      <c r="Y437"/>
      <c r="Z437"/>
      <c r="AA437"/>
      <c r="AB437"/>
      <c r="AC437"/>
      <c r="AD437"/>
      <c r="AE437"/>
      <c r="AF437"/>
      <c r="AG437"/>
      <c r="AH437"/>
      <c r="AI437"/>
      <c r="AJ437"/>
      <c r="AK437"/>
      <c r="AL437"/>
      <c r="AM437"/>
      <c r="AN437"/>
      <c r="AO437"/>
      <c r="AP437"/>
      <c r="AQ437"/>
    </row>
    <row r="438" spans="2:43" s="150" customFormat="1" ht="15">
      <c r="B438" s="150">
        <v>426</v>
      </c>
      <c r="C438" s="153">
        <v>57497</v>
      </c>
      <c r="D438" s="151">
        <f t="shared" ca="1" si="62"/>
        <v>14770482.281649334</v>
      </c>
      <c r="E438" s="151">
        <f t="shared" ca="1" si="63"/>
        <v>306019.32180541131</v>
      </c>
      <c r="F438" s="151">
        <f t="shared" ca="1" si="64"/>
        <v>62558.097939646243</v>
      </c>
      <c r="G438" s="151">
        <f t="shared" ca="1" si="65"/>
        <v>243461.22386576506</v>
      </c>
      <c r="H438" s="151">
        <f ca="1">'HUD - Snapshot'!$K$10/12*D437</f>
        <v>3127.9048969823125</v>
      </c>
      <c r="I438" s="151">
        <f t="shared" ca="1" si="66"/>
        <v>309147.22670239361</v>
      </c>
      <c r="J438" s="162"/>
      <c r="K438" s="152"/>
      <c r="L438" s="152"/>
      <c r="Q438"/>
      <c r="R438"/>
      <c r="S438"/>
      <c r="T438"/>
      <c r="U438"/>
      <c r="V438"/>
      <c r="W438"/>
      <c r="X438"/>
      <c r="Y438"/>
      <c r="Z438"/>
      <c r="AA438"/>
      <c r="AB438"/>
      <c r="AC438"/>
      <c r="AD438"/>
      <c r="AE438"/>
      <c r="AF438"/>
      <c r="AG438"/>
      <c r="AH438"/>
      <c r="AI438"/>
      <c r="AJ438"/>
      <c r="AK438"/>
      <c r="AL438"/>
      <c r="AM438"/>
      <c r="AN438"/>
      <c r="AO438"/>
      <c r="AP438"/>
      <c r="AQ438"/>
    </row>
    <row r="439" spans="2:43" s="150" customFormat="1" ht="15">
      <c r="B439" s="150">
        <v>427</v>
      </c>
      <c r="C439" s="153">
        <v>57527</v>
      </c>
      <c r="D439" s="151">
        <f t="shared" ca="1" si="62"/>
        <v>14526006.636017462</v>
      </c>
      <c r="E439" s="151">
        <f t="shared" ca="1" si="63"/>
        <v>306019.32180541131</v>
      </c>
      <c r="F439" s="151">
        <f t="shared" ca="1" si="64"/>
        <v>61543.676173538894</v>
      </c>
      <c r="G439" s="151">
        <f t="shared" ca="1" si="65"/>
        <v>244475.64563187241</v>
      </c>
      <c r="H439" s="151">
        <f ca="1">'HUD - Snapshot'!$K$10/12*D438</f>
        <v>3077.1838086769449</v>
      </c>
      <c r="I439" s="151">
        <f t="shared" ca="1" si="66"/>
        <v>309096.50561408827</v>
      </c>
      <c r="J439" s="162"/>
      <c r="K439" s="152"/>
      <c r="L439" s="152"/>
      <c r="Q439"/>
      <c r="R439"/>
      <c r="S439"/>
      <c r="T439"/>
      <c r="U439"/>
      <c r="V439"/>
      <c r="W439"/>
      <c r="X439"/>
      <c r="Y439"/>
      <c r="Z439"/>
      <c r="AA439"/>
      <c r="AB439"/>
      <c r="AC439"/>
      <c r="AD439"/>
      <c r="AE439"/>
      <c r="AF439"/>
      <c r="AG439"/>
      <c r="AH439"/>
      <c r="AI439"/>
      <c r="AJ439"/>
      <c r="AK439"/>
      <c r="AL439"/>
      <c r="AM439"/>
      <c r="AN439"/>
      <c r="AO439"/>
      <c r="AP439"/>
      <c r="AQ439"/>
    </row>
    <row r="440" spans="2:43" s="150" customFormat="1" ht="15">
      <c r="B440" s="150">
        <v>428</v>
      </c>
      <c r="C440" s="153">
        <v>57558</v>
      </c>
      <c r="D440" s="151">
        <f t="shared" ca="1" si="62"/>
        <v>14280512.341862123</v>
      </c>
      <c r="E440" s="151">
        <f t="shared" ca="1" si="63"/>
        <v>306019.32180541131</v>
      </c>
      <c r="F440" s="151">
        <f t="shared" ca="1" si="64"/>
        <v>60525.027650072756</v>
      </c>
      <c r="G440" s="151">
        <f t="shared" ca="1" si="65"/>
        <v>245494.29415533855</v>
      </c>
      <c r="H440" s="151">
        <f ca="1">'HUD - Snapshot'!$K$10/12*D439</f>
        <v>3026.2513825036381</v>
      </c>
      <c r="I440" s="151">
        <f t="shared" ca="1" si="66"/>
        <v>309045.57318791497</v>
      </c>
      <c r="J440" s="162"/>
      <c r="K440" s="152"/>
      <c r="L440" s="152"/>
      <c r="Q440"/>
      <c r="R440"/>
      <c r="S440"/>
      <c r="T440"/>
      <c r="U440"/>
      <c r="V440"/>
      <c r="W440"/>
      <c r="X440"/>
      <c r="Y440"/>
      <c r="Z440"/>
      <c r="AA440"/>
      <c r="AB440"/>
      <c r="AC440"/>
      <c r="AD440"/>
      <c r="AE440"/>
      <c r="AF440"/>
      <c r="AG440"/>
      <c r="AH440"/>
      <c r="AI440"/>
      <c r="AJ440"/>
      <c r="AK440"/>
      <c r="AL440"/>
      <c r="AM440"/>
      <c r="AN440"/>
      <c r="AO440"/>
      <c r="AP440"/>
      <c r="AQ440"/>
    </row>
    <row r="441" spans="2:43" s="150" customFormat="1" ht="15">
      <c r="B441" s="150">
        <v>429</v>
      </c>
      <c r="C441" s="153">
        <v>57589</v>
      </c>
      <c r="D441" s="151">
        <f t="shared" ca="1" si="62"/>
        <v>14033995.154814471</v>
      </c>
      <c r="E441" s="151">
        <f t="shared" ca="1" si="63"/>
        <v>306019.32180541131</v>
      </c>
      <c r="F441" s="151">
        <f t="shared" ca="1" si="64"/>
        <v>59502.134757758846</v>
      </c>
      <c r="G441" s="151">
        <f t="shared" ca="1" si="65"/>
        <v>246517.18704765246</v>
      </c>
      <c r="H441" s="151">
        <f ca="1">'HUD - Snapshot'!$K$10/12*D440</f>
        <v>2975.1067378879425</v>
      </c>
      <c r="I441" s="151">
        <f t="shared" ca="1" si="66"/>
        <v>308994.42854329926</v>
      </c>
      <c r="J441" s="162"/>
      <c r="K441" s="152"/>
      <c r="L441" s="152"/>
      <c r="Q441"/>
      <c r="R441"/>
      <c r="S441"/>
      <c r="T441"/>
      <c r="U441"/>
      <c r="V441"/>
      <c r="W441"/>
      <c r="X441"/>
      <c r="Y441"/>
      <c r="Z441"/>
      <c r="AA441"/>
      <c r="AB441"/>
      <c r="AC441"/>
      <c r="AD441"/>
      <c r="AE441"/>
      <c r="AF441"/>
      <c r="AG441"/>
      <c r="AH441"/>
      <c r="AI441"/>
      <c r="AJ441"/>
      <c r="AK441"/>
      <c r="AL441"/>
      <c r="AM441"/>
      <c r="AN441"/>
      <c r="AO441"/>
      <c r="AP441"/>
      <c r="AQ441"/>
    </row>
    <row r="442" spans="2:43" s="150" customFormat="1" ht="15">
      <c r="B442" s="150">
        <v>430</v>
      </c>
      <c r="C442" s="153">
        <v>57619</v>
      </c>
      <c r="D442" s="151">
        <f t="shared" ca="1" si="62"/>
        <v>13786450.812820787</v>
      </c>
      <c r="E442" s="151">
        <f t="shared" ca="1" si="63"/>
        <v>306019.32180541131</v>
      </c>
      <c r="F442" s="151">
        <f t="shared" ca="1" si="64"/>
        <v>58474.97981172696</v>
      </c>
      <c r="G442" s="151">
        <f t="shared" ca="1" si="65"/>
        <v>247544.34199368436</v>
      </c>
      <c r="H442" s="151">
        <f ca="1">'HUD - Snapshot'!$K$10/12*D441</f>
        <v>2923.7489905863481</v>
      </c>
      <c r="I442" s="151">
        <f t="shared" ca="1" si="66"/>
        <v>308943.07079599769</v>
      </c>
      <c r="J442" s="162"/>
      <c r="K442" s="152"/>
      <c r="L442" s="152"/>
      <c r="Q442"/>
      <c r="R442"/>
      <c r="S442"/>
      <c r="T442"/>
      <c r="U442"/>
      <c r="V442"/>
      <c r="W442"/>
      <c r="X442"/>
      <c r="Y442"/>
      <c r="Z442"/>
      <c r="AA442"/>
      <c r="AB442"/>
      <c r="AC442"/>
      <c r="AD442"/>
      <c r="AE442"/>
      <c r="AF442"/>
      <c r="AG442"/>
      <c r="AH442"/>
      <c r="AI442"/>
      <c r="AJ442"/>
      <c r="AK442"/>
      <c r="AL442"/>
      <c r="AM442"/>
      <c r="AN442"/>
      <c r="AO442"/>
      <c r="AP442"/>
      <c r="AQ442"/>
    </row>
    <row r="443" spans="2:43" s="150" customFormat="1" ht="15">
      <c r="B443" s="150">
        <v>431</v>
      </c>
      <c r="C443" s="153">
        <v>57650</v>
      </c>
      <c r="D443" s="151">
        <f t="shared" ca="1" si="62"/>
        <v>13537875.036068795</v>
      </c>
      <c r="E443" s="151">
        <f t="shared" ca="1" si="63"/>
        <v>306019.32180541131</v>
      </c>
      <c r="F443" s="151">
        <f t="shared" ca="1" si="64"/>
        <v>57443.545053419941</v>
      </c>
      <c r="G443" s="151">
        <f t="shared" ca="1" si="65"/>
        <v>248575.77675199136</v>
      </c>
      <c r="H443" s="151">
        <f ca="1">'HUD - Snapshot'!$K$10/12*D442</f>
        <v>2872.1772526709974</v>
      </c>
      <c r="I443" s="151">
        <f t="shared" ca="1" si="66"/>
        <v>308891.49905808229</v>
      </c>
      <c r="J443" s="162"/>
      <c r="K443" s="152"/>
      <c r="L443" s="152"/>
      <c r="Q443"/>
      <c r="R443"/>
      <c r="S443"/>
      <c r="T443"/>
      <c r="U443"/>
      <c r="V443"/>
      <c r="W443"/>
      <c r="X443"/>
      <c r="Y443"/>
      <c r="Z443"/>
      <c r="AA443"/>
      <c r="AB443"/>
      <c r="AC443"/>
      <c r="AD443"/>
      <c r="AE443"/>
      <c r="AF443"/>
      <c r="AG443"/>
      <c r="AH443"/>
      <c r="AI443"/>
      <c r="AJ443"/>
      <c r="AK443"/>
      <c r="AL443"/>
      <c r="AM443"/>
      <c r="AN443"/>
      <c r="AO443"/>
      <c r="AP443"/>
      <c r="AQ443"/>
    </row>
    <row r="444" spans="2:43" s="150" customFormat="1" ht="15">
      <c r="B444" s="150">
        <v>432</v>
      </c>
      <c r="C444" s="153">
        <v>57680</v>
      </c>
      <c r="D444" s="151">
        <f t="shared" ca="1" si="62"/>
        <v>13288263.526913671</v>
      </c>
      <c r="E444" s="151">
        <f t="shared" ca="1" si="63"/>
        <v>306019.32180541131</v>
      </c>
      <c r="F444" s="151">
        <f t="shared" ca="1" si="64"/>
        <v>56407.812650286643</v>
      </c>
      <c r="G444" s="151">
        <f t="shared" ca="1" si="65"/>
        <v>249611.50915512466</v>
      </c>
      <c r="H444" s="151">
        <f ca="1">'HUD - Snapshot'!$K$10/12*D443</f>
        <v>2820.3906325143325</v>
      </c>
      <c r="I444" s="151">
        <f t="shared" ca="1" si="66"/>
        <v>308839.71243792563</v>
      </c>
      <c r="J444" s="162"/>
      <c r="K444" s="152">
        <f ca="1">SUM(I433:I444)</f>
        <v>3709447.6305319723</v>
      </c>
      <c r="L444" s="152">
        <f ca="1">SUM(F433:F444)</f>
        <v>744315.37734072306</v>
      </c>
      <c r="Q444"/>
      <c r="R444"/>
      <c r="S444"/>
      <c r="T444"/>
      <c r="U444"/>
      <c r="V444"/>
      <c r="W444"/>
      <c r="X444"/>
      <c r="Y444"/>
      <c r="Z444"/>
      <c r="AA444"/>
      <c r="AB444"/>
      <c r="AC444"/>
      <c r="AD444"/>
      <c r="AE444"/>
      <c r="AF444"/>
      <c r="AG444"/>
      <c r="AH444"/>
      <c r="AI444"/>
      <c r="AJ444"/>
      <c r="AK444"/>
      <c r="AL444"/>
      <c r="AM444"/>
      <c r="AN444"/>
      <c r="AO444"/>
      <c r="AP444"/>
      <c r="AQ444"/>
    </row>
    <row r="445" spans="2:43" s="150" customFormat="1" ht="15">
      <c r="B445" s="150">
        <v>433</v>
      </c>
      <c r="C445" s="153">
        <v>57711</v>
      </c>
      <c r="D445" s="151">
        <f t="shared" ca="1" si="62"/>
        <v>13037611.969803734</v>
      </c>
      <c r="E445" s="151">
        <f t="shared" ca="1" si="63"/>
        <v>306019.32180541131</v>
      </c>
      <c r="F445" s="151">
        <f t="shared" ca="1" si="64"/>
        <v>55367.764695473626</v>
      </c>
      <c r="G445" s="151">
        <f t="shared" ca="1" si="65"/>
        <v>250651.55710993768</v>
      </c>
      <c r="H445" s="151">
        <f ca="1">'HUD - Snapshot'!$K$10/12*D444</f>
        <v>2768.3882347736817</v>
      </c>
      <c r="I445" s="151">
        <f t="shared" ca="1" si="66"/>
        <v>308787.71004018502</v>
      </c>
      <c r="J445" s="162"/>
      <c r="K445" s="152"/>
      <c r="L445" s="152"/>
      <c r="Q445"/>
      <c r="R445"/>
      <c r="S445"/>
      <c r="T445"/>
      <c r="U445"/>
      <c r="V445"/>
      <c r="W445"/>
      <c r="X445"/>
      <c r="Y445"/>
      <c r="Z445"/>
      <c r="AA445"/>
      <c r="AB445"/>
      <c r="AC445"/>
      <c r="AD445"/>
      <c r="AE445"/>
      <c r="AF445"/>
      <c r="AG445"/>
      <c r="AH445"/>
      <c r="AI445"/>
      <c r="AJ445"/>
      <c r="AK445"/>
      <c r="AL445"/>
      <c r="AM445"/>
      <c r="AN445"/>
      <c r="AO445"/>
      <c r="AP445"/>
      <c r="AQ445"/>
    </row>
    <row r="446" spans="2:43" s="150" customFormat="1" ht="15">
      <c r="B446" s="150">
        <v>434</v>
      </c>
      <c r="C446" s="153">
        <v>57742</v>
      </c>
      <c r="D446" s="151">
        <f t="shared" ca="1" si="62"/>
        <v>12785916.031205839</v>
      </c>
      <c r="E446" s="151">
        <f t="shared" ca="1" si="63"/>
        <v>306019.32180541131</v>
      </c>
      <c r="F446" s="151">
        <f t="shared" ca="1" si="64"/>
        <v>54323.383207515559</v>
      </c>
      <c r="G446" s="151">
        <f t="shared" ca="1" si="65"/>
        <v>251695.93859789576</v>
      </c>
      <c r="H446" s="151">
        <f ca="1">'HUD - Snapshot'!$K$10/12*D445</f>
        <v>2716.1691603757781</v>
      </c>
      <c r="I446" s="151">
        <f t="shared" ca="1" si="66"/>
        <v>308735.49096578709</v>
      </c>
      <c r="J446" s="162"/>
      <c r="K446" s="152"/>
      <c r="L446" s="152"/>
      <c r="Q446"/>
      <c r="R446"/>
      <c r="S446"/>
      <c r="T446"/>
      <c r="U446"/>
      <c r="V446"/>
      <c r="W446"/>
      <c r="X446"/>
      <c r="Y446"/>
      <c r="Z446"/>
      <c r="AA446"/>
      <c r="AB446"/>
      <c r="AC446"/>
      <c r="AD446"/>
      <c r="AE446"/>
      <c r="AF446"/>
      <c r="AG446"/>
      <c r="AH446"/>
      <c r="AI446"/>
      <c r="AJ446"/>
      <c r="AK446"/>
      <c r="AL446"/>
      <c r="AM446"/>
      <c r="AN446"/>
      <c r="AO446"/>
      <c r="AP446"/>
      <c r="AQ446"/>
    </row>
    <row r="447" spans="2:43" s="150" customFormat="1" ht="15">
      <c r="B447" s="150">
        <v>435</v>
      </c>
      <c r="C447" s="153">
        <v>57770</v>
      </c>
      <c r="D447" s="151">
        <f t="shared" ca="1" si="62"/>
        <v>12533171.359530451</v>
      </c>
      <c r="E447" s="151">
        <f t="shared" ca="1" si="63"/>
        <v>306019.32180541131</v>
      </c>
      <c r="F447" s="151">
        <f t="shared" ca="1" si="64"/>
        <v>53274.650130024325</v>
      </c>
      <c r="G447" s="151">
        <f t="shared" ca="1" si="65"/>
        <v>252744.67167538698</v>
      </c>
      <c r="H447" s="151">
        <f ca="1">'HUD - Snapshot'!$K$10/12*D446</f>
        <v>2663.7325065012164</v>
      </c>
      <c r="I447" s="151">
        <f t="shared" ca="1" si="66"/>
        <v>308683.05431191251</v>
      </c>
      <c r="J447" s="162"/>
      <c r="K447" s="152"/>
      <c r="L447" s="152"/>
      <c r="Q447"/>
      <c r="R447"/>
      <c r="S447"/>
      <c r="T447"/>
      <c r="U447"/>
      <c r="V447"/>
      <c r="W447"/>
      <c r="X447"/>
      <c r="Y447"/>
      <c r="Z447"/>
      <c r="AA447"/>
      <c r="AB447"/>
      <c r="AC447"/>
      <c r="AD447"/>
      <c r="AE447"/>
      <c r="AF447"/>
      <c r="AG447"/>
      <c r="AH447"/>
      <c r="AI447"/>
      <c r="AJ447"/>
      <c r="AK447"/>
      <c r="AL447"/>
      <c r="AM447"/>
      <c r="AN447"/>
      <c r="AO447"/>
      <c r="AP447"/>
      <c r="AQ447"/>
    </row>
    <row r="448" spans="2:43" s="150" customFormat="1" ht="15">
      <c r="B448" s="150">
        <v>436</v>
      </c>
      <c r="C448" s="153">
        <v>57801</v>
      </c>
      <c r="D448" s="151">
        <f t="shared" ca="1" si="62"/>
        <v>12279373.585056417</v>
      </c>
      <c r="E448" s="151">
        <f t="shared" ca="1" si="63"/>
        <v>306019.32180541131</v>
      </c>
      <c r="F448" s="151">
        <f t="shared" ca="1" si="64"/>
        <v>52221.547331376874</v>
      </c>
      <c r="G448" s="151">
        <f t="shared" ca="1" si="65"/>
        <v>253797.77447403444</v>
      </c>
      <c r="H448" s="151">
        <f ca="1">'HUD - Snapshot'!$K$10/12*D447</f>
        <v>2611.0773665688439</v>
      </c>
      <c r="I448" s="151">
        <f t="shared" ca="1" si="66"/>
        <v>308630.39917198016</v>
      </c>
      <c r="J448" s="162"/>
      <c r="K448" s="152"/>
      <c r="L448" s="152"/>
      <c r="Q448"/>
      <c r="R448"/>
      <c r="S448"/>
      <c r="T448"/>
      <c r="U448"/>
      <c r="V448"/>
      <c r="W448"/>
      <c r="X448"/>
      <c r="Y448"/>
      <c r="Z448"/>
      <c r="AA448"/>
      <c r="AB448"/>
      <c r="AC448"/>
      <c r="AD448"/>
      <c r="AE448"/>
      <c r="AF448"/>
      <c r="AG448"/>
      <c r="AH448"/>
      <c r="AI448"/>
      <c r="AJ448"/>
      <c r="AK448"/>
      <c r="AL448"/>
      <c r="AM448"/>
      <c r="AN448"/>
      <c r="AO448"/>
      <c r="AP448"/>
      <c r="AQ448"/>
    </row>
    <row r="449" spans="2:43" s="150" customFormat="1" ht="15">
      <c r="B449" s="150">
        <v>437</v>
      </c>
      <c r="C449" s="153">
        <v>57831</v>
      </c>
      <c r="D449" s="151">
        <f t="shared" ca="1" si="62"/>
        <v>12024518.319855407</v>
      </c>
      <c r="E449" s="151">
        <f t="shared" ca="1" si="63"/>
        <v>306019.32180541131</v>
      </c>
      <c r="F449" s="151">
        <f t="shared" ca="1" si="64"/>
        <v>51164.056604401732</v>
      </c>
      <c r="G449" s="151">
        <f t="shared" ca="1" si="65"/>
        <v>254855.26520100958</v>
      </c>
      <c r="H449" s="151">
        <f ca="1">'HUD - Snapshot'!$K$10/12*D448</f>
        <v>2558.202830220087</v>
      </c>
      <c r="I449" s="151">
        <f t="shared" ca="1" si="66"/>
        <v>308577.52463563142</v>
      </c>
      <c r="J449" s="162"/>
      <c r="K449" s="152"/>
      <c r="L449" s="152"/>
      <c r="Q449"/>
      <c r="R449"/>
      <c r="S449"/>
      <c r="T449"/>
      <c r="U449"/>
      <c r="V449"/>
      <c r="W449"/>
      <c r="X449"/>
      <c r="Y449"/>
      <c r="Z449"/>
      <c r="AA449"/>
      <c r="AB449"/>
      <c r="AC449"/>
      <c r="AD449"/>
      <c r="AE449"/>
      <c r="AF449"/>
      <c r="AG449"/>
      <c r="AH449"/>
      <c r="AI449"/>
      <c r="AJ449"/>
      <c r="AK449"/>
      <c r="AL449"/>
      <c r="AM449"/>
      <c r="AN449"/>
      <c r="AO449"/>
      <c r="AP449"/>
      <c r="AQ449"/>
    </row>
    <row r="450" spans="2:43" s="150" customFormat="1" ht="15">
      <c r="B450" s="150">
        <v>438</v>
      </c>
      <c r="C450" s="153">
        <v>57862</v>
      </c>
      <c r="D450" s="151">
        <f t="shared" ca="1" si="62"/>
        <v>11768601.15771606</v>
      </c>
      <c r="E450" s="151">
        <f t="shared" ca="1" si="63"/>
        <v>306019.32180541131</v>
      </c>
      <c r="F450" s="151">
        <f t="shared" ca="1" si="64"/>
        <v>50102.159666064195</v>
      </c>
      <c r="G450" s="151">
        <f t="shared" ca="1" si="65"/>
        <v>255917.16213934711</v>
      </c>
      <c r="H450" s="151">
        <f ca="1">'HUD - Snapshot'!$K$10/12*D449</f>
        <v>2505.1079833032099</v>
      </c>
      <c r="I450" s="151">
        <f t="shared" ca="1" si="66"/>
        <v>308524.42978871451</v>
      </c>
      <c r="J450" s="162"/>
      <c r="K450" s="152"/>
      <c r="L450" s="152"/>
      <c r="Q450"/>
      <c r="R450"/>
      <c r="S450"/>
      <c r="T450"/>
      <c r="U450"/>
      <c r="V450"/>
      <c r="W450"/>
      <c r="X450"/>
      <c r="Y450"/>
      <c r="Z450"/>
      <c r="AA450"/>
      <c r="AB450"/>
      <c r="AC450"/>
      <c r="AD450"/>
      <c r="AE450"/>
      <c r="AF450"/>
      <c r="AG450"/>
      <c r="AH450"/>
      <c r="AI450"/>
      <c r="AJ450"/>
      <c r="AK450"/>
      <c r="AL450"/>
      <c r="AM450"/>
      <c r="AN450"/>
      <c r="AO450"/>
      <c r="AP450"/>
      <c r="AQ450"/>
    </row>
    <row r="451" spans="2:43" s="150" customFormat="1" ht="15">
      <c r="B451" s="150">
        <v>439</v>
      </c>
      <c r="C451" s="153">
        <v>57892</v>
      </c>
      <c r="D451" s="151">
        <f t="shared" ca="1" si="62"/>
        <v>11511617.674067799</v>
      </c>
      <c r="E451" s="151">
        <f t="shared" ca="1" si="63"/>
        <v>306019.32180541131</v>
      </c>
      <c r="F451" s="151">
        <f t="shared" ca="1" si="64"/>
        <v>49035.838157150247</v>
      </c>
      <c r="G451" s="151">
        <f t="shared" ca="1" si="65"/>
        <v>256983.48364826106</v>
      </c>
      <c r="H451" s="151">
        <f ca="1">'HUD - Snapshot'!$K$10/12*D450</f>
        <v>2451.7919078575128</v>
      </c>
      <c r="I451" s="151">
        <f t="shared" ca="1" si="66"/>
        <v>308471.11371326883</v>
      </c>
      <c r="J451" s="162"/>
      <c r="K451" s="152"/>
      <c r="L451" s="152"/>
      <c r="Q451"/>
      <c r="R451"/>
      <c r="S451"/>
      <c r="T451"/>
      <c r="U451"/>
      <c r="V451"/>
      <c r="W451"/>
      <c r="X451"/>
      <c r="Y451"/>
      <c r="Z451"/>
      <c r="AA451"/>
      <c r="AB451"/>
      <c r="AC451"/>
      <c r="AD451"/>
      <c r="AE451"/>
      <c r="AF451"/>
      <c r="AG451"/>
      <c r="AH451"/>
      <c r="AI451"/>
      <c r="AJ451"/>
      <c r="AK451"/>
      <c r="AL451"/>
      <c r="AM451"/>
      <c r="AN451"/>
      <c r="AO451"/>
      <c r="AP451"/>
      <c r="AQ451"/>
    </row>
    <row r="452" spans="2:43" s="150" customFormat="1" ht="15">
      <c r="B452" s="150">
        <v>440</v>
      </c>
      <c r="C452" s="153">
        <v>57923</v>
      </c>
      <c r="D452" s="151">
        <f t="shared" ca="1" si="62"/>
        <v>11253563.425904337</v>
      </c>
      <c r="E452" s="151">
        <f t="shared" ca="1" si="63"/>
        <v>306019.32180541131</v>
      </c>
      <c r="F452" s="151">
        <f t="shared" ca="1" si="64"/>
        <v>47965.073641949159</v>
      </c>
      <c r="G452" s="151">
        <f t="shared" ca="1" si="65"/>
        <v>258054.24816346215</v>
      </c>
      <c r="H452" s="151">
        <f ca="1">'HUD - Snapshot'!$K$10/12*D451</f>
        <v>2398.2536820974583</v>
      </c>
      <c r="I452" s="151">
        <f t="shared" ca="1" si="66"/>
        <v>308417.57548750879</v>
      </c>
      <c r="J452" s="162"/>
      <c r="K452" s="152"/>
      <c r="L452" s="152"/>
      <c r="Q452"/>
      <c r="R452"/>
      <c r="S452"/>
      <c r="T452"/>
      <c r="U452"/>
      <c r="V452"/>
      <c r="W452"/>
      <c r="X452"/>
      <c r="Y452"/>
      <c r="Z452"/>
      <c r="AA452"/>
      <c r="AB452"/>
      <c r="AC452"/>
      <c r="AD452"/>
      <c r="AE452"/>
      <c r="AF452"/>
      <c r="AG452"/>
      <c r="AH452"/>
      <c r="AI452"/>
      <c r="AJ452"/>
      <c r="AK452"/>
      <c r="AL452"/>
      <c r="AM452"/>
      <c r="AN452"/>
      <c r="AO452"/>
      <c r="AP452"/>
      <c r="AQ452"/>
    </row>
    <row r="453" spans="2:43" s="150" customFormat="1" ht="15">
      <c r="B453" s="150">
        <v>441</v>
      </c>
      <c r="C453" s="153">
        <v>57954</v>
      </c>
      <c r="D453" s="151">
        <f t="shared" ca="1" si="62"/>
        <v>10994433.95170686</v>
      </c>
      <c r="E453" s="151">
        <f t="shared" ca="1" si="63"/>
        <v>306019.32180541131</v>
      </c>
      <c r="F453" s="151">
        <f t="shared" ca="1" si="64"/>
        <v>46889.847607934738</v>
      </c>
      <c r="G453" s="151">
        <f t="shared" ca="1" si="65"/>
        <v>259129.47419747658</v>
      </c>
      <c r="H453" s="151">
        <f ca="1">'HUD - Snapshot'!$K$10/12*D452</f>
        <v>2344.4923803967372</v>
      </c>
      <c r="I453" s="151">
        <f t="shared" ca="1" si="66"/>
        <v>308363.81418580806</v>
      </c>
      <c r="J453" s="162"/>
      <c r="K453" s="152"/>
      <c r="L453" s="152"/>
      <c r="Q453"/>
      <c r="R453"/>
      <c r="S453"/>
      <c r="T453"/>
      <c r="U453"/>
      <c r="V453"/>
      <c r="W453"/>
      <c r="X453"/>
      <c r="Y453"/>
      <c r="Z453"/>
      <c r="AA453"/>
      <c r="AB453"/>
      <c r="AC453"/>
      <c r="AD453"/>
      <c r="AE453"/>
      <c r="AF453"/>
      <c r="AG453"/>
      <c r="AH453"/>
      <c r="AI453"/>
      <c r="AJ453"/>
      <c r="AK453"/>
      <c r="AL453"/>
      <c r="AM453"/>
      <c r="AN453"/>
      <c r="AO453"/>
      <c r="AP453"/>
      <c r="AQ453"/>
    </row>
    <row r="454" spans="2:43" s="150" customFormat="1" ht="15">
      <c r="B454" s="150">
        <v>442</v>
      </c>
      <c r="C454" s="153">
        <v>57984</v>
      </c>
      <c r="D454" s="151">
        <f t="shared" ca="1" si="62"/>
        <v>10734224.771366894</v>
      </c>
      <c r="E454" s="151">
        <f t="shared" ca="1" si="63"/>
        <v>306019.32180541131</v>
      </c>
      <c r="F454" s="151">
        <f t="shared" ca="1" si="64"/>
        <v>45810.141465445253</v>
      </c>
      <c r="G454" s="151">
        <f t="shared" ca="1" si="65"/>
        <v>260209.18033996606</v>
      </c>
      <c r="H454" s="151">
        <f ca="1">'HUD - Snapshot'!$K$10/12*D453</f>
        <v>2290.5070732722629</v>
      </c>
      <c r="I454" s="151">
        <f t="shared" ca="1" si="66"/>
        <v>308309.82887868356</v>
      </c>
      <c r="J454" s="162"/>
      <c r="K454" s="152"/>
      <c r="L454" s="152"/>
      <c r="Q454"/>
      <c r="R454"/>
      <c r="S454"/>
      <c r="T454"/>
      <c r="U454"/>
      <c r="V454"/>
      <c r="W454"/>
      <c r="X454"/>
      <c r="Y454"/>
      <c r="Z454"/>
      <c r="AA454"/>
      <c r="AB454"/>
      <c r="AC454"/>
      <c r="AD454"/>
      <c r="AE454"/>
      <c r="AF454"/>
      <c r="AG454"/>
      <c r="AH454"/>
      <c r="AI454"/>
      <c r="AJ454"/>
      <c r="AK454"/>
      <c r="AL454"/>
      <c r="AM454"/>
      <c r="AN454"/>
      <c r="AO454"/>
      <c r="AP454"/>
      <c r="AQ454"/>
    </row>
    <row r="455" spans="2:43" s="150" customFormat="1" ht="15">
      <c r="B455" s="150">
        <v>443</v>
      </c>
      <c r="C455" s="153">
        <v>58015</v>
      </c>
      <c r="D455" s="151">
        <f t="shared" ca="1" si="62"/>
        <v>10472931.386108845</v>
      </c>
      <c r="E455" s="151">
        <f t="shared" ca="1" si="63"/>
        <v>306019.32180541131</v>
      </c>
      <c r="F455" s="151">
        <f t="shared" ca="1" si="64"/>
        <v>44725.936547362056</v>
      </c>
      <c r="G455" s="151">
        <f t="shared" ca="1" si="65"/>
        <v>261293.38525804924</v>
      </c>
      <c r="H455" s="151">
        <f ca="1">'HUD - Snapshot'!$K$10/12*D454</f>
        <v>2236.2968273681031</v>
      </c>
      <c r="I455" s="151">
        <f t="shared" ca="1" si="66"/>
        <v>308255.6186327794</v>
      </c>
      <c r="J455" s="162"/>
      <c r="K455" s="152"/>
      <c r="L455" s="152"/>
      <c r="Q455"/>
      <c r="R455"/>
      <c r="S455"/>
      <c r="T455"/>
      <c r="U455"/>
      <c r="V455"/>
      <c r="W455"/>
      <c r="X455"/>
      <c r="Y455"/>
      <c r="Z455"/>
      <c r="AA455"/>
      <c r="AB455"/>
      <c r="AC455"/>
      <c r="AD455"/>
      <c r="AE455"/>
      <c r="AF455"/>
      <c r="AG455"/>
      <c r="AH455"/>
      <c r="AI455"/>
      <c r="AJ455"/>
      <c r="AK455"/>
      <c r="AL455"/>
      <c r="AM455"/>
      <c r="AN455"/>
      <c r="AO455"/>
      <c r="AP455"/>
      <c r="AQ455"/>
    </row>
    <row r="456" spans="2:43" s="150" customFormat="1" ht="15">
      <c r="B456" s="150">
        <v>444</v>
      </c>
      <c r="C456" s="153">
        <v>58045</v>
      </c>
      <c r="D456" s="151">
        <f t="shared" ca="1" si="62"/>
        <v>10210549.278412221</v>
      </c>
      <c r="E456" s="151">
        <f t="shared" ca="1" si="63"/>
        <v>306019.32180541131</v>
      </c>
      <c r="F456" s="151">
        <f t="shared" ca="1" si="64"/>
        <v>43637.214108786859</v>
      </c>
      <c r="G456" s="151">
        <f t="shared" ca="1" si="65"/>
        <v>262382.10769662447</v>
      </c>
      <c r="H456" s="151">
        <f ca="1">'HUD - Snapshot'!$K$10/12*D455</f>
        <v>2181.8607054393428</v>
      </c>
      <c r="I456" s="151">
        <f t="shared" ca="1" si="66"/>
        <v>308201.18251085066</v>
      </c>
      <c r="J456" s="162"/>
      <c r="K456" s="152">
        <f ca="1">SUM(I445:I456)</f>
        <v>3701957.7423231099</v>
      </c>
      <c r="L456" s="152">
        <f ca="1">SUM(F445:F456)</f>
        <v>594517.61316348461</v>
      </c>
      <c r="Q456"/>
      <c r="R456"/>
      <c r="S456"/>
      <c r="T456"/>
      <c r="U456"/>
      <c r="V456"/>
      <c r="W456"/>
      <c r="X456"/>
      <c r="Y456"/>
      <c r="Z456"/>
      <c r="AA456"/>
      <c r="AB456"/>
      <c r="AC456"/>
      <c r="AD456"/>
      <c r="AE456"/>
      <c r="AF456"/>
      <c r="AG456"/>
      <c r="AH456"/>
      <c r="AI456"/>
      <c r="AJ456"/>
      <c r="AK456"/>
      <c r="AL456"/>
      <c r="AM456"/>
      <c r="AN456"/>
      <c r="AO456"/>
      <c r="AP456"/>
      <c r="AQ456"/>
    </row>
    <row r="457" spans="2:43" s="150" customFormat="1" ht="15">
      <c r="B457" s="150">
        <v>445</v>
      </c>
      <c r="C457" s="153">
        <v>58076</v>
      </c>
      <c r="D457" s="151">
        <f t="shared" ca="1" si="62"/>
        <v>9947073.9119335264</v>
      </c>
      <c r="E457" s="151">
        <f t="shared" ca="1" si="63"/>
        <v>306019.32180541131</v>
      </c>
      <c r="F457" s="151">
        <f t="shared" ca="1" si="64"/>
        <v>42543.955326717587</v>
      </c>
      <c r="G457" s="151">
        <f t="shared" ca="1" si="65"/>
        <v>263475.36647869373</v>
      </c>
      <c r="H457" s="151">
        <f ca="1">'HUD - Snapshot'!$K$10/12*D456</f>
        <v>2127.1977663358794</v>
      </c>
      <c r="I457" s="151">
        <f t="shared" ca="1" si="66"/>
        <v>308146.51957174717</v>
      </c>
      <c r="J457" s="162"/>
      <c r="K457" s="152"/>
      <c r="L457" s="152"/>
      <c r="Q457"/>
      <c r="R457"/>
      <c r="S457"/>
      <c r="T457"/>
      <c r="U457"/>
      <c r="V457"/>
      <c r="W457"/>
      <c r="X457"/>
      <c r="Y457"/>
      <c r="Z457"/>
      <c r="AA457"/>
      <c r="AB457"/>
      <c r="AC457"/>
      <c r="AD457"/>
      <c r="AE457"/>
      <c r="AF457"/>
      <c r="AG457"/>
      <c r="AH457"/>
      <c r="AI457"/>
      <c r="AJ457"/>
      <c r="AK457"/>
      <c r="AL457"/>
      <c r="AM457"/>
      <c r="AN457"/>
      <c r="AO457"/>
      <c r="AP457"/>
      <c r="AQ457"/>
    </row>
    <row r="458" spans="2:43" s="150" customFormat="1" ht="15">
      <c r="B458" s="150">
        <v>446</v>
      </c>
      <c r="C458" s="153">
        <v>58107</v>
      </c>
      <c r="D458" s="151">
        <f t="shared" ca="1" si="62"/>
        <v>9682500.7314278372</v>
      </c>
      <c r="E458" s="151">
        <f t="shared" ca="1" si="63"/>
        <v>306019.32180541131</v>
      </c>
      <c r="F458" s="151">
        <f t="shared" ca="1" si="64"/>
        <v>41446.141299723029</v>
      </c>
      <c r="G458" s="151">
        <f t="shared" ca="1" si="65"/>
        <v>264573.1805056883</v>
      </c>
      <c r="H458" s="151">
        <f ca="1">'HUD - Snapshot'!$K$10/12*D457</f>
        <v>2072.3070649861515</v>
      </c>
      <c r="I458" s="151">
        <f t="shared" ca="1" si="66"/>
        <v>308091.62887039746</v>
      </c>
      <c r="J458" s="162"/>
      <c r="K458" s="152"/>
      <c r="L458" s="152"/>
      <c r="Q458"/>
      <c r="R458"/>
      <c r="S458"/>
      <c r="T458"/>
      <c r="U458"/>
      <c r="V458"/>
      <c r="W458"/>
      <c r="X458"/>
      <c r="Y458"/>
      <c r="Z458"/>
      <c r="AA458"/>
      <c r="AB458"/>
      <c r="AC458"/>
      <c r="AD458"/>
      <c r="AE458"/>
      <c r="AF458"/>
      <c r="AG458"/>
      <c r="AH458"/>
      <c r="AI458"/>
      <c r="AJ458"/>
      <c r="AK458"/>
      <c r="AL458"/>
      <c r="AM458"/>
      <c r="AN458"/>
      <c r="AO458"/>
      <c r="AP458"/>
      <c r="AQ458"/>
    </row>
    <row r="459" spans="2:43" s="150" customFormat="1" ht="15">
      <c r="B459" s="150">
        <v>447</v>
      </c>
      <c r="C459" s="153">
        <v>58135</v>
      </c>
      <c r="D459" s="151">
        <f t="shared" ca="1" si="62"/>
        <v>9416825.1626700424</v>
      </c>
      <c r="E459" s="151">
        <f t="shared" ca="1" si="63"/>
        <v>306019.32180541131</v>
      </c>
      <c r="F459" s="151">
        <f t="shared" ca="1" si="64"/>
        <v>40343.753047615988</v>
      </c>
      <c r="G459" s="151">
        <f t="shared" ca="1" si="65"/>
        <v>265675.56875779532</v>
      </c>
      <c r="H459" s="151">
        <f ca="1">'HUD - Snapshot'!$K$10/12*D458</f>
        <v>2017.1876523807996</v>
      </c>
      <c r="I459" s="151">
        <f t="shared" ca="1" si="66"/>
        <v>308036.5094577921</v>
      </c>
      <c r="J459" s="162"/>
      <c r="K459" s="152"/>
      <c r="L459" s="152"/>
      <c r="Q459"/>
      <c r="R459"/>
      <c r="S459"/>
      <c r="T459"/>
      <c r="U459"/>
      <c r="V459"/>
      <c r="W459"/>
      <c r="X459"/>
      <c r="Y459"/>
      <c r="Z459"/>
      <c r="AA459"/>
      <c r="AB459"/>
      <c r="AC459"/>
      <c r="AD459"/>
      <c r="AE459"/>
      <c r="AF459"/>
      <c r="AG459"/>
      <c r="AH459"/>
      <c r="AI459"/>
      <c r="AJ459"/>
      <c r="AK459"/>
      <c r="AL459"/>
      <c r="AM459"/>
      <c r="AN459"/>
      <c r="AO459"/>
      <c r="AP459"/>
      <c r="AQ459"/>
    </row>
    <row r="460" spans="2:43" s="150" customFormat="1" ht="15">
      <c r="B460" s="150">
        <v>448</v>
      </c>
      <c r="C460" s="153">
        <v>58166</v>
      </c>
      <c r="D460" s="151">
        <f t="shared" ca="1" si="62"/>
        <v>9150042.6123757567</v>
      </c>
      <c r="E460" s="151">
        <f t="shared" ca="1" si="63"/>
        <v>306019.32180541131</v>
      </c>
      <c r="F460" s="151">
        <f t="shared" ca="1" si="64"/>
        <v>39236.771511125175</v>
      </c>
      <c r="G460" s="151">
        <f t="shared" ca="1" si="65"/>
        <v>266782.55029428611</v>
      </c>
      <c r="H460" s="151">
        <f ca="1">'HUD - Snapshot'!$K$10/12*D459</f>
        <v>1961.838575556259</v>
      </c>
      <c r="I460" s="151">
        <f t="shared" ca="1" si="66"/>
        <v>307981.16038096749</v>
      </c>
      <c r="J460" s="162"/>
      <c r="K460" s="152"/>
      <c r="L460" s="152"/>
      <c r="Q460"/>
      <c r="R460"/>
      <c r="S460"/>
      <c r="T460"/>
      <c r="U460"/>
      <c r="V460"/>
      <c r="W460"/>
      <c r="X460"/>
      <c r="Y460"/>
      <c r="Z460"/>
      <c r="AA460"/>
      <c r="AB460"/>
      <c r="AC460"/>
      <c r="AD460"/>
      <c r="AE460"/>
      <c r="AF460"/>
      <c r="AG460"/>
      <c r="AH460"/>
      <c r="AI460"/>
      <c r="AJ460"/>
      <c r="AK460"/>
      <c r="AL460"/>
      <c r="AM460"/>
      <c r="AN460"/>
      <c r="AO460"/>
      <c r="AP460"/>
      <c r="AQ460"/>
    </row>
    <row r="461" spans="2:43" s="150" customFormat="1" ht="15">
      <c r="B461" s="150">
        <v>449</v>
      </c>
      <c r="C461" s="153">
        <v>58196</v>
      </c>
      <c r="D461" s="151">
        <f t="shared" ref="D461:D492" ca="1" si="67">D460-G461</f>
        <v>8882148.4681219105</v>
      </c>
      <c r="E461" s="151">
        <f t="shared" ref="E461:E492" ca="1" si="68">$D$9</f>
        <v>306019.32180541131</v>
      </c>
      <c r="F461" s="151">
        <f t="shared" ref="F461:F492" ca="1" si="69">$D$8/12*D460</f>
        <v>38125.177551565655</v>
      </c>
      <c r="G461" s="151">
        <f t="shared" ref="G461:G492" ca="1" si="70">E461-F461</f>
        <v>267894.14425384568</v>
      </c>
      <c r="H461" s="151">
        <f ca="1">'HUD - Snapshot'!$K$10/12*D460</f>
        <v>1906.2588775782829</v>
      </c>
      <c r="I461" s="151">
        <f t="shared" ref="I461:I492" ca="1" si="71">SUM(F461:H461)</f>
        <v>307925.58068298962</v>
      </c>
      <c r="J461" s="162"/>
      <c r="K461" s="152"/>
      <c r="L461" s="152"/>
      <c r="Q461"/>
      <c r="R461"/>
      <c r="S461"/>
      <c r="T461"/>
      <c r="U461"/>
      <c r="V461"/>
      <c r="W461"/>
      <c r="X461"/>
      <c r="Y461"/>
      <c r="Z461"/>
      <c r="AA461"/>
      <c r="AB461"/>
      <c r="AC461"/>
      <c r="AD461"/>
      <c r="AE461"/>
      <c r="AF461"/>
      <c r="AG461"/>
      <c r="AH461"/>
      <c r="AI461"/>
      <c r="AJ461"/>
      <c r="AK461"/>
      <c r="AL461"/>
      <c r="AM461"/>
      <c r="AN461"/>
      <c r="AO461"/>
      <c r="AP461"/>
      <c r="AQ461"/>
    </row>
    <row r="462" spans="2:43" s="150" customFormat="1" ht="15">
      <c r="B462" s="150">
        <v>450</v>
      </c>
      <c r="C462" s="153">
        <v>58227</v>
      </c>
      <c r="D462" s="151">
        <f t="shared" ca="1" si="67"/>
        <v>8613138.0982670076</v>
      </c>
      <c r="E462" s="151">
        <f t="shared" ca="1" si="68"/>
        <v>306019.32180541131</v>
      </c>
      <c r="F462" s="151">
        <f t="shared" ca="1" si="69"/>
        <v>37008.951950507959</v>
      </c>
      <c r="G462" s="151">
        <f t="shared" ca="1" si="70"/>
        <v>269010.36985490337</v>
      </c>
      <c r="H462" s="151">
        <f ca="1">'HUD - Snapshot'!$K$10/12*D461</f>
        <v>1850.4475975253981</v>
      </c>
      <c r="I462" s="151">
        <f t="shared" ca="1" si="71"/>
        <v>307869.76940293668</v>
      </c>
      <c r="J462" s="162"/>
      <c r="K462" s="152"/>
      <c r="L462" s="152"/>
      <c r="Q462"/>
      <c r="R462"/>
      <c r="S462"/>
      <c r="T462"/>
      <c r="U462"/>
      <c r="V462"/>
      <c r="W462"/>
      <c r="X462"/>
      <c r="Y462"/>
      <c r="Z462"/>
      <c r="AA462"/>
      <c r="AB462"/>
      <c r="AC462"/>
      <c r="AD462"/>
      <c r="AE462"/>
      <c r="AF462"/>
      <c r="AG462"/>
      <c r="AH462"/>
      <c r="AI462"/>
      <c r="AJ462"/>
      <c r="AK462"/>
      <c r="AL462"/>
      <c r="AM462"/>
      <c r="AN462"/>
      <c r="AO462"/>
      <c r="AP462"/>
      <c r="AQ462"/>
    </row>
    <row r="463" spans="2:43" s="150" customFormat="1" ht="15">
      <c r="B463" s="150">
        <v>451</v>
      </c>
      <c r="C463" s="153">
        <v>58257</v>
      </c>
      <c r="D463" s="151">
        <f t="shared" ca="1" si="67"/>
        <v>8343006.8518710425</v>
      </c>
      <c r="E463" s="151">
        <f t="shared" ca="1" si="68"/>
        <v>306019.32180541131</v>
      </c>
      <c r="F463" s="151">
        <f t="shared" ca="1" si="69"/>
        <v>35888.075409445868</v>
      </c>
      <c r="G463" s="151">
        <f t="shared" ca="1" si="70"/>
        <v>270131.24639596546</v>
      </c>
      <c r="H463" s="151">
        <f ca="1">'HUD - Snapshot'!$K$10/12*D462</f>
        <v>1794.4037704722934</v>
      </c>
      <c r="I463" s="151">
        <f t="shared" ca="1" si="71"/>
        <v>307813.72557588358</v>
      </c>
      <c r="J463" s="162"/>
      <c r="K463" s="152"/>
      <c r="L463" s="152"/>
      <c r="Q463"/>
      <c r="R463"/>
      <c r="S463"/>
      <c r="T463"/>
      <c r="U463"/>
      <c r="V463"/>
      <c r="W463"/>
      <c r="X463"/>
      <c r="Y463"/>
      <c r="Z463"/>
      <c r="AA463"/>
      <c r="AB463"/>
      <c r="AC463"/>
      <c r="AD463"/>
      <c r="AE463"/>
      <c r="AF463"/>
      <c r="AG463"/>
      <c r="AH463"/>
      <c r="AI463"/>
      <c r="AJ463"/>
      <c r="AK463"/>
      <c r="AL463"/>
      <c r="AM463"/>
      <c r="AN463"/>
      <c r="AO463"/>
      <c r="AP463"/>
      <c r="AQ463"/>
    </row>
    <row r="464" spans="2:43" s="150" customFormat="1" ht="15">
      <c r="B464" s="150">
        <v>452</v>
      </c>
      <c r="C464" s="153">
        <v>58288</v>
      </c>
      <c r="D464" s="151">
        <f t="shared" ca="1" si="67"/>
        <v>8071750.0586150941</v>
      </c>
      <c r="E464" s="151">
        <f t="shared" ca="1" si="68"/>
        <v>306019.32180541131</v>
      </c>
      <c r="F464" s="151">
        <f t="shared" ca="1" si="69"/>
        <v>34762.528549462673</v>
      </c>
      <c r="G464" s="151">
        <f t="shared" ca="1" si="70"/>
        <v>271256.79325594864</v>
      </c>
      <c r="H464" s="151">
        <f ca="1">'HUD - Snapshot'!$K$10/12*D463</f>
        <v>1738.1264274731341</v>
      </c>
      <c r="I464" s="151">
        <f t="shared" ca="1" si="71"/>
        <v>307757.44823288446</v>
      </c>
      <c r="J464" s="162"/>
      <c r="K464" s="152"/>
      <c r="L464" s="152"/>
      <c r="Q464"/>
      <c r="R464"/>
      <c r="S464"/>
      <c r="T464"/>
      <c r="U464"/>
      <c r="V464"/>
      <c r="W464"/>
      <c r="X464"/>
      <c r="Y464"/>
      <c r="Z464"/>
      <c r="AA464"/>
      <c r="AB464"/>
      <c r="AC464"/>
      <c r="AD464"/>
      <c r="AE464"/>
      <c r="AF464"/>
      <c r="AG464"/>
      <c r="AH464"/>
      <c r="AI464"/>
      <c r="AJ464"/>
      <c r="AK464"/>
      <c r="AL464"/>
      <c r="AM464"/>
      <c r="AN464"/>
      <c r="AO464"/>
      <c r="AP464"/>
      <c r="AQ464"/>
    </row>
    <row r="465" spans="2:43" s="150" customFormat="1" ht="15">
      <c r="B465" s="150">
        <v>453</v>
      </c>
      <c r="C465" s="153">
        <v>58319</v>
      </c>
      <c r="D465" s="151">
        <f t="shared" ca="1" si="67"/>
        <v>7799363.0287205791</v>
      </c>
      <c r="E465" s="151">
        <f t="shared" ca="1" si="68"/>
        <v>306019.32180541131</v>
      </c>
      <c r="F465" s="151">
        <f t="shared" ca="1" si="69"/>
        <v>33632.291910896223</v>
      </c>
      <c r="G465" s="151">
        <f t="shared" ca="1" si="70"/>
        <v>272387.02989451506</v>
      </c>
      <c r="H465" s="151">
        <f ca="1">'HUD - Snapshot'!$K$10/12*D464</f>
        <v>1681.6145955448114</v>
      </c>
      <c r="I465" s="151">
        <f t="shared" ca="1" si="71"/>
        <v>307700.93640095607</v>
      </c>
      <c r="J465" s="162"/>
      <c r="K465" s="152"/>
      <c r="L465" s="152"/>
      <c r="Q465"/>
      <c r="R465"/>
      <c r="S465"/>
      <c r="T465"/>
      <c r="U465"/>
      <c r="V465"/>
      <c r="W465"/>
      <c r="X465"/>
      <c r="Y465"/>
      <c r="Z465"/>
      <c r="AA465"/>
      <c r="AB465"/>
      <c r="AC465"/>
      <c r="AD465"/>
      <c r="AE465"/>
      <c r="AF465"/>
      <c r="AG465"/>
      <c r="AH465"/>
      <c r="AI465"/>
      <c r="AJ465"/>
      <c r="AK465"/>
      <c r="AL465"/>
      <c r="AM465"/>
      <c r="AN465"/>
      <c r="AO465"/>
      <c r="AP465"/>
      <c r="AQ465"/>
    </row>
    <row r="466" spans="2:43" s="150" customFormat="1" ht="15">
      <c r="B466" s="150">
        <v>454</v>
      </c>
      <c r="C466" s="153">
        <v>58349</v>
      </c>
      <c r="D466" s="151">
        <f t="shared" ca="1" si="67"/>
        <v>7525841.0528681707</v>
      </c>
      <c r="E466" s="151">
        <f t="shared" ca="1" si="68"/>
        <v>306019.32180541131</v>
      </c>
      <c r="F466" s="151">
        <f t="shared" ca="1" si="69"/>
        <v>32497.345953002412</v>
      </c>
      <c r="G466" s="151">
        <f t="shared" ca="1" si="70"/>
        <v>273521.97585240891</v>
      </c>
      <c r="H466" s="151">
        <f ca="1">'HUD - Snapshot'!$K$10/12*D465</f>
        <v>1624.8672976501207</v>
      </c>
      <c r="I466" s="151">
        <f t="shared" ca="1" si="71"/>
        <v>307644.18910306145</v>
      </c>
      <c r="J466" s="162"/>
      <c r="K466" s="152"/>
      <c r="L466" s="152"/>
      <c r="Q466"/>
      <c r="R466"/>
      <c r="S466"/>
      <c r="T466"/>
      <c r="U466"/>
      <c r="V466"/>
      <c r="W466"/>
      <c r="X466"/>
      <c r="Y466"/>
      <c r="Z466"/>
      <c r="AA466"/>
      <c r="AB466"/>
      <c r="AC466"/>
      <c r="AD466"/>
      <c r="AE466"/>
      <c r="AF466"/>
      <c r="AG466"/>
      <c r="AH466"/>
      <c r="AI466"/>
      <c r="AJ466"/>
      <c r="AK466"/>
      <c r="AL466"/>
      <c r="AM466"/>
      <c r="AN466"/>
      <c r="AO466"/>
      <c r="AP466"/>
      <c r="AQ466"/>
    </row>
    <row r="467" spans="2:43" s="150" customFormat="1" ht="15">
      <c r="B467" s="150">
        <v>455</v>
      </c>
      <c r="C467" s="153">
        <v>58380</v>
      </c>
      <c r="D467" s="151">
        <f t="shared" ca="1" si="67"/>
        <v>7251179.4021163769</v>
      </c>
      <c r="E467" s="151">
        <f t="shared" ca="1" si="68"/>
        <v>306019.32180541131</v>
      </c>
      <c r="F467" s="151">
        <f t="shared" ca="1" si="69"/>
        <v>31357.671053617378</v>
      </c>
      <c r="G467" s="151">
        <f t="shared" ca="1" si="70"/>
        <v>274661.65075179393</v>
      </c>
      <c r="H467" s="151">
        <f ca="1">'HUD - Snapshot'!$K$10/12*D466</f>
        <v>1567.8835526808689</v>
      </c>
      <c r="I467" s="151">
        <f t="shared" ca="1" si="71"/>
        <v>307587.20535809221</v>
      </c>
      <c r="J467" s="162"/>
      <c r="K467" s="152"/>
      <c r="L467" s="152"/>
      <c r="Q467"/>
      <c r="R467"/>
      <c r="S467"/>
      <c r="T467"/>
      <c r="U467"/>
      <c r="V467"/>
      <c r="W467"/>
      <c r="X467"/>
      <c r="Y467"/>
      <c r="Z467"/>
      <c r="AA467"/>
      <c r="AB467"/>
      <c r="AC467"/>
      <c r="AD467"/>
      <c r="AE467"/>
      <c r="AF467"/>
      <c r="AG467"/>
      <c r="AH467"/>
      <c r="AI467"/>
      <c r="AJ467"/>
      <c r="AK467"/>
      <c r="AL467"/>
      <c r="AM467"/>
      <c r="AN467"/>
      <c r="AO467"/>
      <c r="AP467"/>
      <c r="AQ467"/>
    </row>
    <row r="468" spans="2:43" s="150" customFormat="1" ht="15">
      <c r="B468" s="150">
        <v>456</v>
      </c>
      <c r="C468" s="153">
        <v>58410</v>
      </c>
      <c r="D468" s="151">
        <f t="shared" ca="1" si="67"/>
        <v>6975373.3278197842</v>
      </c>
      <c r="E468" s="151">
        <f t="shared" ca="1" si="68"/>
        <v>306019.32180541131</v>
      </c>
      <c r="F468" s="151">
        <f t="shared" ca="1" si="69"/>
        <v>30213.247508818236</v>
      </c>
      <c r="G468" s="151">
        <f t="shared" ca="1" si="70"/>
        <v>275806.07429659308</v>
      </c>
      <c r="H468" s="151">
        <f ca="1">'HUD - Snapshot'!$K$10/12*D467</f>
        <v>1510.662375440912</v>
      </c>
      <c r="I468" s="151">
        <f t="shared" ca="1" si="71"/>
        <v>307529.98418085225</v>
      </c>
      <c r="J468" s="162"/>
      <c r="K468" s="152">
        <f ca="1">SUM(I457:I468)</f>
        <v>3694084.6572185601</v>
      </c>
      <c r="L468" s="152">
        <f ca="1">SUM(F457:F468)</f>
        <v>437055.91107249819</v>
      </c>
      <c r="Q468"/>
      <c r="R468"/>
      <c r="S468"/>
      <c r="T468"/>
      <c r="U468"/>
      <c r="V468"/>
      <c r="W468"/>
      <c r="X468"/>
      <c r="Y468"/>
      <c r="Z468"/>
      <c r="AA468"/>
      <c r="AB468"/>
      <c r="AC468"/>
      <c r="AD468"/>
      <c r="AE468"/>
      <c r="AF468"/>
      <c r="AG468"/>
      <c r="AH468"/>
      <c r="AI468"/>
      <c r="AJ468"/>
      <c r="AK468"/>
      <c r="AL468"/>
      <c r="AM468"/>
      <c r="AN468"/>
      <c r="AO468"/>
      <c r="AP468"/>
      <c r="AQ468"/>
    </row>
    <row r="469" spans="2:43" s="150" customFormat="1" ht="15">
      <c r="B469" s="150">
        <v>457</v>
      </c>
      <c r="C469" s="153">
        <v>58441</v>
      </c>
      <c r="D469" s="151">
        <f t="shared" ca="1" si="67"/>
        <v>6698418.0615469553</v>
      </c>
      <c r="E469" s="151">
        <f t="shared" ca="1" si="68"/>
        <v>306019.32180541131</v>
      </c>
      <c r="F469" s="151">
        <f t="shared" ca="1" si="69"/>
        <v>29064.055532582435</v>
      </c>
      <c r="G469" s="151">
        <f t="shared" ca="1" si="70"/>
        <v>276955.26627282886</v>
      </c>
      <c r="H469" s="151">
        <f ca="1">'HUD - Snapshot'!$K$10/12*D468</f>
        <v>1453.2027766291219</v>
      </c>
      <c r="I469" s="151">
        <f t="shared" ca="1" si="71"/>
        <v>307472.52458204044</v>
      </c>
      <c r="J469" s="162"/>
      <c r="K469" s="152"/>
      <c r="L469" s="152"/>
      <c r="Q469"/>
      <c r="R469"/>
      <c r="S469"/>
      <c r="T469"/>
      <c r="U469"/>
      <c r="V469"/>
      <c r="W469"/>
      <c r="X469"/>
      <c r="Y469"/>
      <c r="Z469"/>
      <c r="AA469"/>
      <c r="AB469"/>
      <c r="AC469"/>
      <c r="AD469"/>
      <c r="AE469"/>
      <c r="AF469"/>
      <c r="AG469"/>
      <c r="AH469"/>
      <c r="AI469"/>
      <c r="AJ469"/>
      <c r="AK469"/>
      <c r="AL469"/>
      <c r="AM469"/>
      <c r="AN469"/>
      <c r="AO469"/>
      <c r="AP469"/>
      <c r="AQ469"/>
    </row>
    <row r="470" spans="2:43" s="150" customFormat="1" ht="15">
      <c r="B470" s="150">
        <v>458</v>
      </c>
      <c r="C470" s="153">
        <v>58472</v>
      </c>
      <c r="D470" s="151">
        <f t="shared" ca="1" si="67"/>
        <v>6420308.8149979897</v>
      </c>
      <c r="E470" s="151">
        <f t="shared" ca="1" si="68"/>
        <v>306019.32180541131</v>
      </c>
      <c r="F470" s="151">
        <f t="shared" ca="1" si="69"/>
        <v>27910.075256445645</v>
      </c>
      <c r="G470" s="151">
        <f t="shared" ca="1" si="70"/>
        <v>278109.24654896569</v>
      </c>
      <c r="H470" s="151">
        <f ca="1">'HUD - Snapshot'!$K$10/12*D469</f>
        <v>1395.5037628222824</v>
      </c>
      <c r="I470" s="151">
        <f t="shared" ca="1" si="71"/>
        <v>307414.82556823362</v>
      </c>
      <c r="J470" s="162"/>
      <c r="K470" s="152"/>
      <c r="L470" s="152"/>
      <c r="Q470"/>
      <c r="R470"/>
      <c r="S470"/>
      <c r="T470"/>
      <c r="U470"/>
      <c r="V470"/>
      <c r="W470"/>
      <c r="X470"/>
      <c r="Y470"/>
      <c r="Z470"/>
      <c r="AA470"/>
      <c r="AB470"/>
      <c r="AC470"/>
      <c r="AD470"/>
      <c r="AE470"/>
      <c r="AF470"/>
      <c r="AG470"/>
      <c r="AH470"/>
      <c r="AI470"/>
      <c r="AJ470"/>
      <c r="AK470"/>
      <c r="AL470"/>
      <c r="AM470"/>
      <c r="AN470"/>
      <c r="AO470"/>
      <c r="AP470"/>
      <c r="AQ470"/>
    </row>
    <row r="471" spans="2:43" s="150" customFormat="1" ht="15">
      <c r="B471" s="150">
        <v>459</v>
      </c>
      <c r="C471" s="153">
        <v>58501</v>
      </c>
      <c r="D471" s="151">
        <f t="shared" ca="1" si="67"/>
        <v>6141040.7799217366</v>
      </c>
      <c r="E471" s="151">
        <f t="shared" ca="1" si="68"/>
        <v>306019.32180541131</v>
      </c>
      <c r="F471" s="151">
        <f t="shared" ca="1" si="69"/>
        <v>26751.286729158292</v>
      </c>
      <c r="G471" s="151">
        <f t="shared" ca="1" si="70"/>
        <v>279268.035076253</v>
      </c>
      <c r="H471" s="151">
        <f ca="1">'HUD - Snapshot'!$K$10/12*D470</f>
        <v>1337.5643364579146</v>
      </c>
      <c r="I471" s="151">
        <f t="shared" ca="1" si="71"/>
        <v>307356.88614186924</v>
      </c>
      <c r="J471" s="162"/>
      <c r="K471" s="152"/>
      <c r="L471" s="152"/>
      <c r="Q471"/>
      <c r="R471"/>
      <c r="S471"/>
      <c r="T471"/>
      <c r="U471"/>
      <c r="V471"/>
      <c r="W471"/>
      <c r="X471"/>
      <c r="Y471"/>
      <c r="Z471"/>
      <c r="AA471"/>
      <c r="AB471"/>
      <c r="AC471"/>
      <c r="AD471"/>
      <c r="AE471"/>
      <c r="AF471"/>
      <c r="AG471"/>
      <c r="AH471"/>
      <c r="AI471"/>
      <c r="AJ471"/>
      <c r="AK471"/>
      <c r="AL471"/>
      <c r="AM471"/>
      <c r="AN471"/>
      <c r="AO471"/>
      <c r="AP471"/>
      <c r="AQ471"/>
    </row>
    <row r="472" spans="2:43" s="150" customFormat="1" ht="15">
      <c r="B472" s="150">
        <v>460</v>
      </c>
      <c r="C472" s="153">
        <v>58532</v>
      </c>
      <c r="D472" s="151">
        <f t="shared" ca="1" si="67"/>
        <v>5860609.1280326657</v>
      </c>
      <c r="E472" s="151">
        <f t="shared" ca="1" si="68"/>
        <v>306019.32180541131</v>
      </c>
      <c r="F472" s="151">
        <f t="shared" ca="1" si="69"/>
        <v>25587.669916340568</v>
      </c>
      <c r="G472" s="151">
        <f t="shared" ca="1" si="70"/>
        <v>280431.65188907075</v>
      </c>
      <c r="H472" s="151">
        <f ca="1">'HUD - Snapshot'!$K$10/12*D471</f>
        <v>1279.3834958170285</v>
      </c>
      <c r="I472" s="151">
        <f t="shared" ca="1" si="71"/>
        <v>307298.70530122833</v>
      </c>
      <c r="J472" s="162"/>
      <c r="K472" s="152"/>
      <c r="L472" s="152"/>
      <c r="Q472"/>
      <c r="R472"/>
      <c r="S472"/>
      <c r="T472"/>
      <c r="U472"/>
      <c r="V472"/>
      <c r="W472"/>
      <c r="X472"/>
      <c r="Y472"/>
      <c r="Z472"/>
      <c r="AA472"/>
      <c r="AB472"/>
      <c r="AC472"/>
      <c r="AD472"/>
      <c r="AE472"/>
      <c r="AF472"/>
      <c r="AG472"/>
      <c r="AH472"/>
      <c r="AI472"/>
      <c r="AJ472"/>
      <c r="AK472"/>
      <c r="AL472"/>
      <c r="AM472"/>
      <c r="AN472"/>
      <c r="AO472"/>
      <c r="AP472"/>
      <c r="AQ472"/>
    </row>
    <row r="473" spans="2:43" s="150" customFormat="1" ht="15">
      <c r="B473" s="150">
        <v>461</v>
      </c>
      <c r="C473" s="153">
        <v>58562</v>
      </c>
      <c r="D473" s="151">
        <f t="shared" ca="1" si="67"/>
        <v>5579009.0109273903</v>
      </c>
      <c r="E473" s="151">
        <f t="shared" ca="1" si="68"/>
        <v>306019.32180541131</v>
      </c>
      <c r="F473" s="151">
        <f t="shared" ca="1" si="69"/>
        <v>24419.204700136106</v>
      </c>
      <c r="G473" s="151">
        <f t="shared" ca="1" si="70"/>
        <v>281600.11710527522</v>
      </c>
      <c r="H473" s="151">
        <f ca="1">'HUD - Snapshot'!$K$10/12*D472</f>
        <v>1220.9602350068055</v>
      </c>
      <c r="I473" s="151">
        <f t="shared" ca="1" si="71"/>
        <v>307240.28204041813</v>
      </c>
      <c r="J473" s="162"/>
      <c r="K473" s="152"/>
      <c r="L473" s="152"/>
      <c r="Q473"/>
      <c r="R473"/>
      <c r="S473"/>
      <c r="T473"/>
      <c r="U473"/>
      <c r="V473"/>
      <c r="W473"/>
      <c r="X473"/>
      <c r="Y473"/>
      <c r="Z473"/>
      <c r="AA473"/>
      <c r="AB473"/>
      <c r="AC473"/>
      <c r="AD473"/>
      <c r="AE473"/>
      <c r="AF473"/>
      <c r="AG473"/>
      <c r="AH473"/>
      <c r="AI473"/>
      <c r="AJ473"/>
      <c r="AK473"/>
      <c r="AL473"/>
      <c r="AM473"/>
      <c r="AN473"/>
      <c r="AO473"/>
      <c r="AP473"/>
      <c r="AQ473"/>
    </row>
    <row r="474" spans="2:43" s="150" customFormat="1" ht="15">
      <c r="B474" s="150">
        <v>462</v>
      </c>
      <c r="C474" s="153">
        <v>58593</v>
      </c>
      <c r="D474" s="151">
        <f t="shared" ca="1" si="67"/>
        <v>5296235.5600008434</v>
      </c>
      <c r="E474" s="151">
        <f t="shared" ca="1" si="68"/>
        <v>306019.32180541131</v>
      </c>
      <c r="F474" s="151">
        <f t="shared" ca="1" si="69"/>
        <v>23245.870878864127</v>
      </c>
      <c r="G474" s="151">
        <f t="shared" ca="1" si="70"/>
        <v>282773.45092654717</v>
      </c>
      <c r="H474" s="151">
        <f ca="1">'HUD - Snapshot'!$K$10/12*D473</f>
        <v>1162.2935439432065</v>
      </c>
      <c r="I474" s="151">
        <f t="shared" ca="1" si="71"/>
        <v>307181.61534935451</v>
      </c>
      <c r="J474" s="162"/>
      <c r="K474" s="152"/>
      <c r="L474" s="152"/>
      <c r="Q474"/>
      <c r="R474"/>
      <c r="S474"/>
      <c r="T474"/>
      <c r="U474"/>
      <c r="V474"/>
      <c r="W474"/>
      <c r="X474"/>
      <c r="Y474"/>
      <c r="Z474"/>
      <c r="AA474"/>
      <c r="AB474"/>
      <c r="AC474"/>
      <c r="AD474"/>
      <c r="AE474"/>
      <c r="AF474"/>
      <c r="AG474"/>
      <c r="AH474"/>
      <c r="AI474"/>
      <c r="AJ474"/>
      <c r="AK474"/>
      <c r="AL474"/>
      <c r="AM474"/>
      <c r="AN474"/>
      <c r="AO474"/>
      <c r="AP474"/>
      <c r="AQ474"/>
    </row>
    <row r="475" spans="2:43" s="150" customFormat="1" ht="15">
      <c r="B475" s="150">
        <v>463</v>
      </c>
      <c r="C475" s="153">
        <v>58623</v>
      </c>
      <c r="D475" s="151">
        <f t="shared" ca="1" si="67"/>
        <v>5012283.8863621019</v>
      </c>
      <c r="E475" s="151">
        <f t="shared" ca="1" si="68"/>
        <v>306019.32180541131</v>
      </c>
      <c r="F475" s="151">
        <f t="shared" ca="1" si="69"/>
        <v>22067.64816667018</v>
      </c>
      <c r="G475" s="151">
        <f t="shared" ca="1" si="70"/>
        <v>283951.67363874114</v>
      </c>
      <c r="H475" s="151">
        <f ca="1">'HUD - Snapshot'!$K$10/12*D474</f>
        <v>1103.3824083335091</v>
      </c>
      <c r="I475" s="151">
        <f t="shared" ca="1" si="71"/>
        <v>307122.70421374484</v>
      </c>
      <c r="J475" s="162"/>
      <c r="K475" s="152"/>
      <c r="L475" s="152"/>
      <c r="Q475"/>
      <c r="R475"/>
      <c r="S475"/>
      <c r="T475"/>
      <c r="U475"/>
      <c r="V475"/>
      <c r="W475"/>
      <c r="X475"/>
      <c r="Y475"/>
      <c r="Z475"/>
      <c r="AA475"/>
      <c r="AB475"/>
      <c r="AC475"/>
      <c r="AD475"/>
      <c r="AE475"/>
      <c r="AF475"/>
      <c r="AG475"/>
      <c r="AH475"/>
      <c r="AI475"/>
      <c r="AJ475"/>
      <c r="AK475"/>
      <c r="AL475"/>
      <c r="AM475"/>
      <c r="AN475"/>
      <c r="AO475"/>
      <c r="AP475"/>
      <c r="AQ475"/>
    </row>
    <row r="476" spans="2:43" s="150" customFormat="1" ht="15">
      <c r="B476" s="150">
        <v>464</v>
      </c>
      <c r="C476" s="153">
        <v>58654</v>
      </c>
      <c r="D476" s="151">
        <f t="shared" ca="1" si="67"/>
        <v>4727149.0807498656</v>
      </c>
      <c r="E476" s="151">
        <f t="shared" ca="1" si="68"/>
        <v>306019.32180541131</v>
      </c>
      <c r="F476" s="151">
        <f t="shared" ca="1" si="69"/>
        <v>20884.516193175423</v>
      </c>
      <c r="G476" s="151">
        <f t="shared" ca="1" si="70"/>
        <v>285134.80561223591</v>
      </c>
      <c r="H476" s="151">
        <f ca="1">'HUD - Snapshot'!$K$10/12*D475</f>
        <v>1044.2258096587714</v>
      </c>
      <c r="I476" s="151">
        <f t="shared" ca="1" si="71"/>
        <v>307063.54761507007</v>
      </c>
      <c r="J476" s="162"/>
      <c r="K476" s="152"/>
      <c r="L476" s="152"/>
      <c r="Q476"/>
      <c r="R476"/>
      <c r="S476"/>
      <c r="T476"/>
      <c r="U476"/>
      <c r="V476"/>
      <c r="W476"/>
      <c r="X476"/>
      <c r="Y476"/>
      <c r="Z476"/>
      <c r="AA476"/>
      <c r="AB476"/>
      <c r="AC476"/>
      <c r="AD476"/>
      <c r="AE476"/>
      <c r="AF476"/>
      <c r="AG476"/>
      <c r="AH476"/>
      <c r="AI476"/>
      <c r="AJ476"/>
      <c r="AK476"/>
      <c r="AL476"/>
      <c r="AM476"/>
      <c r="AN476"/>
      <c r="AO476"/>
      <c r="AP476"/>
      <c r="AQ476"/>
    </row>
    <row r="477" spans="2:43" s="150" customFormat="1" ht="15">
      <c r="B477" s="150">
        <v>465</v>
      </c>
      <c r="C477" s="153">
        <v>58685</v>
      </c>
      <c r="D477" s="151">
        <f t="shared" ca="1" si="67"/>
        <v>4440826.2134475792</v>
      </c>
      <c r="E477" s="151">
        <f t="shared" ca="1" si="68"/>
        <v>306019.32180541131</v>
      </c>
      <c r="F477" s="151">
        <f t="shared" ca="1" si="69"/>
        <v>19696.454503124442</v>
      </c>
      <c r="G477" s="151">
        <f t="shared" ca="1" si="70"/>
        <v>286322.86730228685</v>
      </c>
      <c r="H477" s="151">
        <f ca="1">'HUD - Snapshot'!$K$10/12*D476</f>
        <v>984.82272515622208</v>
      </c>
      <c r="I477" s="151">
        <f t="shared" ca="1" si="71"/>
        <v>307004.14453056752</v>
      </c>
      <c r="J477" s="162"/>
      <c r="K477" s="152"/>
      <c r="L477" s="152"/>
      <c r="Q477"/>
      <c r="R477"/>
      <c r="S477"/>
      <c r="T477"/>
      <c r="U477"/>
      <c r="V477"/>
      <c r="W477"/>
      <c r="X477"/>
      <c r="Y477"/>
      <c r="Z477"/>
      <c r="AA477"/>
      <c r="AB477"/>
      <c r="AC477"/>
      <c r="AD477"/>
      <c r="AE477"/>
      <c r="AF477"/>
      <c r="AG477"/>
      <c r="AH477"/>
      <c r="AI477"/>
      <c r="AJ477"/>
      <c r="AK477"/>
      <c r="AL477"/>
      <c r="AM477"/>
      <c r="AN477"/>
      <c r="AO477"/>
      <c r="AP477"/>
      <c r="AQ477"/>
    </row>
    <row r="478" spans="2:43" s="150" customFormat="1" ht="15">
      <c r="B478" s="150">
        <v>466</v>
      </c>
      <c r="C478" s="153">
        <v>58715</v>
      </c>
      <c r="D478" s="151">
        <f t="shared" ca="1" si="67"/>
        <v>4153310.3341981992</v>
      </c>
      <c r="E478" s="151">
        <f t="shared" ca="1" si="68"/>
        <v>306019.32180541131</v>
      </c>
      <c r="F478" s="151">
        <f t="shared" ca="1" si="69"/>
        <v>18503.442556031579</v>
      </c>
      <c r="G478" s="151">
        <f t="shared" ca="1" si="70"/>
        <v>287515.87924937974</v>
      </c>
      <c r="H478" s="151">
        <f ca="1">'HUD - Snapshot'!$K$10/12*D477</f>
        <v>925.17212780157911</v>
      </c>
      <c r="I478" s="151">
        <f t="shared" ca="1" si="71"/>
        <v>306944.49393321289</v>
      </c>
      <c r="J478" s="162"/>
      <c r="K478" s="152"/>
      <c r="L478" s="152"/>
      <c r="Q478"/>
      <c r="R478"/>
      <c r="S478"/>
      <c r="T478"/>
      <c r="U478"/>
      <c r="V478"/>
      <c r="W478"/>
      <c r="X478"/>
      <c r="Y478"/>
      <c r="Z478"/>
      <c r="AA478"/>
      <c r="AB478"/>
      <c r="AC478"/>
      <c r="AD478"/>
      <c r="AE478"/>
      <c r="AF478"/>
      <c r="AG478"/>
      <c r="AH478"/>
      <c r="AI478"/>
      <c r="AJ478"/>
      <c r="AK478"/>
      <c r="AL478"/>
      <c r="AM478"/>
      <c r="AN478"/>
      <c r="AO478"/>
      <c r="AP478"/>
      <c r="AQ478"/>
    </row>
    <row r="479" spans="2:43" s="150" customFormat="1" ht="15">
      <c r="B479" s="150">
        <v>467</v>
      </c>
      <c r="C479" s="153">
        <v>58746</v>
      </c>
      <c r="D479" s="151">
        <f t="shared" ca="1" si="67"/>
        <v>3864596.4721186138</v>
      </c>
      <c r="E479" s="151">
        <f t="shared" ca="1" si="68"/>
        <v>306019.32180541131</v>
      </c>
      <c r="F479" s="151">
        <f t="shared" ca="1" si="69"/>
        <v>17305.459725825829</v>
      </c>
      <c r="G479" s="151">
        <f t="shared" ca="1" si="70"/>
        <v>288713.86207958549</v>
      </c>
      <c r="H479" s="151">
        <f ca="1">'HUD - Snapshot'!$K$10/12*D478</f>
        <v>865.27298629129155</v>
      </c>
      <c r="I479" s="151">
        <f t="shared" ca="1" si="71"/>
        <v>306884.59479170258</v>
      </c>
      <c r="J479" s="162"/>
      <c r="K479" s="152"/>
      <c r="L479" s="152"/>
      <c r="Q479"/>
      <c r="R479"/>
      <c r="S479"/>
      <c r="T479"/>
      <c r="U479"/>
      <c r="V479"/>
      <c r="W479"/>
      <c r="X479"/>
      <c r="Y479"/>
      <c r="Z479"/>
      <c r="AA479"/>
      <c r="AB479"/>
      <c r="AC479"/>
      <c r="AD479"/>
      <c r="AE479"/>
      <c r="AF479"/>
      <c r="AG479"/>
      <c r="AH479"/>
      <c r="AI479"/>
      <c r="AJ479"/>
      <c r="AK479"/>
      <c r="AL479"/>
      <c r="AM479"/>
      <c r="AN479"/>
      <c r="AO479"/>
      <c r="AP479"/>
      <c r="AQ479"/>
    </row>
    <row r="480" spans="2:43" s="150" customFormat="1" ht="15">
      <c r="B480" s="150">
        <v>468</v>
      </c>
      <c r="C480" s="153">
        <v>58776</v>
      </c>
      <c r="D480" s="151">
        <f t="shared" ca="1" si="67"/>
        <v>3574679.6356136966</v>
      </c>
      <c r="E480" s="151">
        <f t="shared" ca="1" si="68"/>
        <v>306019.32180541131</v>
      </c>
      <c r="F480" s="151">
        <f t="shared" ca="1" si="69"/>
        <v>16102.485300494223</v>
      </c>
      <c r="G480" s="151">
        <f t="shared" ca="1" si="70"/>
        <v>289916.83650491707</v>
      </c>
      <c r="H480" s="151">
        <f ca="1">'HUD - Snapshot'!$K$10/12*D479</f>
        <v>805.12426502471124</v>
      </c>
      <c r="I480" s="151">
        <f t="shared" ca="1" si="71"/>
        <v>306824.44607043604</v>
      </c>
      <c r="J480" s="162"/>
      <c r="K480" s="152">
        <f ca="1">SUM(I469:I480)</f>
        <v>3685808.7701378777</v>
      </c>
      <c r="L480" s="152">
        <f ca="1">SUM(F469:F480)</f>
        <v>271538.16945884883</v>
      </c>
      <c r="Q480"/>
      <c r="R480"/>
      <c r="S480"/>
      <c r="T480"/>
      <c r="U480"/>
      <c r="V480"/>
      <c r="W480"/>
      <c r="X480"/>
      <c r="Y480"/>
      <c r="Z480"/>
      <c r="AA480"/>
      <c r="AB480"/>
      <c r="AC480"/>
      <c r="AD480"/>
      <c r="AE480"/>
      <c r="AF480"/>
      <c r="AG480"/>
      <c r="AH480"/>
      <c r="AI480"/>
      <c r="AJ480"/>
      <c r="AK480"/>
      <c r="AL480"/>
      <c r="AM480"/>
      <c r="AN480"/>
      <c r="AO480"/>
      <c r="AP480"/>
      <c r="AQ480"/>
    </row>
    <row r="481" spans="2:43" s="150" customFormat="1" ht="15">
      <c r="B481" s="150">
        <v>469</v>
      </c>
      <c r="C481" s="153">
        <v>58807</v>
      </c>
      <c r="D481" s="151">
        <f t="shared" ca="1" si="67"/>
        <v>3283554.8122900091</v>
      </c>
      <c r="E481" s="151">
        <f t="shared" ca="1" si="68"/>
        <v>306019.32180541131</v>
      </c>
      <c r="F481" s="151">
        <f t="shared" ca="1" si="69"/>
        <v>14894.498481723736</v>
      </c>
      <c r="G481" s="151">
        <f t="shared" ca="1" si="70"/>
        <v>291124.8233236876</v>
      </c>
      <c r="H481" s="151">
        <f ca="1">'HUD - Snapshot'!$K$10/12*D480</f>
        <v>744.72492408618689</v>
      </c>
      <c r="I481" s="151">
        <f t="shared" ca="1" si="71"/>
        <v>306764.0467294975</v>
      </c>
      <c r="J481" s="162"/>
      <c r="K481" s="152"/>
      <c r="L481" s="152"/>
      <c r="Q481"/>
      <c r="R481"/>
      <c r="S481"/>
      <c r="T481"/>
      <c r="U481"/>
      <c r="V481"/>
      <c r="W481"/>
      <c r="X481"/>
      <c r="Y481"/>
      <c r="Z481"/>
      <c r="AA481"/>
      <c r="AB481"/>
      <c r="AC481"/>
      <c r="AD481"/>
      <c r="AE481"/>
      <c r="AF481"/>
      <c r="AG481"/>
      <c r="AH481"/>
      <c r="AI481"/>
      <c r="AJ481"/>
      <c r="AK481"/>
      <c r="AL481"/>
      <c r="AM481"/>
      <c r="AN481"/>
      <c r="AO481"/>
      <c r="AP481"/>
      <c r="AQ481"/>
    </row>
    <row r="482" spans="2:43" s="150" customFormat="1" ht="15">
      <c r="B482" s="150">
        <v>470</v>
      </c>
      <c r="C482" s="153">
        <v>58838</v>
      </c>
      <c r="D482" s="151">
        <f t="shared" ca="1" si="67"/>
        <v>2991216.9688691394</v>
      </c>
      <c r="E482" s="151">
        <f t="shared" ca="1" si="68"/>
        <v>306019.32180541131</v>
      </c>
      <c r="F482" s="151">
        <f t="shared" ca="1" si="69"/>
        <v>13681.478384541704</v>
      </c>
      <c r="G482" s="151">
        <f t="shared" ca="1" si="70"/>
        <v>292337.84342086961</v>
      </c>
      <c r="H482" s="151">
        <f ca="1">'HUD - Snapshot'!$K$10/12*D481</f>
        <v>684.0739192270853</v>
      </c>
      <c r="I482" s="151">
        <f t="shared" ca="1" si="71"/>
        <v>306703.39572463842</v>
      </c>
      <c r="J482" s="162"/>
      <c r="K482" s="152"/>
      <c r="L482" s="152"/>
      <c r="Q482"/>
      <c r="R482"/>
      <c r="S482"/>
      <c r="T482"/>
      <c r="U482"/>
      <c r="V482"/>
      <c r="W482"/>
      <c r="X482"/>
      <c r="Y482"/>
      <c r="Z482"/>
      <c r="AA482"/>
      <c r="AB482"/>
      <c r="AC482"/>
      <c r="AD482"/>
      <c r="AE482"/>
      <c r="AF482"/>
      <c r="AG482"/>
      <c r="AH482"/>
      <c r="AI482"/>
      <c r="AJ482"/>
      <c r="AK482"/>
      <c r="AL482"/>
      <c r="AM482"/>
      <c r="AN482"/>
      <c r="AO482"/>
      <c r="AP482"/>
      <c r="AQ482"/>
    </row>
    <row r="483" spans="2:43" s="150" customFormat="1" ht="15">
      <c r="B483" s="150">
        <v>471</v>
      </c>
      <c r="C483" s="153">
        <v>58866</v>
      </c>
      <c r="D483" s="151">
        <f t="shared" ca="1" si="67"/>
        <v>2697661.0511006829</v>
      </c>
      <c r="E483" s="151">
        <f t="shared" ca="1" si="68"/>
        <v>306019.32180541131</v>
      </c>
      <c r="F483" s="151">
        <f t="shared" ca="1" si="69"/>
        <v>12463.404036954747</v>
      </c>
      <c r="G483" s="151">
        <f t="shared" ca="1" si="70"/>
        <v>293555.91776845657</v>
      </c>
      <c r="H483" s="151">
        <f ca="1">'HUD - Snapshot'!$K$10/12*D482</f>
        <v>623.17020184773742</v>
      </c>
      <c r="I483" s="151">
        <f t="shared" ca="1" si="71"/>
        <v>306642.49200725905</v>
      </c>
      <c r="J483" s="162"/>
      <c r="K483" s="152"/>
      <c r="L483" s="152"/>
      <c r="Q483"/>
      <c r="R483"/>
      <c r="S483"/>
      <c r="T483"/>
      <c r="U483"/>
      <c r="V483"/>
      <c r="W483"/>
      <c r="X483"/>
      <c r="Y483"/>
      <c r="Z483"/>
      <c r="AA483"/>
      <c r="AB483"/>
      <c r="AC483"/>
      <c r="AD483"/>
      <c r="AE483"/>
      <c r="AF483"/>
      <c r="AG483"/>
      <c r="AH483"/>
      <c r="AI483"/>
      <c r="AJ483"/>
      <c r="AK483"/>
      <c r="AL483"/>
      <c r="AM483"/>
      <c r="AN483"/>
      <c r="AO483"/>
      <c r="AP483"/>
      <c r="AQ483"/>
    </row>
    <row r="484" spans="2:43" s="150" customFormat="1" ht="15">
      <c r="B484" s="150">
        <v>472</v>
      </c>
      <c r="C484" s="153">
        <v>58897</v>
      </c>
      <c r="D484" s="151">
        <f t="shared" ca="1" si="67"/>
        <v>2402881.9836748578</v>
      </c>
      <c r="E484" s="151">
        <f t="shared" ca="1" si="68"/>
        <v>306019.32180541131</v>
      </c>
      <c r="F484" s="151">
        <f t="shared" ca="1" si="69"/>
        <v>11240.254379586178</v>
      </c>
      <c r="G484" s="151">
        <f t="shared" ca="1" si="70"/>
        <v>294779.06742582511</v>
      </c>
      <c r="H484" s="151">
        <f ca="1">'HUD - Snapshot'!$K$10/12*D483</f>
        <v>562.01271897930894</v>
      </c>
      <c r="I484" s="151">
        <f t="shared" ca="1" si="71"/>
        <v>306581.33452439064</v>
      </c>
      <c r="J484" s="162"/>
      <c r="K484" s="152"/>
      <c r="L484" s="152"/>
      <c r="Q484"/>
      <c r="R484"/>
      <c r="S484"/>
      <c r="T484"/>
      <c r="U484"/>
      <c r="V484"/>
      <c r="W484"/>
      <c r="X484"/>
      <c r="Y484"/>
      <c r="Z484"/>
      <c r="AA484"/>
      <c r="AB484"/>
      <c r="AC484"/>
      <c r="AD484"/>
      <c r="AE484"/>
      <c r="AF484"/>
      <c r="AG484"/>
      <c r="AH484"/>
      <c r="AI484"/>
      <c r="AJ484"/>
      <c r="AK484"/>
      <c r="AL484"/>
      <c r="AM484"/>
      <c r="AN484"/>
      <c r="AO484"/>
      <c r="AP484"/>
      <c r="AQ484"/>
    </row>
    <row r="485" spans="2:43" s="150" customFormat="1" ht="15">
      <c r="B485" s="150">
        <v>473</v>
      </c>
      <c r="C485" s="153">
        <v>58927</v>
      </c>
      <c r="D485" s="151">
        <f t="shared" ca="1" si="67"/>
        <v>2106874.6701347586</v>
      </c>
      <c r="E485" s="151">
        <f t="shared" ca="1" si="68"/>
        <v>306019.32180541131</v>
      </c>
      <c r="F485" s="151">
        <f t="shared" ca="1" si="69"/>
        <v>10012.008265311908</v>
      </c>
      <c r="G485" s="151">
        <f t="shared" ca="1" si="70"/>
        <v>296007.31354009942</v>
      </c>
      <c r="H485" s="151">
        <f ca="1">'HUD - Snapshot'!$K$10/12*D484</f>
        <v>500.60041326559542</v>
      </c>
      <c r="I485" s="151">
        <f t="shared" ca="1" si="71"/>
        <v>306519.92221867689</v>
      </c>
      <c r="J485" s="162"/>
      <c r="K485" s="152"/>
      <c r="L485" s="152"/>
      <c r="Q485"/>
      <c r="R485"/>
      <c r="S485"/>
      <c r="T485"/>
      <c r="U485"/>
      <c r="V485"/>
      <c r="W485"/>
      <c r="X485"/>
      <c r="Y485"/>
      <c r="Z485"/>
      <c r="AA485"/>
      <c r="AB485"/>
      <c r="AC485"/>
      <c r="AD485"/>
      <c r="AE485"/>
      <c r="AF485"/>
      <c r="AG485"/>
      <c r="AH485"/>
      <c r="AI485"/>
      <c r="AJ485"/>
      <c r="AK485"/>
      <c r="AL485"/>
      <c r="AM485"/>
      <c r="AN485"/>
      <c r="AO485"/>
      <c r="AP485"/>
      <c r="AQ485"/>
    </row>
    <row r="486" spans="2:43" s="150" customFormat="1" ht="15">
      <c r="B486" s="150">
        <v>474</v>
      </c>
      <c r="C486" s="153">
        <v>58958</v>
      </c>
      <c r="D486" s="151">
        <f t="shared" ca="1" si="67"/>
        <v>1809633.9927882422</v>
      </c>
      <c r="E486" s="151">
        <f t="shared" ca="1" si="68"/>
        <v>306019.32180541131</v>
      </c>
      <c r="F486" s="151">
        <f t="shared" ca="1" si="69"/>
        <v>8778.644458894827</v>
      </c>
      <c r="G486" s="151">
        <f t="shared" ca="1" si="70"/>
        <v>297240.67734651646</v>
      </c>
      <c r="H486" s="151">
        <f ca="1">'HUD - Snapshot'!$K$10/12*D485</f>
        <v>438.9322229447414</v>
      </c>
      <c r="I486" s="151">
        <f t="shared" ca="1" si="71"/>
        <v>306458.25402835605</v>
      </c>
      <c r="J486" s="162"/>
      <c r="K486" s="152"/>
      <c r="L486" s="152"/>
      <c r="Q486"/>
      <c r="R486"/>
      <c r="S486"/>
      <c r="T486"/>
      <c r="U486"/>
      <c r="V486"/>
      <c r="W486"/>
      <c r="X486"/>
      <c r="Y486"/>
      <c r="Z486"/>
      <c r="AA486"/>
      <c r="AB486"/>
      <c r="AC486"/>
      <c r="AD486"/>
      <c r="AE486"/>
      <c r="AF486"/>
      <c r="AG486"/>
      <c r="AH486"/>
      <c r="AI486"/>
      <c r="AJ486"/>
      <c r="AK486"/>
      <c r="AL486"/>
      <c r="AM486"/>
      <c r="AN486"/>
      <c r="AO486"/>
      <c r="AP486"/>
      <c r="AQ486"/>
    </row>
    <row r="487" spans="2:43" s="150" customFormat="1" ht="15">
      <c r="B487" s="150">
        <v>475</v>
      </c>
      <c r="C487" s="153">
        <v>58988</v>
      </c>
      <c r="D487" s="151">
        <f t="shared" ca="1" si="67"/>
        <v>1511154.8126194486</v>
      </c>
      <c r="E487" s="151">
        <f t="shared" ca="1" si="68"/>
        <v>306019.32180541131</v>
      </c>
      <c r="F487" s="151">
        <f t="shared" ca="1" si="69"/>
        <v>7540.1416366176754</v>
      </c>
      <c r="G487" s="151">
        <f t="shared" ca="1" si="70"/>
        <v>298479.18016879365</v>
      </c>
      <c r="H487" s="151">
        <f ca="1">'HUD - Snapshot'!$K$10/12*D486</f>
        <v>377.00708183088381</v>
      </c>
      <c r="I487" s="151">
        <f t="shared" ca="1" si="71"/>
        <v>306396.32888724218</v>
      </c>
      <c r="J487" s="162"/>
      <c r="K487" s="152"/>
      <c r="L487" s="152"/>
      <c r="Q487"/>
      <c r="R487"/>
      <c r="S487"/>
      <c r="T487"/>
      <c r="U487"/>
      <c r="V487"/>
      <c r="W487"/>
      <c r="X487"/>
      <c r="Y487"/>
      <c r="Z487"/>
      <c r="AA487"/>
      <c r="AB487"/>
      <c r="AC487"/>
      <c r="AD487"/>
      <c r="AE487"/>
      <c r="AF487"/>
      <c r="AG487"/>
      <c r="AH487"/>
      <c r="AI487"/>
      <c r="AJ487"/>
      <c r="AK487"/>
      <c r="AL487"/>
      <c r="AM487"/>
      <c r="AN487"/>
      <c r="AO487"/>
      <c r="AP487"/>
      <c r="AQ487"/>
    </row>
    <row r="488" spans="2:43" s="150" customFormat="1" ht="15">
      <c r="B488" s="150">
        <v>476</v>
      </c>
      <c r="C488" s="153">
        <v>59019</v>
      </c>
      <c r="D488" s="151">
        <f t="shared" ca="1" si="67"/>
        <v>1211431.9691999517</v>
      </c>
      <c r="E488" s="151">
        <f t="shared" ca="1" si="68"/>
        <v>306019.32180541131</v>
      </c>
      <c r="F488" s="151">
        <f t="shared" ca="1" si="69"/>
        <v>6296.478385914369</v>
      </c>
      <c r="G488" s="151">
        <f t="shared" ca="1" si="70"/>
        <v>299722.84341949696</v>
      </c>
      <c r="H488" s="151">
        <f ca="1">'HUD - Snapshot'!$K$10/12*D487</f>
        <v>314.8239192957185</v>
      </c>
      <c r="I488" s="151">
        <f t="shared" ca="1" si="71"/>
        <v>306334.14572470705</v>
      </c>
      <c r="J488" s="162"/>
      <c r="K488" s="152"/>
      <c r="L488" s="152"/>
      <c r="Q488"/>
      <c r="R488"/>
      <c r="S488"/>
      <c r="T488"/>
      <c r="U488"/>
      <c r="V488"/>
      <c r="W488"/>
      <c r="X488"/>
      <c r="Y488"/>
      <c r="Z488"/>
      <c r="AA488"/>
      <c r="AB488"/>
      <c r="AC488"/>
      <c r="AD488"/>
      <c r="AE488"/>
      <c r="AF488"/>
      <c r="AG488"/>
      <c r="AH488"/>
      <c r="AI488"/>
      <c r="AJ488"/>
      <c r="AK488"/>
      <c r="AL488"/>
      <c r="AM488"/>
      <c r="AN488"/>
      <c r="AO488"/>
      <c r="AP488"/>
      <c r="AQ488"/>
    </row>
    <row r="489" spans="2:43" s="150" customFormat="1" ht="15">
      <c r="B489" s="150">
        <v>477</v>
      </c>
      <c r="C489" s="153">
        <v>59050</v>
      </c>
      <c r="D489" s="151">
        <f t="shared" ca="1" si="67"/>
        <v>910460.28059954022</v>
      </c>
      <c r="E489" s="151">
        <f t="shared" ca="1" si="68"/>
        <v>306019.32180541131</v>
      </c>
      <c r="F489" s="151">
        <f t="shared" ca="1" si="69"/>
        <v>5047.6332049997991</v>
      </c>
      <c r="G489" s="151">
        <f t="shared" ca="1" si="70"/>
        <v>300971.68860041152</v>
      </c>
      <c r="H489" s="151">
        <f ca="1">'HUD - Snapshot'!$K$10/12*D488</f>
        <v>252.38166024998995</v>
      </c>
      <c r="I489" s="151">
        <f t="shared" ca="1" si="71"/>
        <v>306271.70346566133</v>
      </c>
      <c r="J489" s="162"/>
      <c r="K489" s="152"/>
      <c r="L489" s="152"/>
      <c r="Q489"/>
      <c r="R489"/>
      <c r="S489"/>
      <c r="T489"/>
      <c r="U489"/>
      <c r="V489"/>
      <c r="W489"/>
      <c r="X489"/>
      <c r="Y489"/>
      <c r="Z489"/>
      <c r="AA489"/>
      <c r="AB489"/>
      <c r="AC489"/>
      <c r="AD489"/>
      <c r="AE489"/>
      <c r="AF489"/>
      <c r="AG489"/>
      <c r="AH489"/>
      <c r="AI489"/>
      <c r="AJ489"/>
      <c r="AK489"/>
      <c r="AL489"/>
      <c r="AM489"/>
      <c r="AN489"/>
      <c r="AO489"/>
      <c r="AP489"/>
      <c r="AQ489"/>
    </row>
    <row r="490" spans="2:43" s="150" customFormat="1" ht="15">
      <c r="B490" s="150">
        <v>478</v>
      </c>
      <c r="C490" s="153">
        <v>59080</v>
      </c>
      <c r="D490" s="151">
        <f t="shared" ca="1" si="67"/>
        <v>608234.543296627</v>
      </c>
      <c r="E490" s="151">
        <f t="shared" ca="1" si="68"/>
        <v>306019.32180541131</v>
      </c>
      <c r="F490" s="151">
        <f t="shared" ca="1" si="69"/>
        <v>3793.584502498084</v>
      </c>
      <c r="G490" s="151">
        <f t="shared" ca="1" si="70"/>
        <v>302225.73730291321</v>
      </c>
      <c r="H490" s="151">
        <f ca="1">'HUD - Snapshot'!$K$10/12*D489</f>
        <v>189.67922512490424</v>
      </c>
      <c r="I490" s="151">
        <f t="shared" ca="1" si="71"/>
        <v>306209.00103053619</v>
      </c>
      <c r="J490" s="162"/>
      <c r="K490" s="152"/>
      <c r="L490" s="152"/>
      <c r="Q490"/>
      <c r="R490"/>
      <c r="S490"/>
      <c r="T490"/>
      <c r="U490"/>
      <c r="V490"/>
      <c r="W490"/>
      <c r="X490"/>
      <c r="Y490"/>
      <c r="Z490"/>
      <c r="AA490"/>
      <c r="AB490"/>
      <c r="AC490"/>
      <c r="AD490"/>
      <c r="AE490"/>
      <c r="AF490"/>
      <c r="AG490"/>
      <c r="AH490"/>
      <c r="AI490"/>
      <c r="AJ490"/>
      <c r="AK490"/>
      <c r="AL490"/>
      <c r="AM490"/>
      <c r="AN490"/>
      <c r="AO490"/>
      <c r="AP490"/>
      <c r="AQ490"/>
    </row>
    <row r="491" spans="2:43" s="150" customFormat="1" ht="15">
      <c r="B491" s="150">
        <v>479</v>
      </c>
      <c r="C491" s="153">
        <v>59111</v>
      </c>
      <c r="D491" s="151">
        <f t="shared" ca="1" si="67"/>
        <v>304749.53208828496</v>
      </c>
      <c r="E491" s="151">
        <f t="shared" ca="1" si="68"/>
        <v>306019.32180541131</v>
      </c>
      <c r="F491" s="151">
        <f t="shared" ca="1" si="69"/>
        <v>2534.3105970692791</v>
      </c>
      <c r="G491" s="151">
        <f t="shared" ca="1" si="70"/>
        <v>303485.01120834204</v>
      </c>
      <c r="H491" s="151">
        <f ca="1">'HUD - Snapshot'!$K$10/12*D490</f>
        <v>126.71552985346396</v>
      </c>
      <c r="I491" s="151">
        <f t="shared" ca="1" si="71"/>
        <v>306146.03733526479</v>
      </c>
      <c r="J491" s="162"/>
      <c r="K491" s="152"/>
      <c r="L491" s="152"/>
      <c r="Q491"/>
      <c r="R491"/>
      <c r="S491"/>
      <c r="T491"/>
      <c r="U491"/>
      <c r="V491"/>
      <c r="W491"/>
      <c r="X491"/>
      <c r="Y491"/>
      <c r="Z491"/>
      <c r="AA491"/>
      <c r="AB491"/>
      <c r="AC491"/>
      <c r="AD491"/>
      <c r="AE491"/>
      <c r="AF491"/>
      <c r="AG491"/>
      <c r="AH491"/>
      <c r="AI491"/>
      <c r="AJ491"/>
      <c r="AK491"/>
      <c r="AL491"/>
      <c r="AM491"/>
      <c r="AN491"/>
      <c r="AO491"/>
      <c r="AP491"/>
      <c r="AQ491"/>
    </row>
    <row r="492" spans="2:43" s="150" customFormat="1" ht="15">
      <c r="B492" s="150">
        <v>480</v>
      </c>
      <c r="C492" s="153">
        <v>59141</v>
      </c>
      <c r="D492" s="151">
        <f t="shared" ca="1" si="67"/>
        <v>-9.1851688921451569E-8</v>
      </c>
      <c r="E492" s="151">
        <f t="shared" ca="1" si="68"/>
        <v>306019.32180541131</v>
      </c>
      <c r="F492" s="151">
        <f t="shared" ca="1" si="69"/>
        <v>1269.7897170345207</v>
      </c>
      <c r="G492" s="151">
        <f t="shared" ca="1" si="70"/>
        <v>304749.53208837681</v>
      </c>
      <c r="H492" s="151">
        <f ca="1">'HUD - Snapshot'!$K$10/12*D491</f>
        <v>63.489485851726037</v>
      </c>
      <c r="I492" s="151">
        <f t="shared" ca="1" si="71"/>
        <v>306082.81129126303</v>
      </c>
      <c r="J492" s="162"/>
      <c r="K492" s="152">
        <f ca="1">SUM(I481:I492)</f>
        <v>3677109.4729674938</v>
      </c>
      <c r="L492" s="152">
        <f ca="1">SUM(F481:F492)</f>
        <v>97552.226051146819</v>
      </c>
      <c r="Q492"/>
      <c r="R492"/>
      <c r="S492"/>
      <c r="T492"/>
      <c r="U492"/>
      <c r="V492"/>
      <c r="W492"/>
      <c r="X492"/>
      <c r="Y492"/>
      <c r="Z492"/>
      <c r="AA492"/>
      <c r="AB492"/>
      <c r="AC492"/>
      <c r="AD492"/>
      <c r="AE492"/>
      <c r="AF492"/>
      <c r="AG492"/>
      <c r="AH492"/>
      <c r="AI492"/>
      <c r="AJ492"/>
      <c r="AK492"/>
      <c r="AL492"/>
      <c r="AM492"/>
      <c r="AN492"/>
      <c r="AO492"/>
      <c r="AP492"/>
      <c r="AQ492"/>
    </row>
    <row r="493" spans="2:43" s="150" customFormat="1" ht="15">
      <c r="D493" s="156"/>
      <c r="E493" s="156"/>
      <c r="F493" s="156"/>
      <c r="G493" s="156"/>
      <c r="H493" s="156"/>
      <c r="I493" s="156"/>
      <c r="J493" s="163"/>
      <c r="Q493"/>
      <c r="R493"/>
      <c r="S493"/>
      <c r="T493"/>
      <c r="U493"/>
      <c r="V493"/>
      <c r="W493"/>
      <c r="X493"/>
      <c r="Y493"/>
      <c r="Z493"/>
      <c r="AA493"/>
      <c r="AB493"/>
      <c r="AC493"/>
      <c r="AD493"/>
      <c r="AE493"/>
      <c r="AF493"/>
      <c r="AG493"/>
      <c r="AH493"/>
      <c r="AI493"/>
      <c r="AJ493"/>
      <c r="AK493"/>
      <c r="AL493"/>
      <c r="AM493"/>
      <c r="AN493"/>
      <c r="AO493"/>
      <c r="AP493"/>
      <c r="AQ493"/>
    </row>
    <row r="494" spans="2:43" ht="15">
      <c r="Q494"/>
      <c r="R494"/>
      <c r="S494"/>
      <c r="T494"/>
      <c r="U494"/>
      <c r="V494"/>
      <c r="W494"/>
      <c r="X494"/>
      <c r="Y494"/>
      <c r="Z494"/>
      <c r="AA494"/>
      <c r="AB494"/>
      <c r="AC494"/>
      <c r="AD494"/>
      <c r="AE494"/>
      <c r="AF494"/>
      <c r="AG494"/>
      <c r="AH494"/>
      <c r="AI494"/>
      <c r="AJ494"/>
      <c r="AK494"/>
      <c r="AL494"/>
      <c r="AM494"/>
      <c r="AN494"/>
      <c r="AO494"/>
      <c r="AP494"/>
      <c r="AQ494"/>
    </row>
    <row r="495" spans="2:43" ht="15">
      <c r="Q495"/>
      <c r="R495"/>
      <c r="S495"/>
      <c r="T495"/>
      <c r="U495"/>
      <c r="V495"/>
      <c r="W495"/>
      <c r="X495"/>
      <c r="Y495"/>
      <c r="Z495"/>
      <c r="AA495"/>
      <c r="AB495"/>
      <c r="AC495"/>
      <c r="AD495"/>
      <c r="AE495"/>
      <c r="AF495"/>
      <c r="AG495"/>
      <c r="AH495"/>
      <c r="AI495"/>
      <c r="AJ495"/>
      <c r="AK495"/>
      <c r="AL495"/>
      <c r="AM495"/>
      <c r="AN495"/>
      <c r="AO495"/>
      <c r="AP495"/>
      <c r="AQ495"/>
    </row>
    <row r="496" spans="2:43" ht="15">
      <c r="Q496"/>
      <c r="R496"/>
      <c r="S496"/>
      <c r="T496"/>
      <c r="U496"/>
      <c r="V496"/>
      <c r="W496"/>
      <c r="X496"/>
      <c r="Y496"/>
      <c r="Z496"/>
      <c r="AA496"/>
      <c r="AB496"/>
      <c r="AC496"/>
      <c r="AD496"/>
      <c r="AE496"/>
      <c r="AF496"/>
      <c r="AG496"/>
      <c r="AH496"/>
      <c r="AI496"/>
      <c r="AJ496"/>
      <c r="AK496"/>
      <c r="AL496"/>
      <c r="AM496"/>
      <c r="AN496"/>
      <c r="AO496"/>
      <c r="AP496"/>
      <c r="AQ496"/>
    </row>
    <row r="497" spans="11:43" ht="15">
      <c r="Q497"/>
      <c r="R497"/>
      <c r="S497"/>
      <c r="T497"/>
      <c r="U497"/>
      <c r="V497"/>
      <c r="W497"/>
      <c r="X497"/>
      <c r="Y497"/>
      <c r="Z497"/>
      <c r="AA497"/>
      <c r="AB497"/>
      <c r="AC497"/>
      <c r="AD497"/>
      <c r="AE497"/>
      <c r="AF497"/>
      <c r="AG497"/>
      <c r="AH497"/>
      <c r="AI497"/>
      <c r="AJ497"/>
      <c r="AK497"/>
      <c r="AL497"/>
      <c r="AM497"/>
      <c r="AN497"/>
      <c r="AO497"/>
      <c r="AP497"/>
      <c r="AQ497"/>
    </row>
    <row r="498" spans="11:43" ht="15">
      <c r="Q498"/>
      <c r="R498"/>
      <c r="S498"/>
      <c r="T498"/>
      <c r="U498"/>
      <c r="V498"/>
      <c r="W498"/>
      <c r="X498"/>
      <c r="Y498"/>
      <c r="Z498"/>
      <c r="AA498"/>
      <c r="AB498"/>
      <c r="AC498"/>
      <c r="AD498"/>
      <c r="AE498"/>
      <c r="AF498"/>
      <c r="AG498"/>
      <c r="AH498"/>
      <c r="AI498"/>
      <c r="AJ498"/>
      <c r="AK498"/>
      <c r="AL498"/>
      <c r="AM498"/>
      <c r="AN498"/>
      <c r="AO498"/>
      <c r="AP498"/>
      <c r="AQ498"/>
    </row>
    <row r="499" spans="11:43" ht="15">
      <c r="Q499"/>
      <c r="R499"/>
      <c r="S499"/>
      <c r="T499"/>
      <c r="U499"/>
      <c r="V499"/>
      <c r="W499"/>
      <c r="X499"/>
      <c r="Y499"/>
      <c r="Z499"/>
      <c r="AA499"/>
      <c r="AB499"/>
      <c r="AC499"/>
      <c r="AD499"/>
      <c r="AE499"/>
      <c r="AF499"/>
      <c r="AG499"/>
      <c r="AH499"/>
      <c r="AI499"/>
      <c r="AJ499"/>
      <c r="AK499"/>
      <c r="AL499"/>
      <c r="AM499"/>
      <c r="AN499"/>
      <c r="AO499"/>
      <c r="AP499"/>
      <c r="AQ499"/>
    </row>
    <row r="500" spans="11:43" ht="15">
      <c r="Q500"/>
      <c r="R500"/>
      <c r="S500"/>
      <c r="T500"/>
      <c r="U500"/>
      <c r="V500"/>
      <c r="W500"/>
      <c r="X500"/>
      <c r="Y500"/>
      <c r="Z500"/>
      <c r="AA500"/>
      <c r="AB500"/>
      <c r="AC500"/>
      <c r="AD500"/>
      <c r="AE500"/>
      <c r="AF500"/>
      <c r="AG500"/>
      <c r="AH500"/>
      <c r="AI500"/>
      <c r="AJ500"/>
      <c r="AK500"/>
      <c r="AL500"/>
      <c r="AM500"/>
      <c r="AN500"/>
      <c r="AO500"/>
      <c r="AP500"/>
      <c r="AQ500"/>
    </row>
    <row r="501" spans="11:43" ht="15">
      <c r="Q501"/>
      <c r="R501"/>
      <c r="S501"/>
      <c r="T501"/>
      <c r="U501"/>
      <c r="V501"/>
      <c r="W501"/>
      <c r="X501"/>
      <c r="Y501"/>
      <c r="Z501"/>
      <c r="AA501"/>
      <c r="AB501"/>
      <c r="AC501"/>
      <c r="AD501"/>
      <c r="AE501"/>
      <c r="AF501"/>
      <c r="AG501"/>
      <c r="AH501"/>
      <c r="AI501"/>
      <c r="AJ501"/>
      <c r="AK501"/>
      <c r="AL501"/>
      <c r="AM501"/>
      <c r="AN501"/>
      <c r="AO501"/>
      <c r="AP501"/>
      <c r="AQ501"/>
    </row>
    <row r="502" spans="11:43" ht="15">
      <c r="Q502"/>
      <c r="R502"/>
      <c r="S502"/>
      <c r="T502"/>
      <c r="U502"/>
      <c r="V502"/>
      <c r="W502"/>
      <c r="X502"/>
      <c r="Y502"/>
      <c r="Z502"/>
      <c r="AA502"/>
      <c r="AB502"/>
      <c r="AC502"/>
      <c r="AD502"/>
      <c r="AE502"/>
      <c r="AF502"/>
      <c r="AG502"/>
      <c r="AH502"/>
      <c r="AI502"/>
      <c r="AJ502"/>
      <c r="AK502"/>
      <c r="AL502"/>
      <c r="AM502"/>
      <c r="AN502"/>
      <c r="AO502"/>
      <c r="AP502"/>
      <c r="AQ502"/>
    </row>
    <row r="503" spans="11:43" ht="15">
      <c r="Q503"/>
      <c r="R503"/>
      <c r="S503"/>
      <c r="T503"/>
      <c r="U503"/>
      <c r="V503"/>
      <c r="W503"/>
      <c r="X503"/>
      <c r="Y503"/>
      <c r="Z503"/>
      <c r="AA503"/>
      <c r="AB503"/>
      <c r="AC503"/>
      <c r="AD503"/>
      <c r="AE503"/>
      <c r="AF503"/>
      <c r="AG503"/>
      <c r="AH503"/>
      <c r="AI503"/>
      <c r="AJ503"/>
      <c r="AK503"/>
      <c r="AL503"/>
      <c r="AM503"/>
      <c r="AN503"/>
      <c r="AO503"/>
      <c r="AP503"/>
      <c r="AQ503"/>
    </row>
    <row r="504" spans="11:43" ht="15">
      <c r="K504" s="148"/>
      <c r="L504" s="148"/>
      <c r="Q504"/>
      <c r="R504"/>
      <c r="S504"/>
      <c r="T504"/>
      <c r="U504"/>
      <c r="V504"/>
      <c r="W504"/>
      <c r="X504"/>
      <c r="Y504"/>
      <c r="Z504"/>
      <c r="AA504"/>
      <c r="AB504"/>
      <c r="AC504"/>
      <c r="AD504"/>
      <c r="AE504"/>
      <c r="AF504"/>
      <c r="AG504"/>
      <c r="AH504"/>
      <c r="AI504"/>
      <c r="AJ504"/>
      <c r="AK504"/>
      <c r="AL504"/>
      <c r="AM504"/>
      <c r="AN504"/>
      <c r="AO504"/>
      <c r="AP504"/>
      <c r="AQ504"/>
    </row>
    <row r="505" spans="11:43" ht="15">
      <c r="Q505"/>
      <c r="R505"/>
      <c r="S505"/>
      <c r="T505"/>
      <c r="U505"/>
      <c r="V505"/>
      <c r="W505"/>
      <c r="X505"/>
      <c r="Y505"/>
      <c r="Z505"/>
      <c r="AA505"/>
      <c r="AB505"/>
      <c r="AC505"/>
      <c r="AD505"/>
      <c r="AE505"/>
      <c r="AF505"/>
      <c r="AG505"/>
      <c r="AH505"/>
      <c r="AI505"/>
      <c r="AJ505"/>
      <c r="AK505"/>
      <c r="AL505"/>
      <c r="AM505"/>
      <c r="AN505"/>
      <c r="AO505"/>
      <c r="AP505"/>
      <c r="AQ505"/>
    </row>
    <row r="506" spans="11:43" ht="15">
      <c r="Q506"/>
      <c r="R506"/>
      <c r="S506"/>
      <c r="T506"/>
      <c r="U506"/>
      <c r="V506"/>
      <c r="W506"/>
      <c r="X506"/>
      <c r="Y506"/>
      <c r="Z506"/>
      <c r="AA506"/>
      <c r="AB506"/>
      <c r="AC506"/>
      <c r="AD506"/>
      <c r="AE506"/>
      <c r="AF506"/>
      <c r="AG506"/>
      <c r="AH506"/>
      <c r="AI506"/>
      <c r="AJ506"/>
      <c r="AK506"/>
      <c r="AL506"/>
      <c r="AM506"/>
      <c r="AN506"/>
      <c r="AO506"/>
      <c r="AP506"/>
      <c r="AQ506"/>
    </row>
    <row r="507" spans="11:43" ht="15">
      <c r="Q507"/>
      <c r="R507"/>
      <c r="S507"/>
      <c r="T507"/>
      <c r="U507"/>
      <c r="V507"/>
      <c r="W507"/>
      <c r="X507"/>
      <c r="Y507"/>
      <c r="Z507"/>
      <c r="AA507"/>
      <c r="AB507"/>
      <c r="AC507"/>
      <c r="AD507"/>
      <c r="AE507"/>
      <c r="AF507"/>
      <c r="AG507"/>
      <c r="AH507"/>
      <c r="AI507"/>
      <c r="AJ507"/>
      <c r="AK507"/>
      <c r="AL507"/>
      <c r="AM507"/>
      <c r="AN507"/>
      <c r="AO507"/>
      <c r="AP507"/>
      <c r="AQ507"/>
    </row>
    <row r="516" spans="11:12">
      <c r="K516" s="148"/>
      <c r="L516" s="148"/>
    </row>
    <row r="528" spans="11:12">
      <c r="K528" s="148"/>
      <c r="L528" s="148"/>
    </row>
    <row r="540" spans="11:12">
      <c r="K540" s="148"/>
      <c r="L540" s="148"/>
    </row>
    <row r="552" spans="11:12">
      <c r="K552" s="148"/>
      <c r="L552" s="148"/>
    </row>
    <row r="564" spans="11:12">
      <c r="K564" s="148"/>
      <c r="L564" s="148"/>
    </row>
    <row r="576" spans="11:12">
      <c r="K576" s="148"/>
      <c r="L576" s="148"/>
    </row>
    <row r="588" spans="11:12">
      <c r="K588" s="148"/>
      <c r="L588" s="148"/>
    </row>
    <row r="600" spans="11:12">
      <c r="K600" s="148"/>
      <c r="L600" s="148"/>
    </row>
    <row r="612" spans="11:12">
      <c r="K612" s="148"/>
      <c r="L612" s="148"/>
    </row>
    <row r="624" spans="11:12">
      <c r="K624" s="148"/>
      <c r="L624" s="148"/>
    </row>
    <row r="636" spans="11:12">
      <c r="K636" s="148"/>
      <c r="L636" s="148"/>
    </row>
    <row r="648" spans="11:12">
      <c r="K648" s="148"/>
      <c r="L648" s="148"/>
    </row>
    <row r="660" spans="11:12">
      <c r="K660" s="148"/>
      <c r="L660" s="148"/>
    </row>
    <row r="672" spans="11:12">
      <c r="K672" s="148"/>
      <c r="L672" s="148"/>
    </row>
    <row r="684" spans="11:12">
      <c r="K684" s="148"/>
      <c r="L684" s="148"/>
    </row>
    <row r="696" spans="11:12">
      <c r="K696" s="148"/>
      <c r="L696" s="148"/>
    </row>
    <row r="708" spans="11:12">
      <c r="K708" s="148"/>
      <c r="L708" s="148"/>
    </row>
    <row r="720" spans="11:12">
      <c r="K720" s="148"/>
      <c r="L720" s="148"/>
    </row>
    <row r="732" spans="11:12">
      <c r="K732" s="148"/>
      <c r="L732" s="148"/>
    </row>
    <row r="744" spans="11:12">
      <c r="K744" s="148"/>
      <c r="L744" s="148"/>
    </row>
    <row r="756" spans="11:12">
      <c r="K756" s="148"/>
      <c r="L756" s="148"/>
    </row>
    <row r="768" spans="11:12">
      <c r="K768" s="148"/>
      <c r="L768" s="148"/>
    </row>
    <row r="780" spans="11:12">
      <c r="K780" s="148"/>
      <c r="L780" s="148"/>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1972A-6575-3648-BACF-3F5B2D37AB54}">
  <dimension ref="B2:Z17"/>
  <sheetViews>
    <sheetView showGridLines="0" workbookViewId="0">
      <selection activeCell="D23" sqref="D23"/>
    </sheetView>
  </sheetViews>
  <sheetFormatPr baseColWidth="10" defaultRowHeight="14"/>
  <cols>
    <col min="1" max="1" width="3.1640625" style="16" customWidth="1"/>
    <col min="2" max="2" width="21.83203125" style="16" customWidth="1"/>
    <col min="3" max="3" width="11.33203125" style="16" customWidth="1"/>
    <col min="4" max="4" width="19.83203125" style="16" customWidth="1"/>
    <col min="5" max="5" width="16.83203125" style="16" customWidth="1"/>
    <col min="6" max="6" width="9.33203125" style="16" customWidth="1"/>
    <col min="7" max="7" width="11" style="16" customWidth="1"/>
    <col min="8" max="8" width="6.83203125" style="16" customWidth="1"/>
    <col min="9" max="9" width="10.83203125" style="16"/>
    <col min="10" max="10" width="8.33203125" style="16" customWidth="1"/>
    <col min="11" max="11" width="20.6640625" style="16" customWidth="1"/>
    <col min="12" max="12" width="20.33203125" style="16" customWidth="1"/>
    <col min="13" max="13" width="9.33203125" style="16" customWidth="1"/>
    <col min="14" max="14" width="11" style="16" bestFit="1" customWidth="1"/>
    <col min="15" max="15" width="11.1640625" style="16" bestFit="1" customWidth="1"/>
    <col min="16" max="16" width="10.33203125" style="16" customWidth="1"/>
    <col min="17" max="17" width="35.83203125" style="16" customWidth="1"/>
    <col min="18" max="18" width="29" style="16" customWidth="1"/>
    <col min="19" max="19" width="21.6640625" style="16" customWidth="1"/>
    <col min="20" max="20" width="23.83203125" style="16" customWidth="1"/>
    <col min="21" max="21" width="14.5" style="16" bestFit="1" customWidth="1"/>
    <col min="22" max="22" width="12" style="16" customWidth="1"/>
    <col min="23" max="23" width="11.5" style="16" customWidth="1"/>
    <col min="24" max="24" width="10.83203125" style="16"/>
    <col min="25" max="25" width="13.6640625" style="16" customWidth="1"/>
    <col min="26" max="26" width="75.1640625" style="16" bestFit="1" customWidth="1"/>
    <col min="27" max="27" width="26" style="16" customWidth="1"/>
    <col min="28" max="28" width="10.83203125" style="16"/>
    <col min="29" max="29" width="54.1640625" style="16" bestFit="1" customWidth="1"/>
    <col min="30" max="30" width="19.1640625" style="16" customWidth="1"/>
    <col min="31" max="31" width="19" style="16" bestFit="1" customWidth="1"/>
    <col min="32" max="32" width="10.83203125" style="16"/>
    <col min="33" max="33" width="10.1640625" style="16" bestFit="1" customWidth="1"/>
    <col min="34" max="34" width="75.1640625" style="16" bestFit="1" customWidth="1"/>
    <col min="35" max="16384" width="10.83203125" style="16"/>
  </cols>
  <sheetData>
    <row r="2" spans="2:26">
      <c r="B2" s="235" t="str">
        <f>'HUD - CashFlow'!R5</f>
        <v>8011 KREFELD DR</v>
      </c>
      <c r="P2" s="20" t="s">
        <v>176</v>
      </c>
    </row>
    <row r="3" spans="2:26">
      <c r="P3" s="24">
        <f ca="1">TODAY()</f>
        <v>44838</v>
      </c>
    </row>
    <row r="4" spans="2:26" ht="18">
      <c r="B4" s="26" t="s">
        <v>441</v>
      </c>
    </row>
    <row r="7" spans="2:26" ht="30">
      <c r="B7" s="266" t="s">
        <v>383</v>
      </c>
      <c r="C7" s="266" t="s">
        <v>442</v>
      </c>
      <c r="D7" s="266" t="s">
        <v>384</v>
      </c>
      <c r="E7" s="266" t="s">
        <v>385</v>
      </c>
      <c r="F7" s="266" t="s">
        <v>386</v>
      </c>
      <c r="G7" s="266" t="s">
        <v>362</v>
      </c>
      <c r="H7" s="266" t="s">
        <v>387</v>
      </c>
      <c r="I7" s="266" t="s">
        <v>388</v>
      </c>
      <c r="J7" s="266" t="s">
        <v>389</v>
      </c>
      <c r="K7" s="266" t="s">
        <v>390</v>
      </c>
      <c r="L7" s="266" t="s">
        <v>391</v>
      </c>
      <c r="M7" s="266" t="s">
        <v>392</v>
      </c>
      <c r="N7" s="266" t="s">
        <v>445</v>
      </c>
      <c r="O7" s="266" t="s">
        <v>446</v>
      </c>
      <c r="P7" s="266" t="s">
        <v>447</v>
      </c>
      <c r="Q7" s="267" t="s">
        <v>448</v>
      </c>
    </row>
    <row r="8" spans="2:26">
      <c r="B8" s="338" t="s">
        <v>393</v>
      </c>
      <c r="C8" s="338" t="s">
        <v>443</v>
      </c>
      <c r="D8" s="338" t="s">
        <v>394</v>
      </c>
      <c r="E8" s="338" t="s">
        <v>395</v>
      </c>
      <c r="F8" s="627">
        <v>327</v>
      </c>
      <c r="G8" s="338" t="s">
        <v>396</v>
      </c>
      <c r="H8" s="338" t="s">
        <v>397</v>
      </c>
      <c r="I8" s="338" t="s">
        <v>398</v>
      </c>
      <c r="J8" s="338" t="s">
        <v>399</v>
      </c>
      <c r="K8" s="338" t="s">
        <v>400</v>
      </c>
      <c r="L8" s="338" t="s">
        <v>401</v>
      </c>
      <c r="M8" s="628">
        <v>2021</v>
      </c>
      <c r="N8" s="629">
        <v>43822</v>
      </c>
      <c r="O8" s="630">
        <v>12500000</v>
      </c>
      <c r="P8" s="630">
        <f t="shared" ref="P8:P17" si="0">O8/F8</f>
        <v>38226.299694189605</v>
      </c>
      <c r="Q8" s="338"/>
    </row>
    <row r="9" spans="2:26">
      <c r="B9" s="631" t="s">
        <v>402</v>
      </c>
      <c r="C9" s="631" t="s">
        <v>444</v>
      </c>
      <c r="D9" s="631" t="s">
        <v>403</v>
      </c>
      <c r="E9" s="631" t="s">
        <v>404</v>
      </c>
      <c r="F9" s="632">
        <v>228</v>
      </c>
      <c r="G9" s="631" t="s">
        <v>360</v>
      </c>
      <c r="H9" s="631" t="s">
        <v>397</v>
      </c>
      <c r="I9" s="631" t="s">
        <v>405</v>
      </c>
      <c r="J9" s="631" t="s">
        <v>399</v>
      </c>
      <c r="K9" s="631" t="s">
        <v>406</v>
      </c>
      <c r="L9" s="631"/>
      <c r="M9" s="633">
        <v>2021</v>
      </c>
      <c r="N9" s="634">
        <v>43577</v>
      </c>
      <c r="O9" s="635">
        <v>6360000</v>
      </c>
      <c r="P9" s="635">
        <f t="shared" si="0"/>
        <v>27894.736842105263</v>
      </c>
      <c r="Q9" s="338"/>
    </row>
    <row r="10" spans="2:26">
      <c r="B10" s="338" t="s">
        <v>407</v>
      </c>
      <c r="C10" s="338"/>
      <c r="D10" s="338" t="s">
        <v>408</v>
      </c>
      <c r="E10" s="338" t="s">
        <v>395</v>
      </c>
      <c r="F10" s="627">
        <v>300</v>
      </c>
      <c r="G10" s="338" t="s">
        <v>396</v>
      </c>
      <c r="H10" s="338" t="s">
        <v>397</v>
      </c>
      <c r="I10" s="338" t="s">
        <v>409</v>
      </c>
      <c r="J10" s="338" t="s">
        <v>399</v>
      </c>
      <c r="K10" s="338" t="s">
        <v>410</v>
      </c>
      <c r="L10" s="338"/>
      <c r="M10" s="628">
        <v>2021</v>
      </c>
      <c r="N10" s="629">
        <v>43769</v>
      </c>
      <c r="O10" s="630">
        <v>7500000</v>
      </c>
      <c r="P10" s="630">
        <f t="shared" si="0"/>
        <v>25000</v>
      </c>
      <c r="Q10" s="338"/>
    </row>
    <row r="11" spans="2:26">
      <c r="B11" s="338" t="s">
        <v>411</v>
      </c>
      <c r="C11" s="338" t="s">
        <v>449</v>
      </c>
      <c r="D11" s="338" t="s">
        <v>412</v>
      </c>
      <c r="E11" s="338" t="s">
        <v>413</v>
      </c>
      <c r="F11" s="627">
        <v>495</v>
      </c>
      <c r="G11" s="338" t="s">
        <v>414</v>
      </c>
      <c r="H11" s="338" t="s">
        <v>397</v>
      </c>
      <c r="I11" s="338" t="s">
        <v>415</v>
      </c>
      <c r="J11" s="338" t="s">
        <v>399</v>
      </c>
      <c r="K11" s="338" t="s">
        <v>416</v>
      </c>
      <c r="L11" s="338" t="s">
        <v>417</v>
      </c>
      <c r="M11" s="628">
        <v>2023</v>
      </c>
      <c r="N11" s="629">
        <v>44071</v>
      </c>
      <c r="O11" s="630">
        <v>16000000</v>
      </c>
      <c r="P11" s="630">
        <f t="shared" si="0"/>
        <v>32323.232323232322</v>
      </c>
      <c r="Q11" s="338" t="s">
        <v>418</v>
      </c>
    </row>
    <row r="12" spans="2:26" ht="16">
      <c r="B12" s="338" t="s">
        <v>419</v>
      </c>
      <c r="C12" s="338"/>
      <c r="D12" s="338" t="s">
        <v>420</v>
      </c>
      <c r="E12" s="338" t="s">
        <v>404</v>
      </c>
      <c r="F12" s="627">
        <v>210</v>
      </c>
      <c r="G12" s="338" t="s">
        <v>396</v>
      </c>
      <c r="H12" s="338" t="s">
        <v>397</v>
      </c>
      <c r="I12" s="338" t="s">
        <v>421</v>
      </c>
      <c r="J12" s="338" t="s">
        <v>399</v>
      </c>
      <c r="K12" s="338" t="s">
        <v>422</v>
      </c>
      <c r="L12" s="338"/>
      <c r="M12" s="628">
        <v>2020</v>
      </c>
      <c r="N12" s="629">
        <v>43236</v>
      </c>
      <c r="O12" s="630">
        <v>4900000</v>
      </c>
      <c r="P12" s="630">
        <f t="shared" si="0"/>
        <v>23333.333333333332</v>
      </c>
      <c r="Q12" s="338"/>
      <c r="Z12" s="350"/>
    </row>
    <row r="13" spans="2:26" ht="16">
      <c r="B13" s="338" t="s">
        <v>423</v>
      </c>
      <c r="C13" s="338"/>
      <c r="D13" s="338" t="s">
        <v>424</v>
      </c>
      <c r="E13" s="338" t="s">
        <v>404</v>
      </c>
      <c r="F13" s="627">
        <v>384</v>
      </c>
      <c r="G13" s="338" t="s">
        <v>396</v>
      </c>
      <c r="H13" s="338" t="s">
        <v>397</v>
      </c>
      <c r="I13" s="338" t="s">
        <v>425</v>
      </c>
      <c r="J13" s="338" t="s">
        <v>399</v>
      </c>
      <c r="K13" s="338" t="s">
        <v>426</v>
      </c>
      <c r="L13" s="338"/>
      <c r="M13" s="628">
        <v>2020</v>
      </c>
      <c r="N13" s="629">
        <v>43738</v>
      </c>
      <c r="O13" s="630">
        <v>7900000</v>
      </c>
      <c r="P13" s="630">
        <f t="shared" si="0"/>
        <v>20572.916666666668</v>
      </c>
      <c r="Q13" s="338"/>
      <c r="Z13" s="636"/>
    </row>
    <row r="14" spans="2:26" ht="16">
      <c r="B14" s="338" t="s">
        <v>427</v>
      </c>
      <c r="C14" s="338" t="s">
        <v>453</v>
      </c>
      <c r="D14" s="338" t="s">
        <v>428</v>
      </c>
      <c r="E14" s="338" t="s">
        <v>395</v>
      </c>
      <c r="F14" s="627">
        <v>195</v>
      </c>
      <c r="G14" s="338" t="s">
        <v>396</v>
      </c>
      <c r="H14" s="338" t="s">
        <v>397</v>
      </c>
      <c r="I14" s="338" t="s">
        <v>429</v>
      </c>
      <c r="J14" s="338" t="s">
        <v>399</v>
      </c>
      <c r="K14" s="338" t="s">
        <v>430</v>
      </c>
      <c r="L14" s="338"/>
      <c r="M14" s="628">
        <v>2021</v>
      </c>
      <c r="N14" s="629">
        <v>43741</v>
      </c>
      <c r="O14" s="630">
        <v>4250000</v>
      </c>
      <c r="P14" s="630">
        <f t="shared" si="0"/>
        <v>21794.871794871793</v>
      </c>
      <c r="Q14" s="338"/>
      <c r="Z14" s="636"/>
    </row>
    <row r="15" spans="2:26">
      <c r="B15" s="338" t="s">
        <v>431</v>
      </c>
      <c r="C15" s="338" t="s">
        <v>450</v>
      </c>
      <c r="D15" s="338" t="s">
        <v>432</v>
      </c>
      <c r="E15" s="338" t="s">
        <v>395</v>
      </c>
      <c r="F15" s="627">
        <v>300</v>
      </c>
      <c r="G15" s="338" t="s">
        <v>396</v>
      </c>
      <c r="H15" s="338" t="s">
        <v>397</v>
      </c>
      <c r="I15" s="338" t="s">
        <v>409</v>
      </c>
      <c r="J15" s="338" t="s">
        <v>399</v>
      </c>
      <c r="K15" s="338" t="s">
        <v>410</v>
      </c>
      <c r="L15" s="338"/>
      <c r="M15" s="628">
        <v>2021</v>
      </c>
      <c r="N15" s="629">
        <v>43769</v>
      </c>
      <c r="O15" s="630">
        <v>7500000</v>
      </c>
      <c r="P15" s="630">
        <f t="shared" si="0"/>
        <v>25000</v>
      </c>
      <c r="Q15" s="338"/>
    </row>
    <row r="16" spans="2:26">
      <c r="B16" s="338" t="s">
        <v>433</v>
      </c>
      <c r="C16" s="338" t="s">
        <v>451</v>
      </c>
      <c r="D16" s="338" t="s">
        <v>434</v>
      </c>
      <c r="E16" s="338" t="s">
        <v>395</v>
      </c>
      <c r="F16" s="627">
        <v>318</v>
      </c>
      <c r="G16" s="338" t="s">
        <v>396</v>
      </c>
      <c r="H16" s="338" t="s">
        <v>397</v>
      </c>
      <c r="I16" s="338" t="s">
        <v>435</v>
      </c>
      <c r="J16" s="338" t="s">
        <v>399</v>
      </c>
      <c r="K16" s="338" t="s">
        <v>436</v>
      </c>
      <c r="L16" s="338"/>
      <c r="M16" s="628">
        <v>2021</v>
      </c>
      <c r="N16" s="629">
        <v>43144</v>
      </c>
      <c r="O16" s="630">
        <v>7000000</v>
      </c>
      <c r="P16" s="630">
        <f t="shared" si="0"/>
        <v>22012.578616352203</v>
      </c>
      <c r="Q16" s="338"/>
    </row>
    <row r="17" spans="2:17">
      <c r="B17" s="338" t="s">
        <v>437</v>
      </c>
      <c r="C17" s="338" t="s">
        <v>452</v>
      </c>
      <c r="D17" s="338" t="s">
        <v>438</v>
      </c>
      <c r="E17" s="338" t="s">
        <v>413</v>
      </c>
      <c r="F17" s="627">
        <v>214</v>
      </c>
      <c r="G17" s="338" t="s">
        <v>396</v>
      </c>
      <c r="H17" s="338" t="s">
        <v>397</v>
      </c>
      <c r="I17" s="338" t="s">
        <v>439</v>
      </c>
      <c r="J17" s="338" t="s">
        <v>399</v>
      </c>
      <c r="K17" s="338" t="s">
        <v>440</v>
      </c>
      <c r="L17" s="338"/>
      <c r="M17" s="628">
        <v>2022</v>
      </c>
      <c r="N17" s="629">
        <v>43229</v>
      </c>
      <c r="O17" s="630">
        <v>4400000</v>
      </c>
      <c r="P17" s="630">
        <f t="shared" si="0"/>
        <v>20560.747663551403</v>
      </c>
      <c r="Q17" s="338"/>
    </row>
  </sheetData>
  <pageMargins left="0.7" right="0.7" top="0.75" bottom="0.75" header="0.3" footer="0.3"/>
  <pageSetup orientation="portrait" horizontalDpi="0" verticalDpi="0"/>
  <ignoredErrors>
    <ignoredError sqref="I10:I17"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38265-3F93-9E41-9349-9BC22A000AB2}">
  <dimension ref="B2:Z71"/>
  <sheetViews>
    <sheetView showGridLines="0" zoomScale="125" workbookViewId="0">
      <selection activeCell="F23" sqref="F23"/>
    </sheetView>
  </sheetViews>
  <sheetFormatPr baseColWidth="10" defaultRowHeight="15"/>
  <cols>
    <col min="1" max="1" width="3.1640625" customWidth="1"/>
    <col min="2" max="2" width="10.83203125" customWidth="1"/>
    <col min="3" max="3" width="10.1640625" customWidth="1"/>
    <col min="5" max="5" width="9" customWidth="1"/>
    <col min="6" max="6" width="9.6640625" customWidth="1"/>
    <col min="7" max="7" width="9" customWidth="1"/>
    <col min="8" max="8" width="8.1640625" customWidth="1"/>
    <col min="9" max="9" width="6.33203125" customWidth="1"/>
    <col min="17" max="17" width="11.6640625" customWidth="1"/>
    <col min="18" max="18" width="11.33203125" customWidth="1"/>
    <col min="19" max="19" width="10" customWidth="1"/>
    <col min="20" max="20" width="8.1640625" customWidth="1"/>
    <col min="21" max="21" width="10.83203125" customWidth="1"/>
    <col min="22" max="22" width="12" customWidth="1"/>
    <col min="23" max="23" width="11.5" customWidth="1"/>
    <col min="25" max="25" width="13.6640625" customWidth="1"/>
    <col min="26" max="26" width="75.1640625" bestFit="1" customWidth="1"/>
    <col min="27" max="27" width="26" customWidth="1"/>
    <col min="29" max="29" width="54.1640625" bestFit="1" customWidth="1"/>
    <col min="30" max="30" width="19.1640625" customWidth="1"/>
    <col min="31" max="31" width="19" bestFit="1" customWidth="1"/>
    <col min="33" max="33" width="10.1640625" bestFit="1" customWidth="1"/>
    <col min="34" max="34" width="75.1640625" bestFit="1" customWidth="1"/>
  </cols>
  <sheetData>
    <row r="2" spans="2:22">
      <c r="B2" s="235" t="str">
        <f>'HUD - CashFlow'!R5</f>
        <v>8011 KREFELD DR</v>
      </c>
      <c r="P2" s="20" t="s">
        <v>176</v>
      </c>
    </row>
    <row r="3" spans="2:22">
      <c r="P3" s="24">
        <f ca="1">TODAY()</f>
        <v>44838</v>
      </c>
    </row>
    <row r="4" spans="2:22" ht="18">
      <c r="B4" s="26" t="s">
        <v>454</v>
      </c>
    </row>
    <row r="5" spans="2:22" s="150" customFormat="1" ht="13">
      <c r="B5" s="173"/>
    </row>
    <row r="6" spans="2:22" s="150" customFormat="1" ht="13">
      <c r="G6" s="960" t="s">
        <v>506</v>
      </c>
      <c r="H6" s="961"/>
      <c r="I6" s="961"/>
      <c r="J6" s="962"/>
      <c r="K6" s="961" t="s">
        <v>507</v>
      </c>
      <c r="L6" s="961"/>
      <c r="M6" s="961"/>
      <c r="N6" s="962"/>
      <c r="O6" s="960" t="s">
        <v>508</v>
      </c>
      <c r="P6" s="961"/>
      <c r="Q6" s="961"/>
      <c r="R6" s="962"/>
      <c r="S6" s="960" t="s">
        <v>509</v>
      </c>
      <c r="T6" s="961"/>
      <c r="U6" s="961"/>
      <c r="V6" s="962"/>
    </row>
    <row r="7" spans="2:22" s="150" customFormat="1" ht="13">
      <c r="B7" s="537" t="s">
        <v>510</v>
      </c>
      <c r="C7" s="538"/>
      <c r="D7" s="536" t="s">
        <v>511</v>
      </c>
      <c r="E7" s="456" t="s">
        <v>512</v>
      </c>
      <c r="F7" s="456" t="s">
        <v>516</v>
      </c>
      <c r="G7" s="456" t="s">
        <v>512</v>
      </c>
      <c r="H7" s="456" t="s">
        <v>74</v>
      </c>
      <c r="I7" s="456" t="s">
        <v>513</v>
      </c>
      <c r="J7" s="456" t="s">
        <v>514</v>
      </c>
      <c r="K7" s="456" t="s">
        <v>512</v>
      </c>
      <c r="L7" s="456" t="s">
        <v>74</v>
      </c>
      <c r="M7" s="456" t="s">
        <v>513</v>
      </c>
      <c r="N7" s="456" t="s">
        <v>514</v>
      </c>
      <c r="O7" s="456" t="s">
        <v>512</v>
      </c>
      <c r="P7" s="456" t="s">
        <v>74</v>
      </c>
      <c r="Q7" s="456" t="s">
        <v>513</v>
      </c>
      <c r="R7" s="456" t="s">
        <v>514</v>
      </c>
      <c r="S7" s="456" t="s">
        <v>512</v>
      </c>
      <c r="T7" s="456" t="s">
        <v>74</v>
      </c>
      <c r="U7" s="456" t="s">
        <v>513</v>
      </c>
      <c r="V7" s="456" t="s">
        <v>514</v>
      </c>
    </row>
    <row r="8" spans="2:22" s="281" customFormat="1" ht="13">
      <c r="B8" s="464" t="s">
        <v>403</v>
      </c>
      <c r="C8" s="465"/>
      <c r="D8" s="466">
        <v>2021</v>
      </c>
      <c r="E8" s="466">
        <v>228</v>
      </c>
      <c r="F8" s="467">
        <f>1-83.3%</f>
        <v>0.16700000000000004</v>
      </c>
      <c r="G8" s="468"/>
      <c r="H8" s="468"/>
      <c r="I8" s="468"/>
      <c r="J8" s="468"/>
      <c r="K8" s="469">
        <v>96</v>
      </c>
      <c r="L8" s="469">
        <v>722</v>
      </c>
      <c r="M8" s="470">
        <v>1360</v>
      </c>
      <c r="N8" s="471">
        <v>1.88</v>
      </c>
      <c r="O8" s="469">
        <v>108</v>
      </c>
      <c r="P8" s="469">
        <v>1097</v>
      </c>
      <c r="Q8" s="470">
        <v>1646</v>
      </c>
      <c r="R8" s="471">
        <v>1.5</v>
      </c>
      <c r="S8" s="469">
        <v>24</v>
      </c>
      <c r="T8" s="469">
        <v>1310</v>
      </c>
      <c r="U8" s="470">
        <v>1915</v>
      </c>
      <c r="V8" s="471">
        <v>1.46</v>
      </c>
    </row>
    <row r="9" spans="2:22" s="150" customFormat="1" ht="13">
      <c r="B9" s="464" t="s">
        <v>592</v>
      </c>
      <c r="C9" s="465"/>
      <c r="D9" s="457">
        <v>2018</v>
      </c>
      <c r="E9" s="457">
        <v>186</v>
      </c>
      <c r="F9" s="458">
        <f>1-2.2%</f>
        <v>0.97799999999999998</v>
      </c>
      <c r="G9" s="459"/>
      <c r="H9" s="459"/>
      <c r="I9" s="460"/>
      <c r="J9" s="461"/>
      <c r="K9" s="462">
        <v>48</v>
      </c>
      <c r="L9" s="462">
        <v>783</v>
      </c>
      <c r="M9" s="463">
        <v>1475</v>
      </c>
      <c r="N9" s="461">
        <v>1.88</v>
      </c>
      <c r="O9" s="459">
        <v>96</v>
      </c>
      <c r="P9" s="459">
        <v>1097</v>
      </c>
      <c r="Q9" s="460">
        <v>1835</v>
      </c>
      <c r="R9" s="461">
        <v>1.68</v>
      </c>
      <c r="S9" s="469">
        <v>42</v>
      </c>
      <c r="T9" s="469">
        <v>1340</v>
      </c>
      <c r="U9" s="470">
        <v>2220</v>
      </c>
      <c r="V9" s="471">
        <v>1.66</v>
      </c>
    </row>
    <row r="10" spans="2:22" s="150" customFormat="1" ht="13">
      <c r="B10" s="464" t="s">
        <v>602</v>
      </c>
      <c r="C10" s="465"/>
      <c r="D10" s="473"/>
      <c r="E10" s="473"/>
      <c r="F10" s="474"/>
      <c r="G10" s="475"/>
      <c r="H10" s="475"/>
      <c r="I10" s="476"/>
      <c r="J10" s="477"/>
      <c r="K10" s="475"/>
      <c r="L10" s="475"/>
      <c r="M10" s="476"/>
      <c r="N10" s="477"/>
      <c r="O10" s="475"/>
      <c r="P10" s="475"/>
      <c r="Q10" s="476"/>
      <c r="R10" s="477"/>
      <c r="S10" s="478"/>
      <c r="T10" s="478"/>
      <c r="U10" s="478"/>
      <c r="V10" s="478"/>
    </row>
    <row r="11" spans="2:22" s="150" customFormat="1" ht="13">
      <c r="B11" s="464"/>
      <c r="C11" s="465"/>
      <c r="D11" s="457"/>
      <c r="E11" s="457"/>
      <c r="F11" s="458"/>
      <c r="G11" s="472"/>
      <c r="H11" s="472"/>
      <c r="I11" s="472"/>
      <c r="J11" s="472"/>
      <c r="K11" s="462"/>
      <c r="L11" s="462"/>
      <c r="M11" s="463"/>
      <c r="N11" s="461"/>
      <c r="O11" s="459"/>
      <c r="P11" s="459"/>
      <c r="Q11" s="460"/>
      <c r="R11" s="461"/>
      <c r="S11" s="459"/>
      <c r="T11" s="459"/>
      <c r="U11" s="460"/>
      <c r="V11" s="461"/>
    </row>
    <row r="12" spans="2:22" s="281" customFormat="1" ht="13">
      <c r="B12" s="464"/>
      <c r="C12" s="465"/>
      <c r="D12" s="466"/>
      <c r="E12" s="466"/>
      <c r="F12" s="467"/>
      <c r="G12" s="468"/>
      <c r="H12" s="468"/>
      <c r="I12" s="468"/>
      <c r="J12" s="468"/>
      <c r="K12" s="469"/>
      <c r="L12" s="469"/>
      <c r="M12" s="470"/>
      <c r="N12" s="471"/>
      <c r="O12" s="469"/>
      <c r="P12" s="469"/>
      <c r="Q12" s="470"/>
      <c r="R12" s="471"/>
      <c r="S12" s="468"/>
      <c r="T12" s="468"/>
      <c r="U12" s="468"/>
      <c r="V12" s="468"/>
    </row>
    <row r="13" spans="2:22" s="281" customFormat="1" ht="13">
      <c r="B13" s="464"/>
      <c r="C13" s="465"/>
      <c r="D13" s="466"/>
      <c r="E13" s="466"/>
      <c r="F13" s="479"/>
      <c r="G13" s="468"/>
      <c r="H13" s="468"/>
      <c r="I13" s="468"/>
      <c r="J13" s="468"/>
      <c r="K13" s="469"/>
      <c r="L13" s="469"/>
      <c r="M13" s="470"/>
      <c r="N13" s="471"/>
      <c r="O13" s="469"/>
      <c r="P13" s="469"/>
      <c r="Q13" s="470"/>
      <c r="R13" s="471"/>
      <c r="S13" s="468"/>
      <c r="T13" s="468"/>
      <c r="U13" s="468"/>
      <c r="V13" s="468"/>
    </row>
    <row r="14" spans="2:22" s="150" customFormat="1" ht="13">
      <c r="B14" s="464"/>
      <c r="C14" s="465"/>
      <c r="D14" s="473"/>
      <c r="E14" s="473"/>
      <c r="F14" s="480"/>
      <c r="G14" s="478"/>
      <c r="H14" s="478"/>
      <c r="I14" s="478"/>
      <c r="J14" s="478"/>
      <c r="K14" s="475"/>
      <c r="L14" s="475"/>
      <c r="M14" s="476"/>
      <c r="N14" s="477"/>
      <c r="O14" s="475"/>
      <c r="P14" s="475"/>
      <c r="Q14" s="476"/>
      <c r="R14" s="477"/>
      <c r="S14" s="478"/>
      <c r="T14" s="478"/>
      <c r="U14" s="478"/>
      <c r="V14" s="478"/>
    </row>
    <row r="15" spans="2:22" s="150" customFormat="1" ht="13">
      <c r="C15" s="481"/>
      <c r="D15" s="482">
        <f>AVERAGE(D8:D14)</f>
        <v>2019.5</v>
      </c>
      <c r="E15" s="483">
        <f>SUM(E8:E14)</f>
        <v>414</v>
      </c>
      <c r="F15" s="484">
        <f>AVERAGE(F8:F14)</f>
        <v>0.57250000000000001</v>
      </c>
      <c r="G15" s="485" t="str">
        <f>IF(SUM(G8:G14)=0,"",SUM(G8:G14))</f>
        <v/>
      </c>
      <c r="H15" s="485" t="str">
        <f>IFERROR(SUMPRODUCT(G8:G14,H8:H14)/G15,"")</f>
        <v/>
      </c>
      <c r="I15" s="486" t="str">
        <f>IFERROR(SUMPRODUCT(G8:G14,I8:I14)/G15,"")</f>
        <v/>
      </c>
      <c r="J15" s="487" t="str">
        <f>IFERROR(I15/H15,"")</f>
        <v/>
      </c>
      <c r="K15" s="485">
        <f>SUM(K8:K14)</f>
        <v>144</v>
      </c>
      <c r="L15" s="485">
        <f>SUMPRODUCT(K8:K14,L8:L14)/K15</f>
        <v>742.33333333333337</v>
      </c>
      <c r="M15" s="486">
        <f>SUMPRODUCT(K8:K14,M8:M14)/K15</f>
        <v>1398.3333333333333</v>
      </c>
      <c r="N15" s="487">
        <f>M15/L15</f>
        <v>1.8837000449034573</v>
      </c>
      <c r="O15" s="485">
        <f>SUM(O8:O14)</f>
        <v>204</v>
      </c>
      <c r="P15" s="485">
        <f>SUMPRODUCT(O8:O14,P8:P14)/O15</f>
        <v>1097</v>
      </c>
      <c r="Q15" s="486">
        <f>SUMPRODUCT(O8:O14,Q8:Q14)/O15</f>
        <v>1734.9411764705883</v>
      </c>
      <c r="R15" s="487">
        <f>Q15/P15</f>
        <v>1.5815325218510377</v>
      </c>
      <c r="S15" s="485">
        <f>SUM(S8:S14)</f>
        <v>66</v>
      </c>
      <c r="T15" s="485">
        <f>SUMPRODUCT(S8:S14,T8:T14)/S15</f>
        <v>1329.090909090909</v>
      </c>
      <c r="U15" s="486">
        <f>SUMPRODUCT(S8:S14,U8:U14)/S15</f>
        <v>2109.090909090909</v>
      </c>
      <c r="V15" s="487">
        <f>U15/T15</f>
        <v>1.5868673050615596</v>
      </c>
    </row>
    <row r="16" spans="2:22" s="150" customFormat="1" ht="13">
      <c r="G16" s="488" t="str">
        <f>IFERROR(G15/E15,"")</f>
        <v/>
      </c>
      <c r="H16" s="489" t="s">
        <v>515</v>
      </c>
      <c r="K16" s="488">
        <f>K15/E15</f>
        <v>0.34782608695652173</v>
      </c>
      <c r="L16" s="489" t="s">
        <v>515</v>
      </c>
      <c r="O16" s="488">
        <f>O15/E15</f>
        <v>0.49275362318840582</v>
      </c>
      <c r="P16" s="489" t="s">
        <v>515</v>
      </c>
      <c r="S16" s="488">
        <f>S15/E15</f>
        <v>0.15942028985507245</v>
      </c>
      <c r="T16" s="489" t="s">
        <v>515</v>
      </c>
    </row>
    <row r="17" spans="2:26" s="150" customFormat="1" ht="13">
      <c r="B17" s="173"/>
    </row>
    <row r="20" spans="2:26">
      <c r="B20" s="240" t="s">
        <v>501</v>
      </c>
      <c r="C20" s="239"/>
      <c r="D20" s="239"/>
      <c r="E20" s="239"/>
      <c r="F20" s="239"/>
      <c r="G20" s="239"/>
      <c r="H20" s="241"/>
    </row>
    <row r="21" spans="2:26">
      <c r="B21" s="243" t="s">
        <v>504</v>
      </c>
      <c r="C21" s="238"/>
      <c r="D21" s="238"/>
      <c r="E21" s="238"/>
      <c r="F21" s="238"/>
      <c r="G21" s="238"/>
      <c r="H21" s="242"/>
    </row>
    <row r="22" spans="2:26">
      <c r="B22" s="263" t="s">
        <v>72</v>
      </c>
      <c r="C22" s="264" t="s">
        <v>121</v>
      </c>
      <c r="D22" s="264" t="s">
        <v>381</v>
      </c>
      <c r="E22" s="264" t="s">
        <v>122</v>
      </c>
      <c r="F22" s="264" t="s">
        <v>123</v>
      </c>
      <c r="G22" s="264" t="s">
        <v>124</v>
      </c>
      <c r="H22" s="265" t="s">
        <v>125</v>
      </c>
    </row>
    <row r="23" spans="2:26">
      <c r="B23" s="244" t="s">
        <v>126</v>
      </c>
      <c r="C23" s="245">
        <v>96</v>
      </c>
      <c r="D23" s="251">
        <f>C23/$C$29</f>
        <v>0.42105263157894735</v>
      </c>
      <c r="E23" s="245">
        <v>722</v>
      </c>
      <c r="F23" s="246">
        <v>1360</v>
      </c>
      <c r="G23" s="247">
        <f>F23/E23</f>
        <v>1.8836565096952909</v>
      </c>
      <c r="H23" s="248">
        <v>1247</v>
      </c>
    </row>
    <row r="24" spans="2:26">
      <c r="B24" s="244" t="s">
        <v>127</v>
      </c>
      <c r="C24" s="245">
        <v>72</v>
      </c>
      <c r="D24" s="251">
        <f>C24/$C$29</f>
        <v>0.31578947368421051</v>
      </c>
      <c r="E24" s="451">
        <v>1050</v>
      </c>
      <c r="F24" s="246">
        <v>1595</v>
      </c>
      <c r="G24" s="247">
        <f t="shared" ref="G24:G27" si="0">F24/E24</f>
        <v>1.519047619047619</v>
      </c>
      <c r="H24" s="248" t="s">
        <v>502</v>
      </c>
    </row>
    <row r="25" spans="2:26" ht="16">
      <c r="B25" s="244" t="s">
        <v>127</v>
      </c>
      <c r="C25" s="245">
        <v>24</v>
      </c>
      <c r="D25" s="251">
        <f>C25/$C$29</f>
        <v>0.10526315789473684</v>
      </c>
      <c r="E25" s="451">
        <v>1072</v>
      </c>
      <c r="F25" s="246">
        <v>1615</v>
      </c>
      <c r="G25" s="247">
        <f t="shared" si="0"/>
        <v>1.5065298507462686</v>
      </c>
      <c r="H25" s="248" t="s">
        <v>502</v>
      </c>
      <c r="Z25" s="17"/>
    </row>
    <row r="26" spans="2:26" ht="16">
      <c r="B26" s="244" t="s">
        <v>127</v>
      </c>
      <c r="C26" s="245">
        <v>12</v>
      </c>
      <c r="D26" s="251">
        <f>C26/$C$29</f>
        <v>5.2631578947368418E-2</v>
      </c>
      <c r="E26" s="451">
        <v>1430</v>
      </c>
      <c r="F26" s="246">
        <v>2015</v>
      </c>
      <c r="G26" s="247">
        <f t="shared" si="0"/>
        <v>1.4090909090909092</v>
      </c>
      <c r="H26" s="250" t="s">
        <v>502</v>
      </c>
      <c r="I26" s="14"/>
      <c r="Z26" s="18"/>
    </row>
    <row r="27" spans="2:26" ht="16">
      <c r="B27" s="244" t="s">
        <v>128</v>
      </c>
      <c r="C27" s="245">
        <v>24</v>
      </c>
      <c r="D27" s="251">
        <f>C27/$C$29</f>
        <v>0.10526315789473684</v>
      </c>
      <c r="E27" s="451">
        <v>1310</v>
      </c>
      <c r="F27" s="246">
        <v>1915</v>
      </c>
      <c r="G27" s="247">
        <f t="shared" si="0"/>
        <v>1.4618320610687023</v>
      </c>
      <c r="H27" s="248" t="s">
        <v>502</v>
      </c>
      <c r="I27" s="15"/>
      <c r="Z27" s="18"/>
    </row>
    <row r="28" spans="2:26">
      <c r="B28" s="252"/>
      <c r="C28" s="253"/>
      <c r="D28" s="254"/>
      <c r="E28" s="256"/>
      <c r="F28" s="255"/>
      <c r="G28" s="256"/>
      <c r="H28" s="257"/>
      <c r="I28" s="14"/>
    </row>
    <row r="29" spans="2:26">
      <c r="B29" s="258" t="s">
        <v>129</v>
      </c>
      <c r="C29" s="259">
        <f>SUM(C23:C27)</f>
        <v>228</v>
      </c>
      <c r="D29" s="452">
        <f>SUM(D23:D27)</f>
        <v>0.99999999999999989</v>
      </c>
      <c r="E29" s="453">
        <f>SUMPRODUCT(D23:D27,E23:E27)</f>
        <v>961.57894736842104</v>
      </c>
      <c r="F29" s="260">
        <v>1554</v>
      </c>
      <c r="G29" s="261">
        <f>SUMPRODUCT(G23:G27,D23:D27)</f>
        <v>1.6594396065562573</v>
      </c>
      <c r="H29" s="262"/>
    </row>
    <row r="62" spans="2:8">
      <c r="B62" s="240" t="s">
        <v>503</v>
      </c>
      <c r="C62" s="239"/>
      <c r="D62" s="239"/>
      <c r="E62" s="239"/>
      <c r="F62" s="239"/>
      <c r="G62" s="239"/>
      <c r="H62" s="241"/>
    </row>
    <row r="63" spans="2:8">
      <c r="B63" s="243" t="s">
        <v>505</v>
      </c>
      <c r="C63" s="238"/>
      <c r="D63" s="238"/>
      <c r="E63" s="238"/>
      <c r="F63" s="238"/>
      <c r="G63" s="238"/>
      <c r="H63" s="242"/>
    </row>
    <row r="64" spans="2:8">
      <c r="B64" s="263" t="s">
        <v>72</v>
      </c>
      <c r="C64" s="264" t="s">
        <v>121</v>
      </c>
      <c r="D64" s="264" t="s">
        <v>381</v>
      </c>
      <c r="E64" s="264" t="s">
        <v>122</v>
      </c>
      <c r="F64" s="264" t="s">
        <v>123</v>
      </c>
      <c r="G64" s="264" t="s">
        <v>124</v>
      </c>
      <c r="H64" s="265" t="s">
        <v>125</v>
      </c>
    </row>
    <row r="65" spans="2:26">
      <c r="B65" s="244" t="s">
        <v>126</v>
      </c>
      <c r="C65" s="245">
        <v>48</v>
      </c>
      <c r="D65" s="251">
        <f>C65/C71</f>
        <v>0.25806451612903225</v>
      </c>
      <c r="E65" s="245">
        <v>783</v>
      </c>
      <c r="F65" s="246">
        <v>1475</v>
      </c>
      <c r="G65" s="247">
        <f>F65/E65</f>
        <v>1.8837803320561941</v>
      </c>
      <c r="H65" s="248"/>
    </row>
    <row r="66" spans="2:26">
      <c r="B66" s="244" t="s">
        <v>127</v>
      </c>
      <c r="C66" s="245">
        <v>36</v>
      </c>
      <c r="D66" s="251">
        <f>C66/$C$71</f>
        <v>0.19354838709677419</v>
      </c>
      <c r="E66" s="245">
        <v>1010</v>
      </c>
      <c r="F66" s="246">
        <v>1835</v>
      </c>
      <c r="G66" s="247">
        <f t="shared" ref="G66:G68" si="1">F66/E66</f>
        <v>1.8168316831683169</v>
      </c>
      <c r="H66" s="248"/>
    </row>
    <row r="67" spans="2:26" ht="16">
      <c r="B67" s="244" t="s">
        <v>127</v>
      </c>
      <c r="C67" s="245">
        <v>60</v>
      </c>
      <c r="D67" s="251">
        <f>C67/$C$71</f>
        <v>0.32258064516129031</v>
      </c>
      <c r="E67" s="245">
        <v>1150</v>
      </c>
      <c r="F67" s="246">
        <v>1835</v>
      </c>
      <c r="G67" s="247">
        <f t="shared" si="1"/>
        <v>1.5956521739130434</v>
      </c>
      <c r="H67" s="248"/>
      <c r="Z67" s="17"/>
    </row>
    <row r="68" spans="2:26" ht="16">
      <c r="B68" s="244" t="s">
        <v>128</v>
      </c>
      <c r="C68" s="245">
        <v>42</v>
      </c>
      <c r="D68" s="251">
        <f>C68/$C$71</f>
        <v>0.22580645161290322</v>
      </c>
      <c r="E68" s="245">
        <v>1340</v>
      </c>
      <c r="F68" s="246">
        <v>2220</v>
      </c>
      <c r="G68" s="247">
        <f t="shared" si="1"/>
        <v>1.6567164179104477</v>
      </c>
      <c r="H68" s="250"/>
      <c r="I68" s="14"/>
      <c r="Z68" s="18"/>
    </row>
    <row r="69" spans="2:26" ht="16">
      <c r="B69" s="244"/>
      <c r="C69" s="249"/>
      <c r="D69" s="245"/>
      <c r="E69" s="245"/>
      <c r="F69" s="246"/>
      <c r="G69" s="247"/>
      <c r="H69" s="248"/>
      <c r="I69" s="15"/>
      <c r="Z69" s="18"/>
    </row>
    <row r="70" spans="2:26">
      <c r="B70" s="252"/>
      <c r="C70" s="253"/>
      <c r="D70" s="254"/>
      <c r="E70" s="254"/>
      <c r="F70" s="255"/>
      <c r="G70" s="256"/>
      <c r="H70" s="257"/>
      <c r="I70" s="14"/>
    </row>
    <row r="71" spans="2:26">
      <c r="B71" s="258" t="s">
        <v>129</v>
      </c>
      <c r="C71" s="259">
        <f>SUM(C65:C68)</f>
        <v>186</v>
      </c>
      <c r="D71" s="452">
        <f>SUM(D65:D69)</f>
        <v>1</v>
      </c>
      <c r="E71" s="453">
        <f>SUMPRODUCT(D65:D68,E65:E68)</f>
        <v>1071.0967741935483</v>
      </c>
      <c r="F71" s="260">
        <v>1626</v>
      </c>
      <c r="G71" s="261">
        <v>1.63</v>
      </c>
      <c r="H71" s="262"/>
    </row>
  </sheetData>
  <mergeCells count="4">
    <mergeCell ref="G6:J6"/>
    <mergeCell ref="K6:N6"/>
    <mergeCell ref="O6:R6"/>
    <mergeCell ref="S6:V6"/>
  </mergeCells>
  <pageMargins left="0.7" right="0.7" top="0.75" bottom="0.75" header="0.3" footer="0.3"/>
  <pageSetup orientation="portrait" horizontalDpi="0" verticalDpi="0"/>
  <ignoredErrors>
    <ignoredError sqref="E15" formula="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F98E8-4F8A-D34B-8C02-4B3CFD146703}">
  <dimension ref="B2:P21"/>
  <sheetViews>
    <sheetView workbookViewId="0">
      <selection activeCell="N29" sqref="N29"/>
    </sheetView>
  </sheetViews>
  <sheetFormatPr baseColWidth="10" defaultRowHeight="15"/>
  <cols>
    <col min="1" max="1" width="6.33203125" customWidth="1"/>
    <col min="2" max="2" width="24.1640625" customWidth="1"/>
    <col min="3" max="3" width="21.6640625" customWidth="1"/>
    <col min="4" max="4" width="18.83203125" customWidth="1"/>
    <col min="6" max="6" width="14.5" customWidth="1"/>
    <col min="8" max="8" width="14.5" customWidth="1"/>
    <col min="10" max="10" width="24.33203125" customWidth="1"/>
    <col min="11" max="11" width="15.33203125" customWidth="1"/>
    <col min="12" max="12" width="9.5" customWidth="1"/>
  </cols>
  <sheetData>
    <row r="2" spans="2:16" ht="32">
      <c r="B2" s="639" t="s">
        <v>383</v>
      </c>
      <c r="C2" s="639" t="s">
        <v>384</v>
      </c>
      <c r="D2" s="639" t="s">
        <v>385</v>
      </c>
      <c r="E2" s="640" t="s">
        <v>386</v>
      </c>
      <c r="F2" s="639" t="s">
        <v>362</v>
      </c>
      <c r="G2" s="639" t="s">
        <v>387</v>
      </c>
      <c r="H2" s="639" t="s">
        <v>388</v>
      </c>
      <c r="I2" s="639" t="s">
        <v>389</v>
      </c>
      <c r="J2" s="639" t="s">
        <v>390</v>
      </c>
      <c r="K2" s="639" t="s">
        <v>391</v>
      </c>
      <c r="L2" s="641" t="s">
        <v>392</v>
      </c>
      <c r="M2" s="642" t="s">
        <v>604</v>
      </c>
      <c r="N2" s="642" t="s">
        <v>605</v>
      </c>
      <c r="O2" s="642" t="s">
        <v>606</v>
      </c>
      <c r="P2" s="639" t="s">
        <v>607</v>
      </c>
    </row>
    <row r="3" spans="2:16">
      <c r="B3" t="s">
        <v>393</v>
      </c>
      <c r="C3" t="s">
        <v>394</v>
      </c>
      <c r="D3" t="s">
        <v>395</v>
      </c>
      <c r="E3" s="643">
        <v>327</v>
      </c>
      <c r="F3" t="s">
        <v>396</v>
      </c>
      <c r="G3" t="s">
        <v>397</v>
      </c>
      <c r="H3" t="s">
        <v>398</v>
      </c>
      <c r="I3" t="s">
        <v>399</v>
      </c>
      <c r="J3" t="s">
        <v>400</v>
      </c>
      <c r="K3" t="s">
        <v>401</v>
      </c>
      <c r="L3" s="644">
        <v>2021</v>
      </c>
      <c r="M3" s="645">
        <v>43822</v>
      </c>
      <c r="N3" s="646">
        <v>12500000</v>
      </c>
      <c r="O3" s="646">
        <f t="shared" ref="O3:O12" si="0">N3/E3</f>
        <v>38226.299694189605</v>
      </c>
    </row>
    <row r="4" spans="2:16">
      <c r="B4" s="663" t="s">
        <v>402</v>
      </c>
      <c r="C4" s="663" t="s">
        <v>403</v>
      </c>
      <c r="D4" s="663" t="s">
        <v>404</v>
      </c>
      <c r="E4" s="664">
        <v>228</v>
      </c>
      <c r="F4" s="663" t="s">
        <v>360</v>
      </c>
      <c r="G4" s="663" t="s">
        <v>397</v>
      </c>
      <c r="H4" s="663" t="s">
        <v>405</v>
      </c>
      <c r="I4" s="663" t="s">
        <v>399</v>
      </c>
      <c r="J4" s="663" t="s">
        <v>406</v>
      </c>
      <c r="K4" s="663"/>
      <c r="L4" s="665">
        <v>2021</v>
      </c>
      <c r="M4" s="666">
        <v>43577</v>
      </c>
      <c r="N4" s="667">
        <v>6360000</v>
      </c>
      <c r="O4" s="667">
        <f t="shared" si="0"/>
        <v>27894.736842105263</v>
      </c>
    </row>
    <row r="5" spans="2:16">
      <c r="B5" t="s">
        <v>407</v>
      </c>
      <c r="C5" t="s">
        <v>408</v>
      </c>
      <c r="D5" t="s">
        <v>395</v>
      </c>
      <c r="E5" s="643">
        <v>300</v>
      </c>
      <c r="F5" t="s">
        <v>396</v>
      </c>
      <c r="G5" t="s">
        <v>397</v>
      </c>
      <c r="H5" t="s">
        <v>409</v>
      </c>
      <c r="I5" t="s">
        <v>399</v>
      </c>
      <c r="J5" t="s">
        <v>410</v>
      </c>
      <c r="L5" s="644">
        <v>2021</v>
      </c>
      <c r="M5" s="645">
        <v>43769</v>
      </c>
      <c r="N5" s="646">
        <v>7500000</v>
      </c>
      <c r="O5" s="646">
        <f t="shared" si="0"/>
        <v>25000</v>
      </c>
    </row>
    <row r="6" spans="2:16">
      <c r="B6" t="s">
        <v>411</v>
      </c>
      <c r="C6" t="s">
        <v>412</v>
      </c>
      <c r="D6" t="s">
        <v>413</v>
      </c>
      <c r="E6" s="643">
        <v>495</v>
      </c>
      <c r="F6" t="s">
        <v>414</v>
      </c>
      <c r="G6" t="s">
        <v>397</v>
      </c>
      <c r="H6" t="s">
        <v>415</v>
      </c>
      <c r="I6" t="s">
        <v>399</v>
      </c>
      <c r="J6" t="s">
        <v>416</v>
      </c>
      <c r="K6" t="s">
        <v>417</v>
      </c>
      <c r="L6" s="644">
        <v>2023</v>
      </c>
      <c r="M6" s="645">
        <v>44071</v>
      </c>
      <c r="N6" s="646">
        <v>16000000</v>
      </c>
      <c r="O6" s="646">
        <f t="shared" si="0"/>
        <v>32323.232323232322</v>
      </c>
      <c r="P6" t="s">
        <v>418</v>
      </c>
    </row>
    <row r="7" spans="2:16">
      <c r="B7" t="s">
        <v>419</v>
      </c>
      <c r="C7" t="s">
        <v>420</v>
      </c>
      <c r="D7" t="s">
        <v>404</v>
      </c>
      <c r="E7" s="643">
        <v>210</v>
      </c>
      <c r="F7" t="s">
        <v>396</v>
      </c>
      <c r="G7" t="s">
        <v>397</v>
      </c>
      <c r="H7" t="s">
        <v>421</v>
      </c>
      <c r="I7" t="s">
        <v>399</v>
      </c>
      <c r="J7" t="s">
        <v>422</v>
      </c>
      <c r="L7" s="644">
        <v>2020</v>
      </c>
      <c r="M7" s="645">
        <v>43236</v>
      </c>
      <c r="N7" s="646">
        <v>4900000</v>
      </c>
      <c r="O7" s="646">
        <f t="shared" si="0"/>
        <v>23333.333333333332</v>
      </c>
    </row>
    <row r="8" spans="2:16">
      <c r="B8" t="s">
        <v>423</v>
      </c>
      <c r="C8" t="s">
        <v>424</v>
      </c>
      <c r="D8" t="s">
        <v>404</v>
      </c>
      <c r="E8" s="643">
        <v>384</v>
      </c>
      <c r="F8" t="s">
        <v>396</v>
      </c>
      <c r="G8" t="s">
        <v>397</v>
      </c>
      <c r="H8" t="s">
        <v>425</v>
      </c>
      <c r="I8" t="s">
        <v>399</v>
      </c>
      <c r="J8" t="s">
        <v>426</v>
      </c>
      <c r="L8" s="644">
        <v>2020</v>
      </c>
      <c r="M8" s="645">
        <v>43738</v>
      </c>
      <c r="N8" s="646">
        <v>7900000</v>
      </c>
      <c r="O8" s="646">
        <f t="shared" si="0"/>
        <v>20572.916666666668</v>
      </c>
    </row>
    <row r="9" spans="2:16">
      <c r="B9" t="s">
        <v>427</v>
      </c>
      <c r="C9" t="s">
        <v>428</v>
      </c>
      <c r="D9" t="s">
        <v>395</v>
      </c>
      <c r="E9" s="643">
        <v>195</v>
      </c>
      <c r="F9" t="s">
        <v>396</v>
      </c>
      <c r="G9" t="s">
        <v>397</v>
      </c>
      <c r="H9" t="s">
        <v>429</v>
      </c>
      <c r="I9" t="s">
        <v>399</v>
      </c>
      <c r="J9" t="s">
        <v>430</v>
      </c>
      <c r="L9" s="644">
        <v>2021</v>
      </c>
      <c r="M9" s="645">
        <v>43741</v>
      </c>
      <c r="N9" s="646">
        <v>4250000</v>
      </c>
      <c r="O9" s="646">
        <f t="shared" si="0"/>
        <v>21794.871794871793</v>
      </c>
    </row>
    <row r="10" spans="2:16">
      <c r="B10" t="s">
        <v>431</v>
      </c>
      <c r="C10" t="s">
        <v>432</v>
      </c>
      <c r="D10" t="s">
        <v>395</v>
      </c>
      <c r="E10" s="643">
        <v>300</v>
      </c>
      <c r="F10" t="s">
        <v>396</v>
      </c>
      <c r="G10" t="s">
        <v>397</v>
      </c>
      <c r="H10" t="s">
        <v>409</v>
      </c>
      <c r="I10" t="s">
        <v>399</v>
      </c>
      <c r="J10" t="s">
        <v>410</v>
      </c>
      <c r="L10" s="644">
        <v>2021</v>
      </c>
      <c r="M10" s="645">
        <v>43769</v>
      </c>
      <c r="N10" s="646">
        <v>7500000</v>
      </c>
      <c r="O10" s="646">
        <f t="shared" si="0"/>
        <v>25000</v>
      </c>
    </row>
    <row r="11" spans="2:16">
      <c r="B11" t="s">
        <v>433</v>
      </c>
      <c r="C11" t="s">
        <v>434</v>
      </c>
      <c r="D11" t="s">
        <v>395</v>
      </c>
      <c r="E11" s="643">
        <v>318</v>
      </c>
      <c r="F11" t="s">
        <v>396</v>
      </c>
      <c r="G11" t="s">
        <v>397</v>
      </c>
      <c r="H11" t="s">
        <v>435</v>
      </c>
      <c r="I11" t="s">
        <v>399</v>
      </c>
      <c r="J11" t="s">
        <v>436</v>
      </c>
      <c r="L11" s="644">
        <v>2021</v>
      </c>
      <c r="M11" s="645">
        <v>43144</v>
      </c>
      <c r="N11" s="646">
        <v>7000000</v>
      </c>
      <c r="O11" s="646">
        <f t="shared" si="0"/>
        <v>22012.578616352203</v>
      </c>
    </row>
    <row r="12" spans="2:16">
      <c r="B12" t="s">
        <v>437</v>
      </c>
      <c r="C12" t="s">
        <v>438</v>
      </c>
      <c r="D12" t="s">
        <v>413</v>
      </c>
      <c r="E12" s="643">
        <v>214</v>
      </c>
      <c r="F12" t="s">
        <v>396</v>
      </c>
      <c r="G12" t="s">
        <v>397</v>
      </c>
      <c r="H12" t="s">
        <v>439</v>
      </c>
      <c r="I12" t="s">
        <v>399</v>
      </c>
      <c r="J12" t="s">
        <v>440</v>
      </c>
      <c r="L12" s="644">
        <v>2022</v>
      </c>
      <c r="M12" s="645">
        <v>43229</v>
      </c>
      <c r="N12" s="646">
        <v>4400000</v>
      </c>
      <c r="O12" s="646">
        <f t="shared" si="0"/>
        <v>20560.747663551403</v>
      </c>
    </row>
    <row r="21" spans="2:2">
      <c r="B21" s="415"/>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6E20F-DAEC-4247-902A-2E260820F75A}">
  <sheetPr>
    <pageSetUpPr fitToPage="1"/>
  </sheetPr>
  <dimension ref="A2:BC176"/>
  <sheetViews>
    <sheetView showGridLines="0" zoomScale="111" workbookViewId="0">
      <selection activeCell="H20" sqref="H20"/>
    </sheetView>
  </sheetViews>
  <sheetFormatPr baseColWidth="10" defaultRowHeight="14"/>
  <cols>
    <col min="1" max="1" width="4.1640625" style="16" customWidth="1"/>
    <col min="2" max="2" width="46.5" style="16" customWidth="1"/>
    <col min="3" max="3" width="14.33203125" style="16" customWidth="1"/>
    <col min="4" max="4" width="15" style="16" customWidth="1"/>
    <col min="5" max="5" width="14.6640625" style="16" bestFit="1" customWidth="1"/>
    <col min="6" max="6" width="13.5" style="16" customWidth="1"/>
    <col min="7" max="7" width="12" style="16" customWidth="1"/>
    <col min="8" max="8" width="17.33203125" style="16" customWidth="1"/>
    <col min="9" max="9" width="12.6640625" style="16" customWidth="1"/>
    <col min="10" max="10" width="10.83203125" style="16"/>
    <col min="11" max="11" width="28.83203125" style="16" customWidth="1"/>
    <col min="12" max="12" width="12.1640625" style="16" bestFit="1" customWidth="1"/>
    <col min="13" max="14" width="10.83203125" style="16"/>
    <col min="15" max="15" width="11.1640625" style="16" bestFit="1" customWidth="1"/>
    <col min="16" max="17" width="11" style="16" bestFit="1" customWidth="1"/>
    <col min="18" max="39" width="10.83203125" style="16"/>
    <col min="40" max="40" width="25.83203125" style="16" customWidth="1"/>
    <col min="41" max="41" width="11.1640625" style="16" bestFit="1" customWidth="1"/>
    <col min="42" max="42" width="22.1640625" style="16" customWidth="1"/>
    <col min="43" max="43" width="11" style="16" bestFit="1" customWidth="1"/>
    <col min="44" max="44" width="11.1640625" style="16" bestFit="1" customWidth="1"/>
    <col min="45" max="45" width="10.83203125" style="16"/>
    <col min="46" max="46" width="25" style="16" customWidth="1"/>
    <col min="47" max="47" width="29" style="16" customWidth="1"/>
    <col min="48" max="49" width="10.83203125" style="16"/>
    <col min="50" max="50" width="33.1640625" style="16" customWidth="1"/>
    <col min="51" max="54" width="11" style="16" bestFit="1" customWidth="1"/>
    <col min="55" max="55" width="11.83203125" style="16" bestFit="1" customWidth="1"/>
    <col min="56" max="16384" width="10.83203125" style="16"/>
  </cols>
  <sheetData>
    <row r="2" spans="1:55">
      <c r="B2" s="235" t="str">
        <f>'HUD - CashFlow'!R5</f>
        <v>8011 KREFELD DR</v>
      </c>
      <c r="I2" s="20" t="s">
        <v>176</v>
      </c>
    </row>
    <row r="3" spans="1:55" ht="16">
      <c r="I3" s="24">
        <f ca="1">TODAY()</f>
        <v>44838</v>
      </c>
      <c r="K3" s="313" t="s">
        <v>134</v>
      </c>
      <c r="L3" s="314"/>
      <c r="M3" s="314"/>
      <c r="N3" s="314"/>
      <c r="O3" s="314"/>
      <c r="P3" s="314"/>
      <c r="Q3" s="314"/>
      <c r="R3" s="314"/>
      <c r="AN3" s="45" t="s">
        <v>222</v>
      </c>
      <c r="AO3" s="46"/>
      <c r="AP3" s="46"/>
      <c r="AQ3" s="46"/>
      <c r="AR3" s="46"/>
      <c r="AT3" s="47" t="s">
        <v>295</v>
      </c>
      <c r="AU3" s="48"/>
      <c r="AX3" s="315" t="s">
        <v>303</v>
      </c>
      <c r="AY3" s="297" t="s">
        <v>304</v>
      </c>
      <c r="AZ3" s="297"/>
      <c r="BA3" s="297"/>
      <c r="BB3" s="297"/>
      <c r="BC3" s="297"/>
    </row>
    <row r="4" spans="1:55" ht="19" thickBot="1">
      <c r="B4" s="26" t="s">
        <v>463</v>
      </c>
      <c r="C4" s="316"/>
      <c r="D4" s="316"/>
      <c r="E4" s="316"/>
      <c r="F4" s="316"/>
      <c r="G4" s="316"/>
      <c r="AN4" s="317" t="s">
        <v>223</v>
      </c>
      <c r="AO4" s="318" t="s">
        <v>137</v>
      </c>
      <c r="AP4" s="318" t="s">
        <v>224</v>
      </c>
      <c r="AQ4" s="318" t="s">
        <v>139</v>
      </c>
      <c r="AR4" s="318" t="s">
        <v>225</v>
      </c>
      <c r="AT4" s="16" t="s">
        <v>226</v>
      </c>
      <c r="AU4" s="319">
        <v>1.5</v>
      </c>
      <c r="AX4" s="320" t="s">
        <v>282</v>
      </c>
      <c r="AY4" s="320" t="s">
        <v>283</v>
      </c>
      <c r="AZ4" s="321" t="s">
        <v>305</v>
      </c>
      <c r="BA4" s="321" t="s">
        <v>306</v>
      </c>
      <c r="BB4" s="321" t="s">
        <v>307</v>
      </c>
      <c r="BC4" s="320" t="s">
        <v>308</v>
      </c>
    </row>
    <row r="5" spans="1:55" ht="16">
      <c r="C5" s="316"/>
      <c r="D5" s="316"/>
      <c r="E5" s="316"/>
      <c r="F5" s="316"/>
      <c r="G5" s="316"/>
      <c r="K5" s="322" t="s">
        <v>146</v>
      </c>
      <c r="L5" s="323"/>
      <c r="N5" s="324" t="s">
        <v>147</v>
      </c>
      <c r="O5" s="325"/>
      <c r="P5" s="325"/>
      <c r="Q5" s="326"/>
      <c r="AN5" s="327" t="s">
        <v>227</v>
      </c>
      <c r="AO5" s="327">
        <v>7.1565000000000003</v>
      </c>
      <c r="AP5" s="328">
        <v>27090237</v>
      </c>
      <c r="AQ5" s="329">
        <f>(AO5/1000)*AP5</f>
        <v>193871.28109050001</v>
      </c>
      <c r="AR5" s="330">
        <f t="shared" ref="AR5:AR12" si="0">AQ5/AO$7</f>
        <v>919256.90417496441</v>
      </c>
      <c r="AT5" s="16" t="s">
        <v>228</v>
      </c>
      <c r="AU5" s="16">
        <v>877</v>
      </c>
      <c r="AX5" s="331" t="s">
        <v>284</v>
      </c>
      <c r="AY5" s="331">
        <v>5.7309000000000001</v>
      </c>
      <c r="AZ5" s="332">
        <v>24468000</v>
      </c>
      <c r="BA5" s="331">
        <v>0</v>
      </c>
      <c r="BB5" s="332">
        <v>24468000</v>
      </c>
      <c r="BC5" s="333">
        <v>140223.66</v>
      </c>
    </row>
    <row r="6" spans="1:55" ht="16">
      <c r="B6" s="306" t="s">
        <v>465</v>
      </c>
      <c r="C6" s="295"/>
      <c r="D6" s="295"/>
      <c r="E6" s="295"/>
      <c r="F6" s="295"/>
      <c r="G6" s="295"/>
      <c r="H6" s="307"/>
      <c r="K6" s="16" t="s">
        <v>148</v>
      </c>
      <c r="L6" s="334">
        <v>35000000</v>
      </c>
      <c r="N6" s="335" t="s">
        <v>136</v>
      </c>
      <c r="O6" s="336" t="s">
        <v>137</v>
      </c>
      <c r="P6" s="336" t="s">
        <v>138</v>
      </c>
      <c r="Q6" s="337" t="s">
        <v>139</v>
      </c>
      <c r="AN6" s="338" t="s">
        <v>229</v>
      </c>
      <c r="AO6" s="338">
        <v>0.56189999999999996</v>
      </c>
      <c r="AP6" s="339">
        <f>$AP$5</f>
        <v>27090237</v>
      </c>
      <c r="AQ6" s="340">
        <f t="shared" ref="AQ6:AQ12" si="1">(AO6/1000)*AP6</f>
        <v>15222.004170299999</v>
      </c>
      <c r="AR6" s="330">
        <f t="shared" si="0"/>
        <v>72176.406687055467</v>
      </c>
      <c r="AT6" s="323" t="s">
        <v>121</v>
      </c>
      <c r="AU6" s="323">
        <v>350</v>
      </c>
      <c r="AX6" s="331" t="s">
        <v>285</v>
      </c>
      <c r="AY6" s="331">
        <v>6.0400000000000002E-2</v>
      </c>
      <c r="AZ6" s="332">
        <v>24468000</v>
      </c>
      <c r="BA6" s="331">
        <v>0</v>
      </c>
      <c r="BB6" s="332">
        <v>24468000</v>
      </c>
      <c r="BC6" s="333">
        <v>1477.87</v>
      </c>
    </row>
    <row r="7" spans="1:55" ht="16">
      <c r="B7" s="311" t="s">
        <v>362</v>
      </c>
      <c r="C7" s="312" t="s">
        <v>137</v>
      </c>
      <c r="D7" s="312" t="s">
        <v>133</v>
      </c>
      <c r="E7" s="312" t="s">
        <v>258</v>
      </c>
      <c r="F7" s="312" t="s">
        <v>364</v>
      </c>
      <c r="G7" s="312" t="s">
        <v>250</v>
      </c>
      <c r="H7" s="312" t="s">
        <v>298</v>
      </c>
      <c r="K7" s="323" t="s">
        <v>149</v>
      </c>
      <c r="L7" s="341">
        <v>0.15</v>
      </c>
      <c r="N7" s="342" t="s">
        <v>140</v>
      </c>
      <c r="O7" s="16">
        <v>0.54500000000000004</v>
      </c>
      <c r="P7" s="343">
        <f>O7/100</f>
        <v>5.45E-3</v>
      </c>
      <c r="Q7" s="344" t="e">
        <f>P7*'Rent Comps'!#REF!</f>
        <v>#REF!</v>
      </c>
      <c r="AN7" s="338" t="s">
        <v>230</v>
      </c>
      <c r="AO7" s="338">
        <v>0.2109</v>
      </c>
      <c r="AP7" s="339">
        <f>$AP$5</f>
        <v>27090237</v>
      </c>
      <c r="AQ7" s="340">
        <f t="shared" si="1"/>
        <v>5713.3309833000003</v>
      </c>
      <c r="AR7" s="330">
        <f t="shared" si="0"/>
        <v>27090.237000000001</v>
      </c>
      <c r="AT7" s="16" t="s">
        <v>231</v>
      </c>
      <c r="AU7" s="345">
        <f>AU4*AU5*AU6*12</f>
        <v>5525100</v>
      </c>
      <c r="AX7" s="331" t="s">
        <v>286</v>
      </c>
      <c r="AY7" s="331">
        <v>4.3745000000000003</v>
      </c>
      <c r="AZ7" s="332">
        <v>24468000</v>
      </c>
      <c r="BA7" s="331">
        <v>0</v>
      </c>
      <c r="BB7" s="332">
        <v>24468000</v>
      </c>
      <c r="BC7" s="333">
        <v>107035.27</v>
      </c>
    </row>
    <row r="8" spans="1:55" ht="16">
      <c r="A8" s="150"/>
      <c r="B8" s="338" t="s">
        <v>297</v>
      </c>
      <c r="C8" s="308">
        <v>18.041799999999999</v>
      </c>
      <c r="D8" s="309">
        <v>55000000</v>
      </c>
      <c r="E8" s="310">
        <f t="shared" ref="E8:E9" si="2">(C8/1000)*D8</f>
        <v>992299</v>
      </c>
      <c r="F8" s="392"/>
      <c r="G8" s="393">
        <f>SUM(E8:F8)</f>
        <v>992299</v>
      </c>
      <c r="H8" s="310">
        <f>E8/350</f>
        <v>2835.14</v>
      </c>
      <c r="K8" s="16" t="s">
        <v>150</v>
      </c>
      <c r="L8" s="334">
        <f>L7*L6</f>
        <v>5250000</v>
      </c>
      <c r="N8" s="342" t="s">
        <v>141</v>
      </c>
      <c r="O8" s="16">
        <v>1.5683</v>
      </c>
      <c r="P8" s="343">
        <f>O8/100</f>
        <v>1.5682999999999999E-2</v>
      </c>
      <c r="Q8" s="344" t="e">
        <f>P8*'Rent Comps'!#REF!</f>
        <v>#REF!</v>
      </c>
      <c r="AN8" s="338" t="s">
        <v>232</v>
      </c>
      <c r="AO8" s="338">
        <v>0.1</v>
      </c>
      <c r="AP8" s="339">
        <f>$AP$5</f>
        <v>27090237</v>
      </c>
      <c r="AQ8" s="340">
        <f t="shared" si="1"/>
        <v>2709.0237000000002</v>
      </c>
      <c r="AR8" s="330">
        <f t="shared" si="0"/>
        <v>12845.062588904695</v>
      </c>
      <c r="AT8" s="323" t="s">
        <v>233</v>
      </c>
      <c r="AU8" s="346">
        <v>165000</v>
      </c>
      <c r="AX8" s="331" t="s">
        <v>287</v>
      </c>
      <c r="AY8" s="331">
        <v>0.55830000000000002</v>
      </c>
      <c r="AZ8" s="332">
        <v>24468000</v>
      </c>
      <c r="BA8" s="331">
        <v>0</v>
      </c>
      <c r="BB8" s="332">
        <v>24468000</v>
      </c>
      <c r="BC8" s="333">
        <v>13660.48</v>
      </c>
    </row>
    <row r="9" spans="1:55" ht="16">
      <c r="A9" s="150"/>
      <c r="B9" s="338" t="s">
        <v>360</v>
      </c>
      <c r="C9" s="394">
        <f>C30</f>
        <v>17.334199999999996</v>
      </c>
      <c r="D9" s="309">
        <v>60000000</v>
      </c>
      <c r="E9" s="310">
        <f t="shared" si="2"/>
        <v>1040051.9999999997</v>
      </c>
      <c r="F9" s="392"/>
      <c r="G9" s="393">
        <f>SUM(E9:F9)</f>
        <v>1040051.9999999997</v>
      </c>
      <c r="H9" s="310">
        <f>E9/350</f>
        <v>2971.577142857142</v>
      </c>
      <c r="K9" s="323" t="s">
        <v>137</v>
      </c>
      <c r="L9" s="347">
        <v>2.3965210000000001E-2</v>
      </c>
      <c r="N9" s="342" t="s">
        <v>142</v>
      </c>
      <c r="O9" s="16">
        <v>0.22527</v>
      </c>
      <c r="P9" s="343">
        <f>O9/100</f>
        <v>2.2526999999999998E-3</v>
      </c>
      <c r="Q9" s="348" t="e">
        <f>P9*'Rent Comps'!#REF!</f>
        <v>#REF!</v>
      </c>
      <c r="AN9" s="338" t="s">
        <v>234</v>
      </c>
      <c r="AO9" s="338">
        <v>3.8380000000000001</v>
      </c>
      <c r="AP9" s="349">
        <v>42000000</v>
      </c>
      <c r="AQ9" s="340">
        <f t="shared" si="1"/>
        <v>161196</v>
      </c>
      <c r="AR9" s="330">
        <f t="shared" si="0"/>
        <v>764324.32432432426</v>
      </c>
      <c r="AT9" s="16" t="s">
        <v>235</v>
      </c>
      <c r="AU9" s="334">
        <f>SUM(AU7:AU8)</f>
        <v>5690100</v>
      </c>
      <c r="AX9" s="331" t="s">
        <v>288</v>
      </c>
      <c r="AY9" s="331">
        <v>2.5899999999999999E-2</v>
      </c>
      <c r="AZ9" s="332">
        <v>24468000</v>
      </c>
      <c r="BA9" s="331">
        <v>0</v>
      </c>
      <c r="BB9" s="332">
        <v>24468000</v>
      </c>
      <c r="BC9" s="333">
        <v>633.72</v>
      </c>
    </row>
    <row r="10" spans="1:55" ht="16">
      <c r="A10" s="150"/>
      <c r="B10" s="338" t="s">
        <v>361</v>
      </c>
      <c r="C10" s="394">
        <v>20.524799999999999</v>
      </c>
      <c r="D10" s="309">
        <v>55000000</v>
      </c>
      <c r="E10" s="310">
        <f t="shared" ref="E10" si="3">(C10/1000)*D10</f>
        <v>1128864</v>
      </c>
      <c r="F10" s="394"/>
      <c r="G10" s="393">
        <f>SUM(E10:F10)</f>
        <v>1128864</v>
      </c>
      <c r="H10" s="310">
        <f>E10/350</f>
        <v>3225.3257142857142</v>
      </c>
      <c r="K10" s="350" t="s">
        <v>139</v>
      </c>
      <c r="L10" s="351">
        <f>L9*L8</f>
        <v>125817.35250000001</v>
      </c>
      <c r="N10" s="342"/>
      <c r="Q10" s="348" t="e">
        <f>SUM(Q7:Q9)</f>
        <v>#REF!</v>
      </c>
      <c r="AN10" s="338" t="s">
        <v>236</v>
      </c>
      <c r="AO10" s="338">
        <v>2.2480000000000002</v>
      </c>
      <c r="AP10" s="339">
        <f>AP9</f>
        <v>42000000</v>
      </c>
      <c r="AQ10" s="340">
        <f t="shared" si="1"/>
        <v>94416.000000000015</v>
      </c>
      <c r="AR10" s="330">
        <f t="shared" si="0"/>
        <v>447681.36557610246</v>
      </c>
      <c r="AT10" s="323" t="s">
        <v>296</v>
      </c>
      <c r="AU10" s="323">
        <v>0.9</v>
      </c>
      <c r="AX10" s="331" t="s">
        <v>289</v>
      </c>
      <c r="AY10" s="331">
        <v>2.2480000000000002</v>
      </c>
      <c r="AZ10" s="332">
        <v>24468000</v>
      </c>
      <c r="BA10" s="331">
        <v>0</v>
      </c>
      <c r="BB10" s="332">
        <v>24468000</v>
      </c>
      <c r="BC10" s="333">
        <v>55004.06</v>
      </c>
    </row>
    <row r="11" spans="1:55" ht="16">
      <c r="A11" s="150"/>
      <c r="B11" s="338" t="s">
        <v>367</v>
      </c>
      <c r="C11" s="394">
        <v>20.040900000000001</v>
      </c>
      <c r="D11" s="309">
        <v>55000000</v>
      </c>
      <c r="E11" s="310">
        <f t="shared" ref="E11" si="4">(C11/1000)*D11</f>
        <v>1102249.5</v>
      </c>
      <c r="F11" s="394"/>
      <c r="G11" s="393">
        <f>SUM(E11:F11)</f>
        <v>1102249.5</v>
      </c>
      <c r="H11" s="310">
        <f>E11/350</f>
        <v>3149.2842857142855</v>
      </c>
      <c r="N11" s="352" t="s">
        <v>151</v>
      </c>
      <c r="O11" s="346">
        <v>27500000</v>
      </c>
      <c r="P11" s="353" t="s">
        <v>131</v>
      </c>
      <c r="Q11" s="354" t="e">
        <f>Q10/193</f>
        <v>#REF!</v>
      </c>
      <c r="AN11" s="338" t="s">
        <v>237</v>
      </c>
      <c r="AO11" s="338">
        <v>0.28010000000000002</v>
      </c>
      <c r="AP11" s="339">
        <f>AP5</f>
        <v>27090237</v>
      </c>
      <c r="AQ11" s="340">
        <f t="shared" si="1"/>
        <v>7587.9753837000007</v>
      </c>
      <c r="AR11" s="330">
        <f t="shared" si="0"/>
        <v>35979.02031152205</v>
      </c>
      <c r="AT11" s="16" t="s">
        <v>238</v>
      </c>
      <c r="AU11" s="334">
        <f>AU9*AU10</f>
        <v>5121090</v>
      </c>
      <c r="AX11" s="331" t="s">
        <v>290</v>
      </c>
      <c r="AY11" s="331">
        <v>3.7189999999999999</v>
      </c>
      <c r="AZ11" s="332">
        <v>24468000</v>
      </c>
      <c r="BA11" s="331">
        <v>0</v>
      </c>
      <c r="BB11" s="332">
        <v>24468000</v>
      </c>
      <c r="BC11" s="333">
        <v>90996.49</v>
      </c>
    </row>
    <row r="12" spans="1:55" ht="17" thickBot="1">
      <c r="A12" s="150"/>
      <c r="B12" s="338" t="s">
        <v>464</v>
      </c>
      <c r="C12" s="394">
        <v>14.8954</v>
      </c>
      <c r="D12" s="309">
        <v>55000000</v>
      </c>
      <c r="E12" s="310">
        <f t="shared" ref="E12" si="5">(C12/1000)*D12</f>
        <v>819247</v>
      </c>
      <c r="F12" s="394"/>
      <c r="G12" s="393">
        <f>SUM(E12:F12)</f>
        <v>819247</v>
      </c>
      <c r="H12" s="310">
        <f>E12/350</f>
        <v>2340.7057142857143</v>
      </c>
      <c r="K12" s="322" t="s">
        <v>152</v>
      </c>
      <c r="L12" s="323"/>
      <c r="M12" s="316"/>
      <c r="N12" s="316" t="s">
        <v>153</v>
      </c>
      <c r="AN12" s="355" t="s">
        <v>239</v>
      </c>
      <c r="AO12" s="355">
        <v>0.5</v>
      </c>
      <c r="AP12" s="339">
        <f>AP5</f>
        <v>27090237</v>
      </c>
      <c r="AQ12" s="356">
        <f t="shared" si="1"/>
        <v>13545.1185</v>
      </c>
      <c r="AR12" s="330">
        <f t="shared" si="0"/>
        <v>64225.312944523474</v>
      </c>
      <c r="AT12" s="323" t="s">
        <v>240</v>
      </c>
      <c r="AU12" s="323">
        <v>0.4</v>
      </c>
      <c r="AX12" s="331" t="s">
        <v>291</v>
      </c>
      <c r="AY12" s="331">
        <v>9.9000000000000005E-2</v>
      </c>
      <c r="AZ12" s="332">
        <v>24468000</v>
      </c>
      <c r="BA12" s="331">
        <v>0</v>
      </c>
      <c r="BB12" s="332">
        <v>24468000</v>
      </c>
      <c r="BC12" s="333">
        <v>2422.33</v>
      </c>
    </row>
    <row r="13" spans="1:55">
      <c r="A13" s="150"/>
      <c r="K13" s="16" t="s">
        <v>154</v>
      </c>
      <c r="L13" s="357">
        <v>4227854</v>
      </c>
      <c r="AO13" s="16">
        <f>SUM(AO5:AO12)</f>
        <v>14.895400000000002</v>
      </c>
      <c r="AQ13" s="334">
        <f>SUM(AQ5:AQ12)</f>
        <v>494260.73382779997</v>
      </c>
      <c r="AR13" s="334">
        <f>SUM(AR5:AR12)</f>
        <v>2343578.6336073969</v>
      </c>
      <c r="AT13" s="16" t="s">
        <v>83</v>
      </c>
      <c r="AU13" s="334">
        <f>AU12*AU11</f>
        <v>2048436</v>
      </c>
      <c r="AX13" s="331" t="s">
        <v>292</v>
      </c>
      <c r="AY13" s="331">
        <v>0.5</v>
      </c>
      <c r="AZ13" s="332">
        <v>24468000</v>
      </c>
      <c r="BA13" s="331">
        <v>0</v>
      </c>
      <c r="BB13" s="332">
        <v>24468000</v>
      </c>
      <c r="BC13" s="333">
        <v>12234</v>
      </c>
    </row>
    <row r="14" spans="1:55" ht="18">
      <c r="A14" s="150"/>
      <c r="B14" s="652" t="s">
        <v>642</v>
      </c>
      <c r="C14" s="652"/>
      <c r="D14" s="652"/>
      <c r="E14" s="652"/>
      <c r="F14" s="652"/>
      <c r="N14" s="324" t="s">
        <v>135</v>
      </c>
      <c r="O14" s="325"/>
      <c r="P14" s="325"/>
      <c r="Q14" s="326"/>
      <c r="AN14" s="16" t="s">
        <v>121</v>
      </c>
      <c r="AO14" s="358">
        <v>299</v>
      </c>
      <c r="AQ14" s="319"/>
      <c r="AT14" s="16" t="s">
        <v>33</v>
      </c>
      <c r="AU14" s="334">
        <f>AU11-AU13</f>
        <v>3072654</v>
      </c>
      <c r="AX14" s="331" t="s">
        <v>293</v>
      </c>
      <c r="AY14" s="331">
        <v>0.45889999999999997</v>
      </c>
      <c r="AZ14" s="332">
        <v>24468000</v>
      </c>
      <c r="BA14" s="331">
        <v>0</v>
      </c>
      <c r="BB14" s="332">
        <v>24468000</v>
      </c>
      <c r="BC14" s="333">
        <v>11228.37</v>
      </c>
    </row>
    <row r="15" spans="1:55">
      <c r="A15" s="150"/>
      <c r="B15" s="178" t="s">
        <v>470</v>
      </c>
      <c r="C15" s="651" t="s">
        <v>313</v>
      </c>
      <c r="D15" s="651" t="s">
        <v>314</v>
      </c>
      <c r="E15" s="651" t="s">
        <v>315</v>
      </c>
      <c r="F15" s="651" t="s">
        <v>316</v>
      </c>
      <c r="K15" s="16" t="s">
        <v>155</v>
      </c>
      <c r="L15" s="357">
        <v>1977032</v>
      </c>
      <c r="N15" s="335" t="s">
        <v>136</v>
      </c>
      <c r="O15" s="336" t="s">
        <v>137</v>
      </c>
      <c r="P15" s="336" t="s">
        <v>138</v>
      </c>
      <c r="Q15" s="337" t="s">
        <v>139</v>
      </c>
      <c r="AT15" s="323" t="s">
        <v>172</v>
      </c>
      <c r="AU15" s="323">
        <v>5.5E-2</v>
      </c>
      <c r="AX15" s="331" t="s">
        <v>294</v>
      </c>
      <c r="AY15" s="331">
        <v>0.26690000000000003</v>
      </c>
      <c r="AZ15" s="332">
        <v>24468000</v>
      </c>
      <c r="BA15" s="331">
        <v>0</v>
      </c>
      <c r="BB15" s="332">
        <v>24468000</v>
      </c>
      <c r="BC15" s="333">
        <v>6530.51</v>
      </c>
    </row>
    <row r="16" spans="1:55">
      <c r="A16" s="150"/>
      <c r="B16" s="303" t="s">
        <v>317</v>
      </c>
      <c r="C16" s="395">
        <v>3.8622999999999998</v>
      </c>
      <c r="D16" s="396">
        <v>1315129</v>
      </c>
      <c r="E16" s="396">
        <v>1315129</v>
      </c>
      <c r="F16" s="397">
        <v>5079.42</v>
      </c>
      <c r="K16" s="323" t="s">
        <v>156</v>
      </c>
      <c r="L16" s="359">
        <v>976635</v>
      </c>
      <c r="N16" s="342" t="s">
        <v>140</v>
      </c>
      <c r="O16" s="16">
        <v>0.59045400000000003</v>
      </c>
      <c r="P16" s="343">
        <f>O16/100</f>
        <v>5.9045400000000007E-3</v>
      </c>
      <c r="Q16" s="344" t="e">
        <f>P16*'Rent Comps'!#REF!</f>
        <v>#REF!</v>
      </c>
      <c r="AT16" s="16" t="s">
        <v>241</v>
      </c>
      <c r="AU16" s="334">
        <f>AU14/AU15</f>
        <v>55866436.363636367</v>
      </c>
      <c r="AX16" s="297" t="s">
        <v>309</v>
      </c>
      <c r="AY16" s="297">
        <v>18.041799999999999</v>
      </c>
      <c r="AZ16" s="297"/>
      <c r="BA16" s="297"/>
      <c r="BB16" s="297"/>
      <c r="BC16" s="298">
        <v>441446.76</v>
      </c>
    </row>
    <row r="17" spans="1:55" ht="16">
      <c r="A17" s="150"/>
      <c r="B17" s="303" t="s">
        <v>318</v>
      </c>
      <c r="C17" s="395">
        <v>2.2480000000000002</v>
      </c>
      <c r="D17" s="396">
        <v>2337162</v>
      </c>
      <c r="E17" s="396">
        <v>2337162</v>
      </c>
      <c r="F17" s="397">
        <v>5253.94</v>
      </c>
      <c r="K17" s="16" t="s">
        <v>157</v>
      </c>
      <c r="L17" s="357">
        <f>L15-L16</f>
        <v>1000397</v>
      </c>
      <c r="N17" s="342" t="s">
        <v>141</v>
      </c>
      <c r="O17" s="16">
        <v>1.47</v>
      </c>
      <c r="P17" s="343">
        <f>O17/100</f>
        <v>1.47E-2</v>
      </c>
      <c r="Q17" s="344" t="e">
        <f>P17*'Rent Comps'!#REF!</f>
        <v>#REF!</v>
      </c>
      <c r="AN17" s="350" t="s">
        <v>242</v>
      </c>
      <c r="AT17" s="323" t="s">
        <v>243</v>
      </c>
      <c r="AU17" s="323">
        <v>0.15</v>
      </c>
      <c r="BB17" s="16" t="s">
        <v>311</v>
      </c>
      <c r="BC17" s="333">
        <v>9000</v>
      </c>
    </row>
    <row r="18" spans="1:55" ht="16">
      <c r="A18" s="150"/>
      <c r="B18" s="303" t="s">
        <v>319</v>
      </c>
      <c r="C18" s="395">
        <v>3.6429999999999998</v>
      </c>
      <c r="D18" s="396">
        <v>2337162</v>
      </c>
      <c r="E18" s="396">
        <v>2337162</v>
      </c>
      <c r="F18" s="397">
        <v>8514.2800000000007</v>
      </c>
      <c r="N18" s="342" t="s">
        <v>142</v>
      </c>
      <c r="O18" s="16">
        <v>0.22527</v>
      </c>
      <c r="P18" s="343">
        <f>O18/100</f>
        <v>2.2526999999999998E-3</v>
      </c>
      <c r="Q18" s="348" t="e">
        <f>P18*'Rent Comps'!#REF!</f>
        <v>#REF!</v>
      </c>
      <c r="AN18" s="16" t="s">
        <v>244</v>
      </c>
      <c r="AO18" s="345">
        <v>31000000</v>
      </c>
      <c r="AT18" s="16" t="s">
        <v>245</v>
      </c>
      <c r="AU18" s="334">
        <f>AU16*AU17</f>
        <v>8379965.4545454551</v>
      </c>
      <c r="AX18" s="331" t="s">
        <v>310</v>
      </c>
      <c r="BC18" s="360">
        <f>SUM(BC16:BC17)</f>
        <v>450446.76</v>
      </c>
    </row>
    <row r="19" spans="1:55" ht="16">
      <c r="A19" s="150"/>
      <c r="B19" s="303" t="s">
        <v>320</v>
      </c>
      <c r="C19" s="395">
        <v>6.25</v>
      </c>
      <c r="D19" s="396">
        <v>1315129</v>
      </c>
      <c r="E19" s="396">
        <v>1315129</v>
      </c>
      <c r="F19" s="397">
        <v>8219.56</v>
      </c>
      <c r="K19" s="16" t="s">
        <v>158</v>
      </c>
      <c r="L19" s="357">
        <f>L13-L17</f>
        <v>3227457</v>
      </c>
      <c r="N19" s="342"/>
      <c r="Q19" s="348" t="e">
        <f>SUM(Q16:Q18)</f>
        <v>#REF!</v>
      </c>
      <c r="AN19" s="323" t="s">
        <v>246</v>
      </c>
      <c r="AO19" s="323">
        <v>0.83</v>
      </c>
      <c r="BC19" s="333">
        <v>300</v>
      </c>
    </row>
    <row r="20" spans="1:55" ht="16">
      <c r="A20" s="150"/>
      <c r="B20" s="303" t="s">
        <v>321</v>
      </c>
      <c r="C20" s="395">
        <v>6.93E-2</v>
      </c>
      <c r="D20" s="396">
        <v>1315129</v>
      </c>
      <c r="E20" s="396">
        <v>1315129</v>
      </c>
      <c r="F20" s="397">
        <v>91.14</v>
      </c>
      <c r="K20" s="16" t="s">
        <v>159</v>
      </c>
      <c r="L20" s="361">
        <f>L30</f>
        <v>6.8965209999999999E-2</v>
      </c>
      <c r="N20" s="352" t="s">
        <v>143</v>
      </c>
      <c r="O20" s="346">
        <v>43000000</v>
      </c>
      <c r="P20" s="362" t="s">
        <v>131</v>
      </c>
      <c r="Q20" s="354" t="e">
        <f>Q19/350</f>
        <v>#REF!</v>
      </c>
      <c r="AN20" s="16" t="s">
        <v>151</v>
      </c>
      <c r="AO20" s="334">
        <f>AO18*AO19</f>
        <v>25730000</v>
      </c>
      <c r="AT20" s="363" t="s">
        <v>133</v>
      </c>
      <c r="AU20" s="364">
        <f>AU16-AU18</f>
        <v>47486470.909090914</v>
      </c>
      <c r="BC20" s="16">
        <f>BC18/BC19</f>
        <v>1501.4892</v>
      </c>
    </row>
    <row r="21" spans="1:55">
      <c r="A21" s="150"/>
      <c r="B21" s="303" t="s">
        <v>322</v>
      </c>
      <c r="C21" s="395">
        <v>0.47139999999999999</v>
      </c>
      <c r="D21" s="396">
        <v>1315129</v>
      </c>
      <c r="E21" s="396">
        <v>1315129</v>
      </c>
      <c r="F21" s="397">
        <v>619.95000000000005</v>
      </c>
      <c r="N21" s="16" t="s">
        <v>144</v>
      </c>
      <c r="AN21" s="323" t="s">
        <v>247</v>
      </c>
      <c r="AO21" s="323">
        <v>17.607600000000001</v>
      </c>
    </row>
    <row r="22" spans="1:55">
      <c r="A22" s="150"/>
      <c r="B22" s="303" t="s">
        <v>323</v>
      </c>
      <c r="C22" s="395">
        <v>0.17910000000000001</v>
      </c>
      <c r="D22" s="396">
        <v>1315129</v>
      </c>
      <c r="E22" s="396">
        <v>1315129</v>
      </c>
      <c r="F22" s="397">
        <v>235.54</v>
      </c>
      <c r="K22" s="16" t="s">
        <v>160</v>
      </c>
      <c r="L22" s="357">
        <f>L19/L20</f>
        <v>46798334.986582369</v>
      </c>
      <c r="N22" s="16" t="s">
        <v>145</v>
      </c>
      <c r="AN22" s="16" t="s">
        <v>248</v>
      </c>
      <c r="AO22" s="334">
        <f>(AO21/1000)*AO20</f>
        <v>453043.54800000001</v>
      </c>
    </row>
    <row r="23" spans="1:55" ht="16">
      <c r="A23" s="150"/>
      <c r="B23" s="303" t="s">
        <v>324</v>
      </c>
      <c r="C23" s="395">
        <v>0.1061</v>
      </c>
      <c r="D23" s="396">
        <v>1315129</v>
      </c>
      <c r="E23" s="396">
        <v>1315129</v>
      </c>
      <c r="F23" s="397">
        <v>139.54</v>
      </c>
      <c r="K23" s="323" t="s">
        <v>161</v>
      </c>
      <c r="L23" s="365">
        <v>1</v>
      </c>
      <c r="N23" s="350"/>
      <c r="AN23" s="323" t="s">
        <v>249</v>
      </c>
      <c r="AO23" s="366">
        <v>7000</v>
      </c>
      <c r="AX23" s="297" t="s">
        <v>342</v>
      </c>
      <c r="AY23" s="297"/>
    </row>
    <row r="24" spans="1:55">
      <c r="B24" s="303" t="s">
        <v>325</v>
      </c>
      <c r="C24" s="395">
        <v>3.6499999999999998E-2</v>
      </c>
      <c r="D24" s="396">
        <v>1315129</v>
      </c>
      <c r="E24" s="396">
        <v>1315129</v>
      </c>
      <c r="F24" s="397">
        <v>48</v>
      </c>
      <c r="K24" s="16" t="s">
        <v>162</v>
      </c>
      <c r="L24" s="357">
        <f>L22*L23</f>
        <v>46798334.986582369</v>
      </c>
      <c r="N24" s="16" t="s">
        <v>163</v>
      </c>
      <c r="O24" s="16" t="s">
        <v>164</v>
      </c>
      <c r="P24" s="16" t="s">
        <v>165</v>
      </c>
      <c r="Q24" s="369" t="s">
        <v>166</v>
      </c>
      <c r="AN24" s="16" t="s">
        <v>250</v>
      </c>
      <c r="AO24" s="334">
        <f>SUM(AO22:AO23)</f>
        <v>460043.54800000001</v>
      </c>
      <c r="AX24" s="320" t="s">
        <v>282</v>
      </c>
      <c r="AY24" s="320" t="s">
        <v>283</v>
      </c>
    </row>
    <row r="25" spans="1:55">
      <c r="B25" s="303" t="s">
        <v>326</v>
      </c>
      <c r="C25" s="395">
        <v>0.11459999999999999</v>
      </c>
      <c r="D25" s="396">
        <v>1315129</v>
      </c>
      <c r="E25" s="396">
        <v>1315129</v>
      </c>
      <c r="F25" s="397">
        <v>150.71</v>
      </c>
      <c r="K25" s="323" t="s">
        <v>137</v>
      </c>
      <c r="L25" s="347">
        <v>2.3965210000000001E-2</v>
      </c>
      <c r="N25" s="16" t="s">
        <v>163</v>
      </c>
      <c r="O25" s="16" t="s">
        <v>167</v>
      </c>
      <c r="P25" s="16" t="s">
        <v>165</v>
      </c>
      <c r="Q25" s="369" t="s">
        <v>168</v>
      </c>
      <c r="R25" s="16" t="s">
        <v>169</v>
      </c>
      <c r="AX25" s="331" t="s">
        <v>343</v>
      </c>
      <c r="AY25" s="331">
        <v>0.34970000000000001</v>
      </c>
    </row>
    <row r="26" spans="1:55" ht="16">
      <c r="B26" s="303" t="s">
        <v>327</v>
      </c>
      <c r="C26" s="395">
        <v>2.35E-2</v>
      </c>
      <c r="D26" s="396">
        <v>1315129</v>
      </c>
      <c r="E26" s="396">
        <v>1315129</v>
      </c>
      <c r="F26" s="397">
        <v>30.91</v>
      </c>
      <c r="K26" s="350" t="s">
        <v>139</v>
      </c>
      <c r="L26" s="370">
        <f>L24*L25</f>
        <v>1121531.9256037937</v>
      </c>
      <c r="N26" s="16" t="s">
        <v>170</v>
      </c>
      <c r="P26" s="16" t="s">
        <v>171</v>
      </c>
      <c r="AX26" s="331" t="s">
        <v>344</v>
      </c>
      <c r="AY26" s="331">
        <v>0.23130000000000001</v>
      </c>
    </row>
    <row r="27" spans="1:55">
      <c r="B27" s="303" t="s">
        <v>328</v>
      </c>
      <c r="C27" s="395">
        <v>0.24390000000000001</v>
      </c>
      <c r="D27" s="396">
        <v>1315129</v>
      </c>
      <c r="E27" s="396">
        <v>1315129</v>
      </c>
      <c r="F27" s="397">
        <v>320.76</v>
      </c>
      <c r="AX27" s="331" t="s">
        <v>345</v>
      </c>
      <c r="AY27" s="331">
        <v>0.12690000000000001</v>
      </c>
    </row>
    <row r="28" spans="1:55">
      <c r="B28" s="303" t="s">
        <v>329</v>
      </c>
      <c r="C28" s="395">
        <v>3.9399999999999998E-2</v>
      </c>
      <c r="D28" s="396">
        <v>1315129</v>
      </c>
      <c r="E28" s="396">
        <v>1315129</v>
      </c>
      <c r="F28" s="397">
        <v>51.82</v>
      </c>
      <c r="K28" s="16" t="s">
        <v>172</v>
      </c>
      <c r="L28" s="371">
        <v>4.4999999999999998E-2</v>
      </c>
      <c r="AX28" s="331" t="s">
        <v>346</v>
      </c>
      <c r="AY28" s="331">
        <v>0.17630000000000001</v>
      </c>
    </row>
    <row r="29" spans="1:55">
      <c r="B29" s="304" t="s">
        <v>330</v>
      </c>
      <c r="C29" s="398">
        <v>4.7100000000000003E-2</v>
      </c>
      <c r="D29" s="399">
        <v>1315129</v>
      </c>
      <c r="E29" s="399">
        <v>1315129</v>
      </c>
      <c r="F29" s="400">
        <v>61.94</v>
      </c>
      <c r="K29" s="323" t="s">
        <v>137</v>
      </c>
      <c r="L29" s="347">
        <v>2.3965210000000001E-2</v>
      </c>
      <c r="AX29" s="331" t="s">
        <v>347</v>
      </c>
      <c r="AY29" s="331">
        <v>3.2324000000000002</v>
      </c>
    </row>
    <row r="30" spans="1:55">
      <c r="B30" s="296" t="s">
        <v>331</v>
      </c>
      <c r="C30" s="401">
        <f>SUM(C16:C29)</f>
        <v>17.334199999999996</v>
      </c>
      <c r="D30" s="401"/>
      <c r="E30" s="402"/>
      <c r="F30" s="668">
        <f>SUM(F16:F29)</f>
        <v>28817.509999999995</v>
      </c>
      <c r="K30" s="16" t="s">
        <v>159</v>
      </c>
      <c r="L30" s="361">
        <f>SUM(L28:L29)</f>
        <v>6.8965209999999999E-2</v>
      </c>
      <c r="AN30" s="372" t="s">
        <v>281</v>
      </c>
      <c r="AO30" s="297"/>
      <c r="AX30" s="331" t="s">
        <v>348</v>
      </c>
      <c r="AY30" s="331">
        <v>4.2077</v>
      </c>
    </row>
    <row r="31" spans="1:55">
      <c r="B31" s="296" t="s">
        <v>312</v>
      </c>
      <c r="C31" s="296" t="s">
        <v>332</v>
      </c>
      <c r="D31" s="296" t="s">
        <v>333</v>
      </c>
      <c r="E31" s="296" t="s">
        <v>316</v>
      </c>
      <c r="F31" s="297"/>
      <c r="G31" s="297"/>
      <c r="AN31" s="373" t="s">
        <v>282</v>
      </c>
      <c r="AO31" s="374" t="s">
        <v>283</v>
      </c>
      <c r="AX31" s="331" t="s">
        <v>349</v>
      </c>
      <c r="AY31" s="331">
        <v>0.43</v>
      </c>
    </row>
    <row r="32" spans="1:55">
      <c r="B32" s="295" t="s">
        <v>471</v>
      </c>
      <c r="C32" s="302" t="s">
        <v>637</v>
      </c>
      <c r="D32" s="295" t="s">
        <v>448</v>
      </c>
      <c r="E32" s="302"/>
      <c r="F32" s="302"/>
      <c r="G32" s="302"/>
      <c r="H32" s="302"/>
      <c r="I32" s="302"/>
      <c r="AN32" s="331" t="s">
        <v>284</v>
      </c>
      <c r="AO32" s="331">
        <v>5.7309000000000001</v>
      </c>
      <c r="AX32" s="331" t="s">
        <v>350</v>
      </c>
      <c r="AY32" s="331">
        <v>0.9103</v>
      </c>
    </row>
    <row r="33" spans="2:51">
      <c r="B33" s="303" t="s">
        <v>334</v>
      </c>
      <c r="C33" s="669">
        <v>147.41999999999999</v>
      </c>
      <c r="D33" s="367" t="s">
        <v>616</v>
      </c>
      <c r="E33" s="367"/>
      <c r="F33" s="368"/>
      <c r="G33" s="368"/>
      <c r="K33" s="376" t="s">
        <v>254</v>
      </c>
      <c r="T33" s="377"/>
      <c r="U33" s="16" t="s">
        <v>460</v>
      </c>
      <c r="AN33" s="331" t="s">
        <v>285</v>
      </c>
      <c r="AO33" s="331">
        <v>6.0400000000000002E-2</v>
      </c>
      <c r="AX33" s="331" t="s">
        <v>351</v>
      </c>
      <c r="AY33" s="331">
        <v>0.47649999999999998</v>
      </c>
    </row>
    <row r="34" spans="2:51">
      <c r="B34" s="303" t="s">
        <v>335</v>
      </c>
      <c r="C34" s="669">
        <v>13274.03</v>
      </c>
      <c r="D34" s="297" t="s">
        <v>614</v>
      </c>
      <c r="F34" s="297"/>
      <c r="G34" s="297"/>
      <c r="K34" s="16" t="s">
        <v>247</v>
      </c>
      <c r="L34" s="16">
        <v>20.52</v>
      </c>
      <c r="U34" s="16" t="s">
        <v>461</v>
      </c>
      <c r="AN34" s="331" t="s">
        <v>286</v>
      </c>
      <c r="AO34" s="331">
        <v>4.3745000000000003</v>
      </c>
      <c r="AX34" s="331" t="s">
        <v>352</v>
      </c>
      <c r="AY34" s="331">
        <v>3</v>
      </c>
    </row>
    <row r="35" spans="2:51">
      <c r="B35" s="303" t="s">
        <v>336</v>
      </c>
      <c r="C35" s="669">
        <v>463.81</v>
      </c>
      <c r="D35" s="297" t="s">
        <v>613</v>
      </c>
      <c r="F35" s="297"/>
      <c r="G35" s="297"/>
      <c r="K35" s="16" t="s">
        <v>244</v>
      </c>
      <c r="L35" s="345">
        <v>56000000</v>
      </c>
      <c r="U35" s="16" t="s">
        <v>462</v>
      </c>
      <c r="AN35" s="331" t="s">
        <v>287</v>
      </c>
      <c r="AO35" s="331">
        <v>0.55830000000000002</v>
      </c>
      <c r="AX35" s="331" t="s">
        <v>353</v>
      </c>
      <c r="AY35" s="331">
        <v>3.2000000000000001E-2</v>
      </c>
    </row>
    <row r="36" spans="2:51">
      <c r="B36" s="303" t="s">
        <v>337</v>
      </c>
      <c r="C36" s="669">
        <v>622.38</v>
      </c>
      <c r="D36" s="297" t="s">
        <v>613</v>
      </c>
      <c r="F36" s="297"/>
      <c r="G36" s="297"/>
      <c r="K36" s="16" t="s">
        <v>255</v>
      </c>
      <c r="L36" s="378">
        <v>0.9</v>
      </c>
      <c r="AN36" s="331" t="s">
        <v>288</v>
      </c>
      <c r="AO36" s="331">
        <v>2.5899999999999999E-2</v>
      </c>
      <c r="AX36" s="331" t="s">
        <v>354</v>
      </c>
      <c r="AY36" s="331">
        <v>0.748</v>
      </c>
    </row>
    <row r="37" spans="2:51">
      <c r="B37" s="303" t="s">
        <v>338</v>
      </c>
      <c r="C37" s="669">
        <v>264.17</v>
      </c>
      <c r="D37" s="297" t="s">
        <v>613</v>
      </c>
      <c r="F37" s="297"/>
      <c r="G37" s="297"/>
      <c r="K37" s="323" t="s">
        <v>162</v>
      </c>
      <c r="L37" s="366">
        <f>L35*L36</f>
        <v>50400000</v>
      </c>
      <c r="U37" s="132" t="s">
        <v>299</v>
      </c>
      <c r="AN37" s="331" t="s">
        <v>289</v>
      </c>
      <c r="AO37" s="331">
        <v>2.2480000000000002</v>
      </c>
      <c r="AX37" s="331" t="s">
        <v>355</v>
      </c>
      <c r="AY37" s="331">
        <v>1.5</v>
      </c>
    </row>
    <row r="38" spans="2:51">
      <c r="B38" s="303" t="s">
        <v>339</v>
      </c>
      <c r="C38" s="669">
        <v>45864.42</v>
      </c>
      <c r="D38" s="297" t="s">
        <v>617</v>
      </c>
      <c r="E38" s="16" t="s">
        <v>624</v>
      </c>
      <c r="F38" s="297"/>
      <c r="G38" s="297"/>
      <c r="K38" s="16" t="s">
        <v>156</v>
      </c>
      <c r="L38" s="345">
        <f>(L34/1000)*L37</f>
        <v>1034208</v>
      </c>
      <c r="U38" s="369" t="s">
        <v>300</v>
      </c>
      <c r="AN38" s="331" t="s">
        <v>290</v>
      </c>
      <c r="AO38" s="331">
        <v>3.7189999999999999</v>
      </c>
      <c r="AX38" s="331" t="s">
        <v>356</v>
      </c>
      <c r="AY38" s="331">
        <v>3.7010000000000001</v>
      </c>
    </row>
    <row r="39" spans="2:51">
      <c r="B39" s="303" t="s">
        <v>340</v>
      </c>
      <c r="C39" s="669">
        <v>18660.23</v>
      </c>
      <c r="D39" s="297" t="s">
        <v>617</v>
      </c>
      <c r="F39" s="150"/>
      <c r="G39" s="150"/>
      <c r="K39" s="16" t="s">
        <v>256</v>
      </c>
      <c r="L39" s="345">
        <v>60000</v>
      </c>
      <c r="U39" s="16" t="s">
        <v>365</v>
      </c>
      <c r="AN39" s="331" t="s">
        <v>291</v>
      </c>
      <c r="AO39" s="331">
        <v>9.9000000000000005E-2</v>
      </c>
      <c r="AX39" s="331" t="s">
        <v>357</v>
      </c>
      <c r="AY39" s="331">
        <v>1</v>
      </c>
    </row>
    <row r="40" spans="2:51">
      <c r="B40" s="375" t="s">
        <v>341</v>
      </c>
      <c r="C40" s="670">
        <v>2437.5</v>
      </c>
      <c r="D40" s="649" t="s">
        <v>615</v>
      </c>
      <c r="E40" s="323"/>
      <c r="F40" s="404"/>
      <c r="G40" s="404"/>
      <c r="H40" s="323"/>
      <c r="I40" s="323"/>
      <c r="K40" s="323" t="s">
        <v>257</v>
      </c>
      <c r="L40" s="346">
        <v>24000</v>
      </c>
      <c r="AN40" s="331" t="s">
        <v>292</v>
      </c>
      <c r="AO40" s="331">
        <v>0.5</v>
      </c>
      <c r="AX40" s="331" t="s">
        <v>358</v>
      </c>
      <c r="AY40" s="331">
        <v>0.13519999999999999</v>
      </c>
    </row>
    <row r="41" spans="2:51">
      <c r="B41" s="150" t="s">
        <v>132</v>
      </c>
      <c r="C41" s="671">
        <f>SUM(C33:C40)</f>
        <v>81733.959999999992</v>
      </c>
      <c r="D41" s="297"/>
      <c r="F41" s="150"/>
      <c r="G41" s="150"/>
      <c r="K41" s="16" t="s">
        <v>258</v>
      </c>
      <c r="L41" s="334">
        <f>SUM(L38:L40)</f>
        <v>1118208</v>
      </c>
      <c r="U41" s="16" t="s">
        <v>366</v>
      </c>
      <c r="AN41" s="331" t="s">
        <v>293</v>
      </c>
      <c r="AO41" s="331">
        <v>0.45889999999999997</v>
      </c>
      <c r="AX41" s="331" t="s">
        <v>359</v>
      </c>
      <c r="AY41" s="331">
        <v>0.26750000000000002</v>
      </c>
    </row>
    <row r="42" spans="2:51">
      <c r="AN42" s="331" t="s">
        <v>294</v>
      </c>
      <c r="AO42" s="331">
        <v>0.26690000000000003</v>
      </c>
      <c r="AX42" s="297" t="s">
        <v>132</v>
      </c>
      <c r="AY42" s="297">
        <v>20.524799999999999</v>
      </c>
    </row>
    <row r="43" spans="2:51" ht="18">
      <c r="B43" s="652" t="s">
        <v>643</v>
      </c>
      <c r="C43" s="652"/>
      <c r="D43" s="652"/>
      <c r="E43" s="652"/>
      <c r="F43" s="652"/>
      <c r="AN43" s="297" t="s">
        <v>132</v>
      </c>
      <c r="AO43" s="297">
        <v>18.041799999999999</v>
      </c>
    </row>
    <row r="44" spans="2:51">
      <c r="B44" s="178" t="s">
        <v>470</v>
      </c>
      <c r="C44" s="651" t="s">
        <v>313</v>
      </c>
      <c r="D44" s="651" t="s">
        <v>314</v>
      </c>
      <c r="E44" s="651" t="s">
        <v>315</v>
      </c>
      <c r="F44" s="651" t="s">
        <v>316</v>
      </c>
    </row>
    <row r="45" spans="2:51">
      <c r="B45" s="303" t="s">
        <v>317</v>
      </c>
      <c r="C45" s="395">
        <v>4.0506000000000002</v>
      </c>
      <c r="D45" s="396">
        <v>1195572</v>
      </c>
      <c r="E45" s="396">
        <v>1195572</v>
      </c>
      <c r="F45" s="397">
        <v>4842.78</v>
      </c>
    </row>
    <row r="46" spans="2:51">
      <c r="B46" s="303" t="s">
        <v>318</v>
      </c>
      <c r="C46" s="395">
        <v>2.2480000000000002</v>
      </c>
      <c r="D46" s="396">
        <v>1888867</v>
      </c>
      <c r="E46" s="396">
        <v>1888867</v>
      </c>
      <c r="F46" s="397">
        <v>4246.17</v>
      </c>
    </row>
    <row r="47" spans="2:51">
      <c r="B47" s="303" t="s">
        <v>319</v>
      </c>
      <c r="C47" s="395">
        <v>3.81</v>
      </c>
      <c r="D47" s="396">
        <v>1888867</v>
      </c>
      <c r="E47" s="396">
        <v>1888867</v>
      </c>
      <c r="F47" s="397">
        <v>7196.58</v>
      </c>
    </row>
    <row r="48" spans="2:51">
      <c r="B48" s="303" t="s">
        <v>320</v>
      </c>
      <c r="C48" s="395">
        <v>6.375</v>
      </c>
      <c r="D48" s="396">
        <v>1195572</v>
      </c>
      <c r="E48" s="396">
        <v>1195572</v>
      </c>
      <c r="F48" s="397">
        <v>7621.77</v>
      </c>
    </row>
    <row r="49" spans="2:9">
      <c r="B49" s="303" t="s">
        <v>321</v>
      </c>
      <c r="C49" s="395">
        <v>6.93E-2</v>
      </c>
      <c r="D49" s="396">
        <v>1195572</v>
      </c>
      <c r="E49" s="396">
        <v>1195572</v>
      </c>
      <c r="F49" s="397">
        <v>82.85</v>
      </c>
    </row>
    <row r="50" spans="2:9">
      <c r="B50" s="303" t="s">
        <v>322</v>
      </c>
      <c r="C50" s="395">
        <v>0.49559999999999998</v>
      </c>
      <c r="D50" s="396">
        <v>1195572</v>
      </c>
      <c r="E50" s="396">
        <v>1195572</v>
      </c>
      <c r="F50" s="397">
        <v>592.53</v>
      </c>
    </row>
    <row r="51" spans="2:9">
      <c r="B51" s="303" t="s">
        <v>323</v>
      </c>
      <c r="C51" s="395">
        <v>0.17530000000000001</v>
      </c>
      <c r="D51" s="396">
        <v>1195572</v>
      </c>
      <c r="E51" s="396">
        <v>1195572</v>
      </c>
      <c r="F51" s="397">
        <v>209.58</v>
      </c>
    </row>
    <row r="52" spans="2:9">
      <c r="B52" s="303" t="s">
        <v>324</v>
      </c>
      <c r="C52" s="395">
        <v>0.1103</v>
      </c>
      <c r="D52" s="396">
        <v>1195572</v>
      </c>
      <c r="E52" s="396">
        <v>1195572</v>
      </c>
      <c r="F52" s="397">
        <v>131.87</v>
      </c>
    </row>
    <row r="53" spans="2:9">
      <c r="B53" s="303" t="s">
        <v>325</v>
      </c>
      <c r="C53" s="395">
        <v>3.7999999999999999E-2</v>
      </c>
      <c r="D53" s="396">
        <v>1195572</v>
      </c>
      <c r="E53" s="396">
        <v>1195572</v>
      </c>
      <c r="F53" s="397">
        <v>45.43</v>
      </c>
    </row>
    <row r="54" spans="2:9">
      <c r="B54" s="303" t="s">
        <v>326</v>
      </c>
      <c r="C54" s="395">
        <v>0.1192</v>
      </c>
      <c r="D54" s="396">
        <v>1195572</v>
      </c>
      <c r="E54" s="396">
        <v>1195572</v>
      </c>
      <c r="F54" s="397">
        <v>142.51</v>
      </c>
    </row>
    <row r="55" spans="2:9">
      <c r="B55" s="303" t="s">
        <v>327</v>
      </c>
      <c r="C55" s="395">
        <v>2.2100000000000002E-2</v>
      </c>
      <c r="D55" s="396">
        <v>1195572</v>
      </c>
      <c r="E55" s="396">
        <v>1195572</v>
      </c>
      <c r="F55" s="397">
        <v>26.42</v>
      </c>
    </row>
    <row r="56" spans="2:9">
      <c r="B56" s="303" t="s">
        <v>328</v>
      </c>
      <c r="C56" s="395">
        <v>0.24390000000000001</v>
      </c>
      <c r="D56" s="396">
        <v>1195572</v>
      </c>
      <c r="E56" s="396">
        <v>1195572</v>
      </c>
      <c r="F56" s="397">
        <v>291.60000000000002</v>
      </c>
    </row>
    <row r="57" spans="2:9">
      <c r="B57" s="303" t="s">
        <v>329</v>
      </c>
      <c r="C57" s="395">
        <v>3.9399999999999998E-2</v>
      </c>
      <c r="D57" s="396">
        <v>1195572</v>
      </c>
      <c r="E57" s="396">
        <v>1195572</v>
      </c>
      <c r="F57" s="397">
        <v>47.11</v>
      </c>
    </row>
    <row r="58" spans="2:9">
      <c r="B58" s="304" t="s">
        <v>330</v>
      </c>
      <c r="C58" s="398">
        <v>0.3</v>
      </c>
      <c r="D58" s="399">
        <v>1195572</v>
      </c>
      <c r="E58" s="399">
        <v>1195572</v>
      </c>
      <c r="F58" s="400">
        <v>358.67</v>
      </c>
    </row>
    <row r="59" spans="2:9">
      <c r="B59" s="296" t="s">
        <v>331</v>
      </c>
      <c r="C59" s="401">
        <f>SUM(C45:C58)</f>
        <v>18.096699999999998</v>
      </c>
      <c r="D59" s="401"/>
      <c r="E59" s="402"/>
      <c r="F59" s="402">
        <f>SUM(F45:F58)</f>
        <v>25835.869999999995</v>
      </c>
    </row>
    <row r="60" spans="2:9">
      <c r="B60" s="296" t="s">
        <v>312</v>
      </c>
      <c r="C60" s="296" t="s">
        <v>332</v>
      </c>
      <c r="D60" s="296" t="s">
        <v>333</v>
      </c>
      <c r="E60" s="296" t="s">
        <v>316</v>
      </c>
      <c r="F60" s="297"/>
      <c r="G60" s="297"/>
    </row>
    <row r="61" spans="2:9" ht="15">
      <c r="B61" s="295" t="s">
        <v>622</v>
      </c>
      <c r="C61" s="302" t="s">
        <v>618</v>
      </c>
      <c r="D61" s="295" t="s">
        <v>448</v>
      </c>
      <c r="E61"/>
      <c r="F61"/>
      <c r="G61"/>
      <c r="H61"/>
      <c r="I61"/>
    </row>
    <row r="62" spans="2:9" ht="15">
      <c r="B62" s="303" t="s">
        <v>334</v>
      </c>
      <c r="C62" s="300">
        <v>147.41999999999999</v>
      </c>
      <c r="D62" s="367" t="s">
        <v>644</v>
      </c>
      <c r="E62"/>
      <c r="F62"/>
      <c r="G62"/>
      <c r="H62"/>
      <c r="I62"/>
    </row>
    <row r="63" spans="2:9" ht="15">
      <c r="B63" s="303" t="s">
        <v>335</v>
      </c>
      <c r="C63" s="300">
        <v>13274.03</v>
      </c>
      <c r="D63" s="297" t="s">
        <v>613</v>
      </c>
      <c r="E63"/>
      <c r="F63"/>
      <c r="G63"/>
      <c r="H63"/>
      <c r="I63"/>
    </row>
    <row r="64" spans="2:9" ht="15">
      <c r="B64" s="303" t="s">
        <v>336</v>
      </c>
      <c r="C64" s="300">
        <v>463.81</v>
      </c>
      <c r="D64" s="297" t="s">
        <v>613</v>
      </c>
      <c r="E64"/>
      <c r="F64"/>
      <c r="G64"/>
      <c r="H64"/>
      <c r="I64"/>
    </row>
    <row r="65" spans="2:9" ht="15">
      <c r="B65" s="303" t="s">
        <v>337</v>
      </c>
      <c r="C65" s="300">
        <v>622.38</v>
      </c>
      <c r="D65" s="297" t="s">
        <v>613</v>
      </c>
      <c r="E65"/>
      <c r="F65"/>
      <c r="G65"/>
      <c r="H65"/>
      <c r="I65"/>
    </row>
    <row r="66" spans="2:9" ht="15">
      <c r="B66" s="303" t="s">
        <v>338</v>
      </c>
      <c r="C66" s="300">
        <v>264.17</v>
      </c>
      <c r="D66" s="297" t="s">
        <v>613</v>
      </c>
      <c r="E66"/>
      <c r="F66"/>
      <c r="G66"/>
      <c r="H66"/>
      <c r="I66"/>
    </row>
    <row r="67" spans="2:9" ht="15">
      <c r="B67" s="303" t="s">
        <v>339</v>
      </c>
      <c r="C67" s="300">
        <v>45864.42</v>
      </c>
      <c r="D67" s="297" t="s">
        <v>617</v>
      </c>
      <c r="E67"/>
      <c r="F67"/>
      <c r="G67"/>
      <c r="H67"/>
      <c r="I67"/>
    </row>
    <row r="68" spans="2:9" ht="15">
      <c r="B68" s="303" t="s">
        <v>340</v>
      </c>
      <c r="C68" s="300">
        <v>18660.23</v>
      </c>
      <c r="D68" s="297" t="s">
        <v>617</v>
      </c>
      <c r="E68"/>
      <c r="F68"/>
      <c r="G68"/>
      <c r="H68"/>
      <c r="I68"/>
    </row>
    <row r="69" spans="2:9" ht="15">
      <c r="B69" s="375" t="s">
        <v>341</v>
      </c>
      <c r="C69" s="301">
        <v>2437.5</v>
      </c>
      <c r="D69" s="649" t="s">
        <v>644</v>
      </c>
      <c r="E69"/>
      <c r="F69"/>
      <c r="G69"/>
      <c r="H69"/>
      <c r="I69"/>
    </row>
    <row r="70" spans="2:9" ht="15">
      <c r="B70" s="150" t="s">
        <v>132</v>
      </c>
      <c r="C70" s="151">
        <f>SUM(C62:C69)</f>
        <v>81733.959999999992</v>
      </c>
      <c r="D70" s="297"/>
      <c r="E70"/>
      <c r="F70"/>
      <c r="G70"/>
      <c r="H70"/>
      <c r="I70"/>
    </row>
    <row r="71" spans="2:9" ht="15">
      <c r="E71"/>
      <c r="F71"/>
      <c r="G71"/>
      <c r="H71"/>
      <c r="I71"/>
    </row>
    <row r="72" spans="2:9" ht="15">
      <c r="E72"/>
      <c r="F72"/>
      <c r="G72"/>
      <c r="H72"/>
      <c r="I72"/>
    </row>
    <row r="73" spans="2:9">
      <c r="B73" s="654" t="s">
        <v>639</v>
      </c>
    </row>
    <row r="74" spans="2:9">
      <c r="B74" s="653" t="s">
        <v>627</v>
      </c>
    </row>
    <row r="75" spans="2:9">
      <c r="B75" s="16" t="s">
        <v>628</v>
      </c>
    </row>
    <row r="76" spans="2:9">
      <c r="B76" s="650" t="s">
        <v>623</v>
      </c>
    </row>
    <row r="77" spans="2:9">
      <c r="B77" s="650" t="s">
        <v>625</v>
      </c>
    </row>
    <row r="78" spans="2:9">
      <c r="B78" s="650" t="s">
        <v>634</v>
      </c>
    </row>
    <row r="79" spans="2:9">
      <c r="F79" s="150"/>
      <c r="G79" s="150"/>
    </row>
    <row r="80" spans="2:9">
      <c r="B80" s="653" t="s">
        <v>629</v>
      </c>
    </row>
    <row r="81" spans="2:7">
      <c r="B81" s="650" t="s">
        <v>630</v>
      </c>
    </row>
    <row r="82" spans="2:7">
      <c r="B82" s="16" t="s">
        <v>631</v>
      </c>
    </row>
    <row r="83" spans="2:7">
      <c r="B83" s="16" t="s">
        <v>632</v>
      </c>
    </row>
    <row r="85" spans="2:7">
      <c r="B85" s="653" t="s">
        <v>612</v>
      </c>
    </row>
    <row r="86" spans="2:7">
      <c r="B86" s="16" t="s">
        <v>645</v>
      </c>
      <c r="D86" s="150"/>
      <c r="E86" s="305"/>
      <c r="F86" s="150"/>
      <c r="G86" s="150"/>
    </row>
    <row r="87" spans="2:7">
      <c r="D87" s="150"/>
      <c r="E87" s="305"/>
      <c r="F87" s="150"/>
      <c r="G87" s="150"/>
    </row>
    <row r="89" spans="2:7">
      <c r="B89" s="653" t="s">
        <v>635</v>
      </c>
      <c r="E89" s="305"/>
      <c r="F89" s="150"/>
      <c r="G89" s="150"/>
    </row>
    <row r="90" spans="2:7">
      <c r="B90" s="16" t="s">
        <v>646</v>
      </c>
      <c r="E90" s="305"/>
      <c r="F90" s="150"/>
      <c r="G90" s="150"/>
    </row>
    <row r="91" spans="2:7">
      <c r="E91" s="305"/>
      <c r="F91" s="150"/>
      <c r="G91" s="150"/>
    </row>
    <row r="92" spans="2:7">
      <c r="B92" s="653" t="s">
        <v>647</v>
      </c>
    </row>
    <row r="93" spans="2:7">
      <c r="B93" s="16" t="s">
        <v>648</v>
      </c>
    </row>
    <row r="94" spans="2:7">
      <c r="B94" s="16" t="s">
        <v>649</v>
      </c>
    </row>
    <row r="95" spans="2:7">
      <c r="B95" s="16" t="s">
        <v>650</v>
      </c>
    </row>
    <row r="98" spans="2:7">
      <c r="B98" s="653" t="s">
        <v>636</v>
      </c>
      <c r="E98" s="305"/>
      <c r="F98" s="150"/>
      <c r="G98" s="150"/>
    </row>
    <row r="99" spans="2:7" ht="15">
      <c r="B99" s="416" t="s">
        <v>619</v>
      </c>
      <c r="E99" s="305"/>
      <c r="F99" s="150"/>
      <c r="G99" s="150"/>
    </row>
    <row r="100" spans="2:7">
      <c r="B100" s="16" t="s">
        <v>620</v>
      </c>
      <c r="E100" s="305"/>
      <c r="F100" s="150"/>
      <c r="G100" s="150"/>
    </row>
    <row r="101" spans="2:7">
      <c r="B101" s="16" t="s">
        <v>621</v>
      </c>
    </row>
    <row r="102" spans="2:7" ht="15">
      <c r="B102" s="416" t="s">
        <v>633</v>
      </c>
    </row>
    <row r="104" spans="2:7">
      <c r="B104" s="653" t="s">
        <v>641</v>
      </c>
      <c r="C104" s="150"/>
    </row>
    <row r="105" spans="2:7">
      <c r="B105" s="16" t="s">
        <v>638</v>
      </c>
      <c r="C105" s="150"/>
    </row>
    <row r="106" spans="2:7">
      <c r="B106" s="16" t="s">
        <v>640</v>
      </c>
    </row>
    <row r="108" spans="2:7">
      <c r="B108" s="293" t="s">
        <v>469</v>
      </c>
      <c r="C108" s="295"/>
      <c r="D108" s="295"/>
    </row>
    <row r="109" spans="2:7">
      <c r="B109" s="379" t="s">
        <v>468</v>
      </c>
      <c r="C109" s="380"/>
      <c r="D109" s="381"/>
    </row>
    <row r="110" spans="2:7">
      <c r="B110" s="382"/>
      <c r="C110" s="383" t="s">
        <v>250</v>
      </c>
      <c r="D110" s="384" t="s">
        <v>467</v>
      </c>
    </row>
    <row r="111" spans="2:7">
      <c r="B111" s="382" t="s">
        <v>363</v>
      </c>
      <c r="C111" s="175">
        <f>(C115*C114/1000)</f>
        <v>526846.59167919983</v>
      </c>
      <c r="D111" s="385">
        <f>C111/186</f>
        <v>2832.508557415053</v>
      </c>
    </row>
    <row r="112" spans="2:7">
      <c r="B112" s="382" t="s">
        <v>471</v>
      </c>
      <c r="C112" s="386">
        <f>C41</f>
        <v>81733.959999999992</v>
      </c>
      <c r="D112" s="387">
        <f>C112/186</f>
        <v>439.42989247311823</v>
      </c>
    </row>
    <row r="113" spans="2:5">
      <c r="B113" s="382" t="s">
        <v>250</v>
      </c>
      <c r="C113" s="388">
        <f>SUM(C111:C112)</f>
        <v>608580.55167919979</v>
      </c>
      <c r="D113" s="403">
        <f>C113/186</f>
        <v>3271.9384498881709</v>
      </c>
    </row>
    <row r="114" spans="2:5">
      <c r="B114" s="342" t="s">
        <v>626</v>
      </c>
      <c r="C114" s="316">
        <f>C133</f>
        <v>17.334199999999996</v>
      </c>
      <c r="D114" s="389"/>
    </row>
    <row r="115" spans="2:5">
      <c r="B115" s="390" t="s">
        <v>466</v>
      </c>
      <c r="C115" s="391">
        <v>30393476</v>
      </c>
      <c r="D115" s="656">
        <f>C115/186</f>
        <v>163405.78494623656</v>
      </c>
    </row>
    <row r="117" spans="2:5">
      <c r="B117" s="652" t="s">
        <v>469</v>
      </c>
      <c r="C117" s="652"/>
      <c r="D117" s="652"/>
      <c r="E117" s="652"/>
    </row>
    <row r="118" spans="2:5">
      <c r="B118" s="178" t="s">
        <v>470</v>
      </c>
      <c r="C118" s="651" t="s">
        <v>313</v>
      </c>
      <c r="D118" s="651" t="s">
        <v>314</v>
      </c>
      <c r="E118" s="651" t="s">
        <v>316</v>
      </c>
    </row>
    <row r="119" spans="2:5">
      <c r="B119" s="16" t="s">
        <v>317</v>
      </c>
      <c r="C119" s="16">
        <v>3.8622999999999998</v>
      </c>
      <c r="D119" s="272">
        <v>29335737</v>
      </c>
      <c r="E119" s="360">
        <v>113303.42</v>
      </c>
    </row>
    <row r="120" spans="2:5">
      <c r="B120" s="16" t="s">
        <v>318</v>
      </c>
      <c r="C120" s="16">
        <v>2.2480000000000002</v>
      </c>
      <c r="D120" s="272">
        <v>30393476</v>
      </c>
      <c r="E120" s="360">
        <v>68324.53</v>
      </c>
    </row>
    <row r="121" spans="2:5">
      <c r="B121" s="16" t="s">
        <v>319</v>
      </c>
      <c r="C121" s="16">
        <v>3.6429999999999998</v>
      </c>
      <c r="D121" s="272">
        <v>30393476</v>
      </c>
      <c r="E121" s="360">
        <v>110723.43</v>
      </c>
    </row>
    <row r="122" spans="2:5">
      <c r="B122" s="16" t="s">
        <v>320</v>
      </c>
      <c r="C122" s="16">
        <v>6.25</v>
      </c>
      <c r="D122" s="272">
        <v>29335737</v>
      </c>
      <c r="E122" s="360">
        <v>183348.36</v>
      </c>
    </row>
    <row r="123" spans="2:5">
      <c r="B123" s="16" t="s">
        <v>321</v>
      </c>
      <c r="C123" s="16">
        <v>6.93E-2</v>
      </c>
      <c r="D123" s="272">
        <v>29335737</v>
      </c>
      <c r="E123" s="360">
        <v>2032.97</v>
      </c>
    </row>
    <row r="124" spans="2:5">
      <c r="B124" s="16" t="s">
        <v>322</v>
      </c>
      <c r="C124" s="16">
        <v>0.47139999999999999</v>
      </c>
      <c r="D124" s="272">
        <v>29335737</v>
      </c>
      <c r="E124" s="360">
        <v>13828.87</v>
      </c>
    </row>
    <row r="125" spans="2:5">
      <c r="B125" s="16" t="s">
        <v>323</v>
      </c>
      <c r="C125" s="16">
        <v>0.17910000000000001</v>
      </c>
      <c r="D125" s="272">
        <v>29335737</v>
      </c>
      <c r="E125" s="360">
        <v>5254.03</v>
      </c>
    </row>
    <row r="126" spans="2:5">
      <c r="B126" s="16" t="s">
        <v>324</v>
      </c>
      <c r="C126" s="16">
        <v>0.1061</v>
      </c>
      <c r="D126" s="272">
        <v>29335737</v>
      </c>
      <c r="E126" s="360">
        <v>3112.52</v>
      </c>
    </row>
    <row r="127" spans="2:5">
      <c r="B127" s="16" t="s">
        <v>325</v>
      </c>
      <c r="C127" s="16">
        <v>3.6499999999999998E-2</v>
      </c>
      <c r="D127" s="272">
        <v>29335737</v>
      </c>
      <c r="E127" s="360">
        <v>1070.75</v>
      </c>
    </row>
    <row r="128" spans="2:5">
      <c r="B128" s="16" t="s">
        <v>326</v>
      </c>
      <c r="C128" s="16">
        <v>0.11459999999999999</v>
      </c>
      <c r="D128" s="272">
        <v>29335737</v>
      </c>
      <c r="E128" s="360">
        <v>3361.88</v>
      </c>
    </row>
    <row r="129" spans="2:11">
      <c r="B129" s="16" t="s">
        <v>327</v>
      </c>
      <c r="C129" s="16">
        <v>2.35E-2</v>
      </c>
      <c r="D129" s="272">
        <v>29335737</v>
      </c>
      <c r="E129" s="360">
        <v>689.39</v>
      </c>
    </row>
    <row r="130" spans="2:11">
      <c r="B130" s="16" t="s">
        <v>328</v>
      </c>
      <c r="C130" s="16">
        <v>0.24390000000000001</v>
      </c>
      <c r="D130" s="272">
        <v>29335737</v>
      </c>
      <c r="E130" s="360">
        <v>7154.99</v>
      </c>
    </row>
    <row r="131" spans="2:11">
      <c r="B131" s="16" t="s">
        <v>329</v>
      </c>
      <c r="C131" s="16">
        <v>3.9399999999999998E-2</v>
      </c>
      <c r="D131" s="272">
        <v>29335737</v>
      </c>
      <c r="E131" s="360">
        <v>1155.83</v>
      </c>
    </row>
    <row r="132" spans="2:11">
      <c r="B132" s="323" t="s">
        <v>330</v>
      </c>
      <c r="C132" s="323">
        <v>4.7100000000000003E-2</v>
      </c>
      <c r="D132" s="284">
        <v>29335737</v>
      </c>
      <c r="E132" s="655">
        <v>1381.71</v>
      </c>
    </row>
    <row r="133" spans="2:11">
      <c r="C133" s="16">
        <f>SUM(C119:C132)</f>
        <v>17.334199999999996</v>
      </c>
    </row>
    <row r="134" spans="2:11" ht="15">
      <c r="I134"/>
      <c r="J134"/>
      <c r="K134"/>
    </row>
    <row r="135" spans="2:11" ht="15">
      <c r="I135"/>
      <c r="J135"/>
      <c r="K135"/>
    </row>
    <row r="136" spans="2:11" ht="15">
      <c r="I136"/>
      <c r="J136"/>
      <c r="K136"/>
    </row>
    <row r="137" spans="2:11" ht="15">
      <c r="B137"/>
      <c r="C137"/>
      <c r="D137"/>
      <c r="E137"/>
      <c r="F137"/>
      <c r="G137"/>
      <c r="H137"/>
      <c r="I137"/>
      <c r="J137"/>
      <c r="K137"/>
    </row>
    <row r="138" spans="2:11" ht="15">
      <c r="B138"/>
      <c r="C138"/>
      <c r="D138"/>
      <c r="E138"/>
      <c r="F138"/>
      <c r="G138"/>
      <c r="H138"/>
      <c r="I138"/>
      <c r="J138"/>
      <c r="K138"/>
    </row>
    <row r="139" spans="2:11" ht="15">
      <c r="B139"/>
      <c r="C139"/>
      <c r="D139"/>
      <c r="E139"/>
      <c r="F139"/>
      <c r="G139"/>
      <c r="H139"/>
      <c r="I139"/>
      <c r="J139"/>
      <c r="K139"/>
    </row>
    <row r="140" spans="2:11" ht="15">
      <c r="B140"/>
      <c r="C140"/>
      <c r="D140"/>
      <c r="E140"/>
      <c r="F140"/>
      <c r="G140"/>
      <c r="H140"/>
      <c r="I140"/>
      <c r="J140"/>
      <c r="K140"/>
    </row>
    <row r="141" spans="2:11" ht="15">
      <c r="B141"/>
      <c r="C141"/>
      <c r="D141"/>
      <c r="E141"/>
      <c r="F141"/>
      <c r="G141"/>
      <c r="H141"/>
      <c r="I141"/>
      <c r="J141"/>
      <c r="K141"/>
    </row>
    <row r="142" spans="2:11" ht="15">
      <c r="B142"/>
      <c r="C142"/>
      <c r="D142"/>
      <c r="E142"/>
      <c r="F142"/>
      <c r="G142"/>
      <c r="H142"/>
      <c r="I142"/>
      <c r="J142"/>
      <c r="K142"/>
    </row>
    <row r="143" spans="2:11" ht="15">
      <c r="B143"/>
      <c r="C143"/>
      <c r="D143"/>
      <c r="E143"/>
      <c r="F143"/>
      <c r="G143"/>
      <c r="H143"/>
      <c r="I143"/>
      <c r="J143"/>
      <c r="K143"/>
    </row>
    <row r="144" spans="2:11" ht="15">
      <c r="B144"/>
      <c r="C144"/>
      <c r="D144"/>
      <c r="E144"/>
      <c r="F144"/>
      <c r="G144"/>
      <c r="H144"/>
      <c r="I144"/>
      <c r="J144"/>
      <c r="K144"/>
    </row>
    <row r="145" spans="2:11" ht="15">
      <c r="B145"/>
      <c r="C145"/>
      <c r="D145"/>
      <c r="E145"/>
      <c r="F145"/>
      <c r="G145"/>
      <c r="H145"/>
      <c r="I145"/>
      <c r="J145"/>
      <c r="K145"/>
    </row>
    <row r="146" spans="2:11" ht="15">
      <c r="B146"/>
      <c r="C146"/>
      <c r="D146"/>
      <c r="E146"/>
      <c r="F146"/>
      <c r="G146"/>
      <c r="H146"/>
      <c r="I146"/>
      <c r="J146"/>
      <c r="K146"/>
    </row>
    <row r="147" spans="2:11" ht="15">
      <c r="B147"/>
      <c r="C147"/>
      <c r="D147"/>
      <c r="E147"/>
      <c r="F147"/>
      <c r="G147"/>
      <c r="H147"/>
      <c r="I147"/>
      <c r="J147"/>
      <c r="K147"/>
    </row>
    <row r="148" spans="2:11" ht="15">
      <c r="B148"/>
      <c r="C148"/>
      <c r="D148"/>
      <c r="E148"/>
      <c r="F148"/>
      <c r="G148"/>
      <c r="H148"/>
      <c r="I148"/>
      <c r="J148"/>
      <c r="K148"/>
    </row>
    <row r="149" spans="2:11" ht="15">
      <c r="B149"/>
      <c r="C149"/>
      <c r="D149"/>
      <c r="E149"/>
      <c r="F149"/>
      <c r="G149"/>
      <c r="H149"/>
      <c r="I149"/>
      <c r="J149"/>
      <c r="K149"/>
    </row>
    <row r="150" spans="2:11" ht="15">
      <c r="B150"/>
      <c r="C150"/>
      <c r="D150"/>
      <c r="E150"/>
      <c r="F150"/>
      <c r="G150"/>
      <c r="H150"/>
      <c r="I150"/>
      <c r="J150"/>
      <c r="K150"/>
    </row>
    <row r="151" spans="2:11" ht="15">
      <c r="B151"/>
      <c r="C151"/>
      <c r="D151"/>
      <c r="E151"/>
      <c r="F151"/>
      <c r="G151"/>
      <c r="H151"/>
      <c r="I151"/>
      <c r="J151"/>
      <c r="K151"/>
    </row>
    <row r="152" spans="2:11" ht="15">
      <c r="B152"/>
      <c r="C152"/>
      <c r="D152"/>
      <c r="E152"/>
      <c r="F152"/>
      <c r="G152"/>
      <c r="H152"/>
      <c r="I152"/>
      <c r="J152"/>
      <c r="K152"/>
    </row>
    <row r="153" spans="2:11" ht="15">
      <c r="B153"/>
      <c r="C153"/>
      <c r="D153"/>
      <c r="E153"/>
      <c r="F153"/>
      <c r="G153"/>
      <c r="H153"/>
      <c r="I153"/>
      <c r="J153"/>
      <c r="K153"/>
    </row>
    <row r="154" spans="2:11" ht="15">
      <c r="B154"/>
      <c r="C154"/>
      <c r="D154"/>
      <c r="E154"/>
      <c r="F154"/>
      <c r="G154"/>
      <c r="H154"/>
      <c r="I154"/>
      <c r="J154"/>
      <c r="K154"/>
    </row>
    <row r="155" spans="2:11" ht="15">
      <c r="B155"/>
      <c r="C155"/>
      <c r="D155"/>
      <c r="E155"/>
      <c r="F155"/>
      <c r="G155"/>
      <c r="H155"/>
      <c r="I155"/>
      <c r="J155"/>
      <c r="K155"/>
    </row>
    <row r="156" spans="2:11" ht="15">
      <c r="B156"/>
      <c r="C156"/>
      <c r="D156"/>
      <c r="E156"/>
      <c r="F156"/>
      <c r="G156"/>
      <c r="H156"/>
      <c r="I156"/>
      <c r="J156"/>
      <c r="K156"/>
    </row>
    <row r="157" spans="2:11" ht="15">
      <c r="B157"/>
      <c r="C157"/>
      <c r="D157"/>
      <c r="E157"/>
      <c r="F157"/>
      <c r="G157"/>
      <c r="H157"/>
      <c r="I157"/>
      <c r="J157"/>
      <c r="K157"/>
    </row>
    <row r="158" spans="2:11" ht="15">
      <c r="B158"/>
      <c r="C158"/>
      <c r="D158"/>
      <c r="E158"/>
      <c r="F158"/>
      <c r="G158"/>
      <c r="H158"/>
      <c r="I158"/>
      <c r="J158"/>
      <c r="K158"/>
    </row>
    <row r="159" spans="2:11" ht="15">
      <c r="B159"/>
      <c r="C159"/>
      <c r="D159"/>
      <c r="E159"/>
      <c r="F159"/>
      <c r="G159"/>
      <c r="H159"/>
      <c r="I159"/>
      <c r="J159"/>
      <c r="K159"/>
    </row>
    <row r="160" spans="2:11" ht="15">
      <c r="B160"/>
      <c r="C160"/>
      <c r="D160"/>
      <c r="E160"/>
      <c r="F160"/>
      <c r="G160"/>
      <c r="H160"/>
      <c r="I160"/>
      <c r="J160"/>
      <c r="K160"/>
    </row>
    <row r="161" spans="2:11" ht="15">
      <c r="B161"/>
      <c r="C161"/>
      <c r="D161"/>
      <c r="E161"/>
      <c r="F161"/>
      <c r="G161"/>
      <c r="H161"/>
      <c r="I161"/>
      <c r="J161"/>
      <c r="K161"/>
    </row>
    <row r="162" spans="2:11" ht="15">
      <c r="B162"/>
      <c r="C162"/>
      <c r="D162"/>
      <c r="E162"/>
      <c r="F162"/>
      <c r="G162"/>
      <c r="H162"/>
      <c r="I162"/>
      <c r="J162"/>
      <c r="K162"/>
    </row>
    <row r="163" spans="2:11" ht="15">
      <c r="B163"/>
      <c r="C163"/>
      <c r="D163"/>
      <c r="E163"/>
      <c r="F163"/>
      <c r="G163"/>
      <c r="H163"/>
      <c r="I163"/>
      <c r="J163"/>
      <c r="K163"/>
    </row>
    <row r="164" spans="2:11" ht="15">
      <c r="B164"/>
      <c r="C164"/>
      <c r="D164"/>
      <c r="E164"/>
      <c r="F164"/>
      <c r="G164"/>
      <c r="H164"/>
      <c r="I164"/>
      <c r="J164"/>
      <c r="K164"/>
    </row>
    <row r="165" spans="2:11" ht="15">
      <c r="B165"/>
      <c r="C165"/>
      <c r="D165"/>
      <c r="E165"/>
      <c r="F165"/>
      <c r="G165"/>
      <c r="H165"/>
      <c r="I165"/>
      <c r="J165"/>
      <c r="K165"/>
    </row>
    <row r="166" spans="2:11" ht="15">
      <c r="B166"/>
      <c r="C166"/>
      <c r="D166"/>
      <c r="E166"/>
      <c r="F166"/>
      <c r="G166"/>
      <c r="H166"/>
      <c r="I166"/>
      <c r="J166"/>
      <c r="K166"/>
    </row>
    <row r="167" spans="2:11" ht="15">
      <c r="B167"/>
      <c r="C167"/>
      <c r="D167"/>
      <c r="E167"/>
      <c r="F167"/>
      <c r="G167"/>
      <c r="H167"/>
      <c r="I167"/>
      <c r="J167"/>
      <c r="K167"/>
    </row>
    <row r="168" spans="2:11" ht="15">
      <c r="B168"/>
      <c r="C168"/>
      <c r="D168"/>
      <c r="E168"/>
      <c r="F168"/>
      <c r="G168"/>
      <c r="H168"/>
      <c r="I168"/>
      <c r="J168"/>
      <c r="K168"/>
    </row>
    <row r="169" spans="2:11" ht="15">
      <c r="B169"/>
      <c r="C169"/>
      <c r="D169"/>
      <c r="E169"/>
      <c r="F169"/>
      <c r="G169"/>
      <c r="H169"/>
      <c r="I169"/>
      <c r="J169"/>
      <c r="K169"/>
    </row>
    <row r="170" spans="2:11" ht="15">
      <c r="B170"/>
      <c r="C170"/>
      <c r="D170"/>
      <c r="E170"/>
      <c r="F170"/>
      <c r="G170"/>
      <c r="H170"/>
      <c r="I170"/>
      <c r="J170"/>
      <c r="K170"/>
    </row>
    <row r="171" spans="2:11" ht="15">
      <c r="B171"/>
      <c r="C171"/>
      <c r="D171"/>
      <c r="E171"/>
      <c r="F171"/>
      <c r="G171"/>
      <c r="H171"/>
      <c r="I171"/>
      <c r="J171"/>
      <c r="K171"/>
    </row>
    <row r="172" spans="2:11" ht="15">
      <c r="B172"/>
      <c r="C172"/>
      <c r="D172"/>
      <c r="E172"/>
      <c r="F172"/>
      <c r="G172"/>
      <c r="H172"/>
      <c r="I172"/>
      <c r="J172"/>
      <c r="K172"/>
    </row>
    <row r="173" spans="2:11" ht="15">
      <c r="B173"/>
      <c r="C173"/>
      <c r="D173"/>
      <c r="E173"/>
      <c r="F173"/>
      <c r="G173"/>
      <c r="H173"/>
      <c r="I173"/>
      <c r="J173"/>
      <c r="K173"/>
    </row>
    <row r="174" spans="2:11" ht="15">
      <c r="B174"/>
      <c r="C174"/>
      <c r="D174"/>
      <c r="E174"/>
      <c r="F174"/>
      <c r="G174"/>
      <c r="H174"/>
      <c r="I174"/>
      <c r="J174"/>
      <c r="K174"/>
    </row>
    <row r="175" spans="2:11" ht="15">
      <c r="B175"/>
      <c r="C175"/>
      <c r="D175"/>
      <c r="E175"/>
      <c r="F175"/>
      <c r="G175"/>
      <c r="H175"/>
      <c r="I175"/>
      <c r="J175"/>
      <c r="K175"/>
    </row>
    <row r="176" spans="2:11" ht="15">
      <c r="B176"/>
      <c r="C176"/>
      <c r="D176"/>
      <c r="E176"/>
      <c r="F176"/>
      <c r="G176"/>
      <c r="H176"/>
      <c r="I176"/>
      <c r="J176"/>
      <c r="K176"/>
    </row>
  </sheetData>
  <hyperlinks>
    <hyperlink ref="Q24" r:id="rId1" xr:uid="{A4F0F98B-080D-AB47-863B-885D452BCD2D}"/>
    <hyperlink ref="Q25" r:id="rId2" xr:uid="{D00613C3-74C2-3245-8BCE-0B4D1C8324A2}"/>
    <hyperlink ref="U38" r:id="rId3" display="mailto:oliavarb@paslc.org" xr:uid="{88C04E3E-FBC4-E441-B8D4-B831FDD223C3}"/>
    <hyperlink ref="B99" r:id="rId4" xr:uid="{03F4F139-E52B-E342-9113-DE9F6E371523}"/>
    <hyperlink ref="B102" r:id="rId5" xr:uid="{E801FC01-211D-684D-B3B2-C8876AE6A215}"/>
    <hyperlink ref="B33" r:id="rId6" display="https://mailbutler.link/p/5ffda11e-d161-4501-ad2a-d38e8a8846fb/ebc72b5e-912e-46a7-8994-811dfe0939e1?url=https://www.leetc.com/ncp/show_page.asp?proc%3DTaxAuth%26TaxRoll%3DN%26years%3D2020" xr:uid="{293E3FFD-0FC9-C143-ACCD-C34FCD3AC625}"/>
    <hyperlink ref="B34" r:id="rId7" display="https://mailbutler.link/p/5ffda11e-d161-4501-ad2a-d38e8a8846fb/ebc72b5e-912e-46a7-8994-811dfe0939e1?url=https://www.leetc.com/ncp/show_page.asp?proc%3DTaxAuth%26TaxRoll%3DN%26years%3D2020" xr:uid="{E30363F1-1EE9-EF44-9FC7-ED3B6DD5C6C2}"/>
    <hyperlink ref="B35" r:id="rId8" display="https://mailbutler.link/p/5ffda11e-d161-4501-ad2a-d38e8a8846fb/ebc72b5e-912e-46a7-8994-811dfe0939e1?url=https://www.leetc.com/ncp/show_page.asp?proc%3DTaxAuth%26TaxRoll%3DN%26years%3D2020" xr:uid="{7E65FD13-1E3B-9B41-9F08-0438249971CB}"/>
    <hyperlink ref="B36" r:id="rId9" display="https://mailbutler.link/p/5ffda11e-d161-4501-ad2a-d38e8a8846fb/ebc72b5e-912e-46a7-8994-811dfe0939e1?url=https://www.leetc.com/ncp/show_page.asp?proc%3DTaxAuth%26TaxRoll%3DN%26years%3D2020" xr:uid="{D9F091D0-8910-684D-8B02-10EA17BEAB53}"/>
    <hyperlink ref="B37" r:id="rId10" display="https://mailbutler.link/p/5ffda11e-d161-4501-ad2a-d38e8a8846fb/ebc72b5e-912e-46a7-8994-811dfe0939e1?url=https://www.leetc.com/ncp/show_page.asp?proc%3DTaxAuth%26TaxRoll%3DN%26years%3D2020" xr:uid="{CBCD05E3-2331-BF4F-AF67-8FDB46CDBC19}"/>
    <hyperlink ref="B38" r:id="rId11" display="https://mailbutler.link/p/5ffda11e-d161-4501-ad2a-d38e8a8846fb/ebc72b5e-912e-46a7-8994-811dfe0939e1?url=https://www.leetc.com/ncp/show_page.asp?proc%3DTaxAuth%26TaxRoll%3DN%26years%3D2020" xr:uid="{5C68E9FD-6589-734B-98AA-03E29A557AE7}"/>
    <hyperlink ref="B39" r:id="rId12" display="https://mailbutler.link/p/5ffda11e-d161-4501-ad2a-d38e8a8846fb/ebc72b5e-912e-46a7-8994-811dfe0939e1?url=https://www.leetc.com/ncp/show_page.asp?proc%3DTaxAuth%26TaxRoll%3DN%26years%3D2020" xr:uid="{E276E67F-9B56-1F47-9356-41EA032C9B50}"/>
    <hyperlink ref="B40" r:id="rId13" display="https://mailbutler.link/p/5ffda11e-d161-4501-ad2a-d38e8a8846fb/ebc72b5e-912e-46a7-8994-811dfe0939e1?url=https://www.leetc.com/ncp/show_page.asp?proc%3DTaxAuth%26TaxRoll%3DN%26years%3D2020" xr:uid="{B352D456-AE53-7241-A3D2-E8D9CFF4133A}"/>
    <hyperlink ref="B46" r:id="rId14" display="https://mailbutler.link/p/5ffda11e-d161-4501-ad2a-d38e8a8846fb/ebc72b5e-912e-46a7-8994-811dfe0939e1?url=https://www.leetc.com/ncp/show_page.asp?proc%3DTaxAuth%26TaxRoll%3DA%26years%3D2020" xr:uid="{EE274B44-0CA9-844D-BA0B-CACE5B941495}"/>
    <hyperlink ref="B47" r:id="rId15" display="https://mailbutler.link/p/5ffda11e-d161-4501-ad2a-d38e8a8846fb/ebc72b5e-912e-46a7-8994-811dfe0939e1?url=https://www.leetc.com/ncp/show_page.asp?proc%3DTaxAuth%26TaxRoll%3DA%26years%3D2020" xr:uid="{AD915DDB-595B-3E45-81B7-D1D882701349}"/>
    <hyperlink ref="B48" r:id="rId16" display="https://mailbutler.link/p/5ffda11e-d161-4501-ad2a-d38e8a8846fb/ebc72b5e-912e-46a7-8994-811dfe0939e1?url=https://www.leetc.com/ncp/show_page.asp?proc%3DTaxAuth%26TaxRoll%3DA%26years%3D2020" xr:uid="{68436A4B-C687-C848-B38E-88A8521A521F}"/>
    <hyperlink ref="B49" r:id="rId17" display="https://mailbutler.link/p/5ffda11e-d161-4501-ad2a-d38e8a8846fb/ebc72b5e-912e-46a7-8994-811dfe0939e1?url=https://www.leetc.com/ncp/show_page.asp?proc%3DTaxAuth%26TaxRoll%3DA%26years%3D2020" xr:uid="{61FD7682-C6FE-C54C-99D4-7F97C47A0D49}"/>
    <hyperlink ref="B50" r:id="rId18" display="https://mailbutler.link/p/5ffda11e-d161-4501-ad2a-d38e8a8846fb/ebc72b5e-912e-46a7-8994-811dfe0939e1?url=https://www.leetc.com/ncp/show_page.asp?proc%3DTaxAuth%26TaxRoll%3DA%26years%3D2020" xr:uid="{2643E3C4-0A65-B649-B590-BD7C62EE4BFB}"/>
    <hyperlink ref="B51" r:id="rId19" display="https://mailbutler.link/p/5ffda11e-d161-4501-ad2a-d38e8a8846fb/ebc72b5e-912e-46a7-8994-811dfe0939e1?url=https://www.leetc.com/ncp/show_page.asp?proc%3DTaxAuth%26TaxRoll%3DA%26years%3D2020" xr:uid="{FB4F1DFE-77A6-524B-80DE-F65BBFB7BE48}"/>
    <hyperlink ref="B52" r:id="rId20" display="https://mailbutler.link/p/5ffda11e-d161-4501-ad2a-d38e8a8846fb/ebc72b5e-912e-46a7-8994-811dfe0939e1?url=https://www.leetc.com/ncp/show_page.asp?proc%3DTaxAuth%26TaxRoll%3DA%26years%3D2020" xr:uid="{9D264636-9863-CF49-9961-A94338DC603A}"/>
    <hyperlink ref="B53" r:id="rId21" display="https://mailbutler.link/p/5ffda11e-d161-4501-ad2a-d38e8a8846fb/ebc72b5e-912e-46a7-8994-811dfe0939e1?url=https://www.leetc.com/ncp/show_page.asp?proc%3DTaxAuth%26TaxRoll%3DA%26years%3D2020" xr:uid="{52036402-8AB1-2E45-860D-644A51BB75C4}"/>
    <hyperlink ref="B54" r:id="rId22" display="https://mailbutler.link/p/5ffda11e-d161-4501-ad2a-d38e8a8846fb/ebc72b5e-912e-46a7-8994-811dfe0939e1?url=https://www.leetc.com/ncp/show_page.asp?proc%3DTaxAuth%26TaxRoll%3DA%26years%3D2020" xr:uid="{928DF3A2-FD50-4E48-9543-BAA2C35CB06D}"/>
    <hyperlink ref="B55" r:id="rId23" display="https://mailbutler.link/p/5ffda11e-d161-4501-ad2a-d38e8a8846fb/ebc72b5e-912e-46a7-8994-811dfe0939e1?url=https://www.leetc.com/ncp/show_page.asp?proc%3DTaxAuth%26TaxRoll%3DA%26years%3D2020" xr:uid="{FC9D0DFE-1C6F-C244-A3A1-4DC8FE38C80A}"/>
    <hyperlink ref="B56" r:id="rId24" display="https://mailbutler.link/p/5ffda11e-d161-4501-ad2a-d38e8a8846fb/ebc72b5e-912e-46a7-8994-811dfe0939e1?url=https://www.leetc.com/ncp/show_page.asp?proc%3DTaxAuth%26TaxRoll%3DA%26years%3D2020" xr:uid="{D49E7A83-5C08-D34C-B58B-399313C018C9}"/>
    <hyperlink ref="B57" r:id="rId25" display="https://mailbutler.link/p/5ffda11e-d161-4501-ad2a-d38e8a8846fb/ebc72b5e-912e-46a7-8994-811dfe0939e1?url=https://www.leetc.com/ncp/show_page.asp?proc%3DTaxAuth%26TaxRoll%3DA%26years%3D2020" xr:uid="{2F25A113-CC03-604B-AF33-2B3828D72E7C}"/>
    <hyperlink ref="B58" r:id="rId26" display="https://mailbutler.link/p/5ffda11e-d161-4501-ad2a-d38e8a8846fb/ebc72b5e-912e-46a7-8994-811dfe0939e1?url=https://www.leetc.com/ncp/show_page.asp?proc%3DTaxAuth%26TaxRoll%3DA%26years%3D2020" xr:uid="{B1557539-9D1E-F24B-9B18-20CD11B56F47}"/>
    <hyperlink ref="B62" r:id="rId27" display="https://mailbutler.link/p/5ffda11e-d161-4501-ad2a-d38e8a8846fb/ebc72b5e-912e-46a7-8994-811dfe0939e1?url=https://www.leetc.com/ncp/show_page.asp?proc%3DTaxAuth%26TaxRoll%3DN%26years%3D2020" xr:uid="{05CE8CA9-9265-2446-BB92-808641956EEE}"/>
    <hyperlink ref="B63" r:id="rId28" display="https://mailbutler.link/p/5ffda11e-d161-4501-ad2a-d38e8a8846fb/ebc72b5e-912e-46a7-8994-811dfe0939e1?url=https://www.leetc.com/ncp/show_page.asp?proc%3DTaxAuth%26TaxRoll%3DN%26years%3D2020" xr:uid="{D323D554-F6AC-AD43-9E37-F0DD36B904D9}"/>
    <hyperlink ref="B64" r:id="rId29" display="https://mailbutler.link/p/5ffda11e-d161-4501-ad2a-d38e8a8846fb/ebc72b5e-912e-46a7-8994-811dfe0939e1?url=https://www.leetc.com/ncp/show_page.asp?proc%3DTaxAuth%26TaxRoll%3DN%26years%3D2020" xr:uid="{50FA087E-B385-344C-A84E-CACD74ED09E0}"/>
    <hyperlink ref="B65" r:id="rId30" display="https://mailbutler.link/p/5ffda11e-d161-4501-ad2a-d38e8a8846fb/ebc72b5e-912e-46a7-8994-811dfe0939e1?url=https://www.leetc.com/ncp/show_page.asp?proc%3DTaxAuth%26TaxRoll%3DN%26years%3D2020" xr:uid="{273E2C6A-70E3-F343-A85A-632B386AED32}"/>
    <hyperlink ref="B66" r:id="rId31" display="https://mailbutler.link/p/5ffda11e-d161-4501-ad2a-d38e8a8846fb/ebc72b5e-912e-46a7-8994-811dfe0939e1?url=https://www.leetc.com/ncp/show_page.asp?proc%3DTaxAuth%26TaxRoll%3DN%26years%3D2020" xr:uid="{931C08B5-1FE0-D545-9268-165AAFB628E3}"/>
    <hyperlink ref="B67" r:id="rId32" display="https://mailbutler.link/p/5ffda11e-d161-4501-ad2a-d38e8a8846fb/ebc72b5e-912e-46a7-8994-811dfe0939e1?url=https://www.leetc.com/ncp/show_page.asp?proc%3DTaxAuth%26TaxRoll%3DN%26years%3D2020" xr:uid="{CA0A72DB-2590-B445-A4CE-CD9C207A2E57}"/>
    <hyperlink ref="B68" r:id="rId33" display="https://mailbutler.link/p/5ffda11e-d161-4501-ad2a-d38e8a8846fb/ebc72b5e-912e-46a7-8994-811dfe0939e1?url=https://www.leetc.com/ncp/show_page.asp?proc%3DTaxAuth%26TaxRoll%3DN%26years%3D2020" xr:uid="{3F5E6AFA-DDAA-684A-940C-AE659DAF1BAF}"/>
    <hyperlink ref="B69" r:id="rId34" display="https://mailbutler.link/p/5ffda11e-d161-4501-ad2a-d38e8a8846fb/ebc72b5e-912e-46a7-8994-811dfe0939e1?url=https://www.leetc.com/ncp/show_page.asp?proc%3DTaxAuth%26TaxRoll%3DN%26years%3D2020" xr:uid="{284DC75E-FCC8-5247-AF10-A6427C809428}"/>
    <hyperlink ref="B45" r:id="rId35" display="https://mailbutler.link/p/5ffda11e-d161-4501-ad2a-d38e8a8846fb/ebc72b5e-912e-46a7-8994-811dfe0939e1?url=https://www.leetc.com/ncp/show_page.asp?proc%3DTaxAuth%26TaxRoll%3DA%26years%3D2020" xr:uid="{B1386D4C-E1BC-4849-B939-5510D9A70576}"/>
  </hyperlinks>
  <pageMargins left="0.7" right="0.7" top="0.75" bottom="0.75" header="0.3" footer="0.3"/>
  <pageSetup scale="58" orientation="portrait" horizontalDpi="0" verticalDpi="0"/>
  <drawing r:id="rId3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6740-6017-AC45-8095-FC2DDF62C26D}">
  <dimension ref="B2:Z66"/>
  <sheetViews>
    <sheetView showGridLines="0" zoomScale="139" workbookViewId="0">
      <selection activeCell="B7" sqref="B7:D54"/>
    </sheetView>
  </sheetViews>
  <sheetFormatPr baseColWidth="10" defaultRowHeight="15"/>
  <cols>
    <col min="1" max="1" width="4.5" customWidth="1"/>
    <col min="2" max="2" width="34" customWidth="1"/>
    <col min="3" max="3" width="13.33203125" customWidth="1"/>
    <col min="4" max="4" width="10.1640625" customWidth="1"/>
    <col min="10" max="10" width="31.5" customWidth="1"/>
    <col min="11" max="11" width="13.6640625" bestFit="1" customWidth="1"/>
  </cols>
  <sheetData>
    <row r="2" spans="2:26">
      <c r="B2" s="235" t="str">
        <f>'HUD - CashFlow'!R5</f>
        <v>8011 KREFELD DR</v>
      </c>
      <c r="G2" s="20" t="s">
        <v>176</v>
      </c>
      <c r="J2" s="499" t="s">
        <v>380</v>
      </c>
    </row>
    <row r="3" spans="2:26">
      <c r="G3" s="24">
        <f ca="1">TODAY()</f>
        <v>44838</v>
      </c>
    </row>
    <row r="4" spans="2:26">
      <c r="C4" s="19"/>
      <c r="D4" s="19"/>
      <c r="E4" s="19"/>
      <c r="F4" s="19"/>
      <c r="G4" s="19"/>
      <c r="H4" s="19"/>
    </row>
    <row r="5" spans="2:26" ht="18">
      <c r="B5" s="26" t="s">
        <v>279</v>
      </c>
      <c r="C5" s="19"/>
      <c r="D5" s="19"/>
      <c r="E5" s="19"/>
      <c r="F5" s="19"/>
      <c r="G5" s="19"/>
      <c r="H5" s="19"/>
    </row>
    <row r="6" spans="2:26">
      <c r="B6" s="237"/>
      <c r="C6" s="19"/>
      <c r="D6" s="19"/>
      <c r="E6" s="19"/>
      <c r="F6" s="19"/>
      <c r="G6" s="19"/>
      <c r="H6" s="19"/>
    </row>
    <row r="7" spans="2:26" ht="16">
      <c r="B7" s="293" t="s">
        <v>19</v>
      </c>
      <c r="C7" s="294" t="s">
        <v>132</v>
      </c>
      <c r="D7" s="294" t="s">
        <v>298</v>
      </c>
      <c r="H7" s="17" t="s">
        <v>651</v>
      </c>
      <c r="X7" s="269" t="s">
        <v>455</v>
      </c>
      <c r="Y7" s="16"/>
      <c r="Z7" s="16"/>
    </row>
    <row r="8" spans="2:26">
      <c r="H8" t="s">
        <v>652</v>
      </c>
      <c r="I8" s="13">
        <v>6.3</v>
      </c>
      <c r="X8" s="270" t="s">
        <v>278</v>
      </c>
      <c r="Y8" s="271">
        <v>56</v>
      </c>
      <c r="Z8" s="272">
        <f>Y8/'HUD - Snapshot'!$C$23</f>
        <v>0.17499999999999999</v>
      </c>
    </row>
    <row r="9" spans="2:26">
      <c r="B9" s="499" t="s">
        <v>500</v>
      </c>
      <c r="H9" t="s">
        <v>653</v>
      </c>
      <c r="I9" s="13">
        <v>43560</v>
      </c>
      <c r="X9" s="273" t="s">
        <v>259</v>
      </c>
      <c r="Y9" s="274">
        <v>1564</v>
      </c>
      <c r="Z9" s="272">
        <f>Y9/'HUD - Snapshot'!$C$23</f>
        <v>4.8875000000000002</v>
      </c>
    </row>
    <row r="10" spans="2:26">
      <c r="B10" s="501" t="s">
        <v>537</v>
      </c>
      <c r="H10" s="657" t="s">
        <v>654</v>
      </c>
      <c r="I10" s="658">
        <v>5</v>
      </c>
      <c r="X10" s="273" t="s">
        <v>260</v>
      </c>
      <c r="Y10" s="274">
        <v>163</v>
      </c>
      <c r="Z10" s="272">
        <f>Y10/'HUD - Snapshot'!$C$23</f>
        <v>0.50937500000000002</v>
      </c>
    </row>
    <row r="11" spans="2:26">
      <c r="B11" s="273" t="s">
        <v>493</v>
      </c>
      <c r="C11" s="274">
        <v>44151</v>
      </c>
      <c r="D11" s="272">
        <f>C11/'HUD - Snapshot'!$C$23</f>
        <v>137.97187500000001</v>
      </c>
      <c r="H11" t="s">
        <v>655</v>
      </c>
      <c r="I11" s="13">
        <f>I8*I9*I10</f>
        <v>1372140</v>
      </c>
      <c r="X11" s="273" t="s">
        <v>261</v>
      </c>
      <c r="Y11" s="274">
        <v>6025</v>
      </c>
      <c r="Z11" s="272">
        <f>Y11/'HUD - Snapshot'!$C$23</f>
        <v>18.828125</v>
      </c>
    </row>
    <row r="12" spans="2:26">
      <c r="B12" s="273" t="s">
        <v>494</v>
      </c>
      <c r="C12" s="274">
        <v>821450</v>
      </c>
      <c r="D12" s="272">
        <f>C12/'HUD - Snapshot'!$C$23</f>
        <v>2567.03125</v>
      </c>
      <c r="H12" s="659" t="s">
        <v>656</v>
      </c>
      <c r="I12" s="660">
        <v>0.3</v>
      </c>
      <c r="X12" s="273" t="s">
        <v>262</v>
      </c>
      <c r="Y12" s="274">
        <v>125</v>
      </c>
      <c r="Z12" s="272">
        <f>Y12/'HUD - Snapshot'!$C$23</f>
        <v>0.390625</v>
      </c>
    </row>
    <row r="13" spans="2:26">
      <c r="B13" s="273" t="s">
        <v>539</v>
      </c>
      <c r="C13" s="274">
        <v>11151</v>
      </c>
      <c r="D13" s="272">
        <f>C13/'HUD - Snapshot'!$C$23</f>
        <v>34.846874999999997</v>
      </c>
      <c r="H13" t="s">
        <v>657</v>
      </c>
      <c r="I13" s="13">
        <f>I11*(1+I12)</f>
        <v>1783782</v>
      </c>
      <c r="X13" s="273" t="s">
        <v>263</v>
      </c>
      <c r="Y13" s="274">
        <v>309</v>
      </c>
      <c r="Z13" s="272">
        <f>Y13/'HUD - Snapshot'!$C$23</f>
        <v>0.96562499999999996</v>
      </c>
    </row>
    <row r="14" spans="2:26">
      <c r="B14" s="273" t="s">
        <v>540</v>
      </c>
      <c r="C14" s="274">
        <v>371700</v>
      </c>
      <c r="D14" s="272">
        <f>C14/'HUD - Snapshot'!$C$23</f>
        <v>1161.5625</v>
      </c>
      <c r="H14" t="s">
        <v>658</v>
      </c>
      <c r="I14" s="13">
        <v>27</v>
      </c>
      <c r="M14" s="19"/>
      <c r="X14" s="273" t="s">
        <v>264</v>
      </c>
      <c r="Y14" s="274">
        <v>209</v>
      </c>
      <c r="Z14" s="272">
        <f>Y14/'HUD - Snapshot'!$C$23</f>
        <v>0.65312499999999996</v>
      </c>
    </row>
    <row r="15" spans="2:26">
      <c r="B15" s="280" t="s">
        <v>541</v>
      </c>
      <c r="C15" s="271">
        <v>390250</v>
      </c>
      <c r="D15" s="502">
        <f>C15/'HUD - Snapshot'!$C$23</f>
        <v>1219.53125</v>
      </c>
      <c r="H15" s="657" t="s">
        <v>659</v>
      </c>
      <c r="I15" s="661">
        <v>17</v>
      </c>
      <c r="M15" s="19"/>
      <c r="X15" s="275" t="s">
        <v>265</v>
      </c>
      <c r="Y15" s="276">
        <v>209</v>
      </c>
      <c r="Z15" s="284">
        <f>Y15/'HUD - Snapshot'!$C$23</f>
        <v>0.65312499999999996</v>
      </c>
    </row>
    <row r="16" spans="2:26">
      <c r="B16" s="280" t="s">
        <v>496</v>
      </c>
      <c r="C16" s="271">
        <v>84438.03</v>
      </c>
      <c r="D16" s="502">
        <f>C16/'HUD - Snapshot'!$C$23</f>
        <v>263.86884375</v>
      </c>
      <c r="H16" t="s">
        <v>660</v>
      </c>
      <c r="I16" s="662">
        <f>I13/I14*I15</f>
        <v>1123122</v>
      </c>
      <c r="X16" s="273" t="s">
        <v>266</v>
      </c>
      <c r="Y16" s="277">
        <v>8660</v>
      </c>
      <c r="Z16" s="272">
        <f>Y16/'HUD - Snapshot'!$C$23</f>
        <v>27.0625</v>
      </c>
    </row>
    <row r="17" spans="2:26">
      <c r="B17" s="273" t="s">
        <v>497</v>
      </c>
      <c r="C17" s="274">
        <v>54005</v>
      </c>
      <c r="D17" s="272">
        <f>C17/'HUD - Snapshot'!$C$23</f>
        <v>168.765625</v>
      </c>
      <c r="X17" s="273" t="s">
        <v>267</v>
      </c>
      <c r="Y17" s="278">
        <v>299</v>
      </c>
      <c r="Z17" s="272">
        <f>Y17/'HUD - Snapshot'!$C$23</f>
        <v>0.93437499999999996</v>
      </c>
    </row>
    <row r="18" spans="2:26">
      <c r="B18" s="273" t="s">
        <v>495</v>
      </c>
      <c r="C18" s="274">
        <v>53550</v>
      </c>
      <c r="D18" s="272">
        <f>C18/'HUD - Snapshot'!$C$23</f>
        <v>167.34375</v>
      </c>
      <c r="X18" s="273" t="s">
        <v>268</v>
      </c>
      <c r="Y18" s="278">
        <v>2589340</v>
      </c>
      <c r="Z18" s="272">
        <f>Y18/'HUD - Snapshot'!$C$23</f>
        <v>8091.6875</v>
      </c>
    </row>
    <row r="19" spans="2:26">
      <c r="B19" s="273" t="s">
        <v>499</v>
      </c>
      <c r="C19" s="274">
        <v>3185</v>
      </c>
      <c r="D19" s="272">
        <f>C19/'HUD - Snapshot'!$C$23</f>
        <v>9.953125</v>
      </c>
      <c r="X19" s="275" t="s">
        <v>269</v>
      </c>
      <c r="Y19" s="279">
        <v>1343060</v>
      </c>
      <c r="Z19" s="284">
        <f>Y19/'HUD - Snapshot'!$C$23</f>
        <v>4197.0625</v>
      </c>
    </row>
    <row r="20" spans="2:26">
      <c r="B20" s="275" t="s">
        <v>545</v>
      </c>
      <c r="C20" s="276">
        <v>1324.53</v>
      </c>
      <c r="D20" s="284">
        <f>C20/'HUD - Snapshot'!$C$23</f>
        <v>4.1391562500000001</v>
      </c>
      <c r="X20" s="273" t="s">
        <v>270</v>
      </c>
      <c r="Y20" s="277">
        <v>3932400</v>
      </c>
      <c r="Z20" s="272">
        <f>Y20/'HUD - Snapshot'!$C$23</f>
        <v>12288.75</v>
      </c>
    </row>
    <row r="21" spans="2:26">
      <c r="B21" s="280" t="s">
        <v>544</v>
      </c>
      <c r="C21" s="418">
        <f>SUM(C11:C20)</f>
        <v>1835204.56</v>
      </c>
      <c r="D21" s="133">
        <f>SUM(D11:D20)</f>
        <v>5735.0142500000011</v>
      </c>
      <c r="X21" s="280" t="s">
        <v>373</v>
      </c>
      <c r="Y21" s="281"/>
      <c r="Z21" s="281"/>
    </row>
    <row r="24" spans="2:26">
      <c r="B24" s="500" t="s">
        <v>538</v>
      </c>
    </row>
    <row r="25" spans="2:26">
      <c r="B25" t="s">
        <v>535</v>
      </c>
      <c r="C25" s="274">
        <v>310</v>
      </c>
      <c r="D25" s="272">
        <f>C25/'HUD - Snapshot'!$C$23</f>
        <v>0.96875</v>
      </c>
    </row>
    <row r="26" spans="2:26">
      <c r="B26" s="273" t="s">
        <v>498</v>
      </c>
      <c r="C26" s="274">
        <v>33798</v>
      </c>
      <c r="D26" s="272">
        <f>C26/'HUD - Snapshot'!$C$23</f>
        <v>105.61875000000001</v>
      </c>
    </row>
    <row r="27" spans="2:26">
      <c r="B27" s="273" t="s">
        <v>530</v>
      </c>
      <c r="C27" s="274">
        <v>1400</v>
      </c>
      <c r="D27" s="272">
        <f>C27/'HUD - Snapshot'!$C$23</f>
        <v>4.375</v>
      </c>
    </row>
    <row r="28" spans="2:26">
      <c r="B28" s="273" t="s">
        <v>529</v>
      </c>
      <c r="C28" s="274">
        <v>81352</v>
      </c>
      <c r="D28" s="272">
        <f>C28/'HUD - Snapshot'!$C$23</f>
        <v>254.22499999999999</v>
      </c>
    </row>
    <row r="29" spans="2:26">
      <c r="B29" s="273" t="s">
        <v>528</v>
      </c>
      <c r="C29" s="274">
        <v>26548</v>
      </c>
      <c r="D29" s="272">
        <f>C29/'HUD - Snapshot'!$C$23</f>
        <v>82.962500000000006</v>
      </c>
    </row>
    <row r="30" spans="2:26">
      <c r="B30" s="275" t="s">
        <v>531</v>
      </c>
      <c r="C30" s="276">
        <v>2835</v>
      </c>
      <c r="D30" s="284">
        <f>C30/'HUD - Snapshot'!$C$23</f>
        <v>8.859375</v>
      </c>
    </row>
    <row r="31" spans="2:26">
      <c r="B31" s="280" t="s">
        <v>544</v>
      </c>
      <c r="C31" s="418">
        <f>SUM(C25:C30)</f>
        <v>146243</v>
      </c>
      <c r="D31" s="133">
        <f>SUM(D25:D30)</f>
        <v>457.00937499999998</v>
      </c>
    </row>
    <row r="32" spans="2:26">
      <c r="Q32" s="503"/>
    </row>
    <row r="33" spans="2:16">
      <c r="B33" s="280" t="s">
        <v>546</v>
      </c>
      <c r="C33" s="418">
        <f>SUM(C21,C31)</f>
        <v>1981447.56</v>
      </c>
      <c r="D33" s="418">
        <f>SUM(D21,D31)</f>
        <v>6192.0236250000007</v>
      </c>
      <c r="J33" s="280"/>
      <c r="K33" s="418"/>
      <c r="L33" s="272"/>
    </row>
    <row r="35" spans="2:16">
      <c r="B35" s="285" t="s">
        <v>280</v>
      </c>
      <c r="C35" s="150"/>
      <c r="D35" s="281"/>
      <c r="J35" s="412" t="s">
        <v>481</v>
      </c>
      <c r="K35" s="412"/>
      <c r="L35" s="412"/>
      <c r="M35" s="412"/>
      <c r="N35" s="412"/>
      <c r="O35" s="412"/>
      <c r="P35" s="412"/>
    </row>
    <row r="36" spans="2:16">
      <c r="B36" s="150" t="s">
        <v>211</v>
      </c>
      <c r="C36" s="274">
        <v>20000</v>
      </c>
      <c r="D36" s="283">
        <f>C36/'HUD - Snapshot'!$C$23</f>
        <v>62.5</v>
      </c>
      <c r="J36" s="280" t="s">
        <v>533</v>
      </c>
    </row>
    <row r="37" spans="2:16">
      <c r="B37" s="150" t="s">
        <v>458</v>
      </c>
      <c r="C37" s="274">
        <v>50000</v>
      </c>
      <c r="D37" s="283">
        <f>C37/'HUD - Snapshot'!$C$23</f>
        <v>156.25</v>
      </c>
      <c r="J37" s="280" t="s">
        <v>532</v>
      </c>
    </row>
    <row r="38" spans="2:16">
      <c r="B38" s="150" t="s">
        <v>273</v>
      </c>
      <c r="C38" s="274">
        <v>0</v>
      </c>
      <c r="D38" s="283">
        <f>C38/'HUD - Snapshot'!$C$23</f>
        <v>0</v>
      </c>
      <c r="J38" s="280" t="s">
        <v>534</v>
      </c>
    </row>
    <row r="39" spans="2:16">
      <c r="B39" s="177" t="s">
        <v>37</v>
      </c>
      <c r="C39" s="274">
        <v>5000</v>
      </c>
      <c r="D39" s="283">
        <f>C39/'HUD - Snapshot'!$C$23</f>
        <v>15.625</v>
      </c>
      <c r="J39" s="280" t="s">
        <v>543</v>
      </c>
    </row>
    <row r="40" spans="2:16">
      <c r="B40" s="177" t="s">
        <v>274</v>
      </c>
      <c r="C40" s="274">
        <v>5000</v>
      </c>
      <c r="D40" s="283">
        <f>C40/'HUD - Snapshot'!$C$23</f>
        <v>15.625</v>
      </c>
      <c r="J40" s="280" t="s">
        <v>536</v>
      </c>
    </row>
    <row r="41" spans="2:16">
      <c r="B41" s="177" t="s">
        <v>275</v>
      </c>
      <c r="C41" s="274">
        <v>10000</v>
      </c>
      <c r="D41" s="283">
        <f>C41/'HUD - Snapshot'!$C$23</f>
        <v>31.25</v>
      </c>
      <c r="J41" s="280" t="s">
        <v>542</v>
      </c>
    </row>
    <row r="42" spans="2:16">
      <c r="B42" s="177" t="s">
        <v>276</v>
      </c>
      <c r="C42" s="274">
        <v>10000</v>
      </c>
      <c r="D42" s="283">
        <f>C42/'HUD - Snapshot'!$C$23</f>
        <v>31.25</v>
      </c>
      <c r="J42" s="280" t="s">
        <v>611</v>
      </c>
    </row>
    <row r="43" spans="2:16">
      <c r="B43" s="177"/>
      <c r="C43" s="274"/>
      <c r="D43" s="151"/>
    </row>
    <row r="44" spans="2:16">
      <c r="B44" s="282" t="s">
        <v>379</v>
      </c>
      <c r="C44" s="274">
        <v>750000</v>
      </c>
      <c r="D44" s="283">
        <f>C44/'HUD - Snapshot'!$C$23</f>
        <v>2343.75</v>
      </c>
    </row>
    <row r="45" spans="2:16">
      <c r="B45" s="282" t="s">
        <v>459</v>
      </c>
      <c r="C45" s="274">
        <v>170000</v>
      </c>
      <c r="D45" s="283">
        <f>C45/'HUD - Snapshot'!$C$23</f>
        <v>531.25</v>
      </c>
    </row>
    <row r="46" spans="2:16">
      <c r="B46" s="282" t="s">
        <v>456</v>
      </c>
      <c r="C46" s="274">
        <v>90000</v>
      </c>
      <c r="D46" s="283">
        <f>C46/'HUD - Snapshot'!$C$23</f>
        <v>281.25</v>
      </c>
    </row>
    <row r="47" spans="2:16">
      <c r="B47" s="282" t="s">
        <v>53</v>
      </c>
      <c r="C47" s="274">
        <v>12000</v>
      </c>
      <c r="D47" s="283">
        <f>C47/'HUD - Snapshot'!$C$23</f>
        <v>37.5</v>
      </c>
    </row>
    <row r="48" spans="2:16">
      <c r="B48" s="282" t="s">
        <v>457</v>
      </c>
      <c r="C48" s="274">
        <v>10000</v>
      </c>
      <c r="D48" s="283">
        <f>C48/'HUD - Snapshot'!$C$23</f>
        <v>31.25</v>
      </c>
    </row>
    <row r="49" spans="2:12">
      <c r="B49" s="16"/>
      <c r="C49" s="274"/>
      <c r="D49" s="283"/>
      <c r="J49" s="236"/>
      <c r="K49" s="13"/>
      <c r="L49" s="133"/>
    </row>
    <row r="50" spans="2:12">
      <c r="B50" s="282" t="s">
        <v>277</v>
      </c>
      <c r="C50" s="274">
        <v>50000000</v>
      </c>
      <c r="D50" s="283">
        <f>C50/'HUD - Snapshot'!$C$23</f>
        <v>156250</v>
      </c>
      <c r="J50" s="236"/>
      <c r="K50" s="13"/>
      <c r="L50" s="133"/>
    </row>
    <row r="51" spans="2:12">
      <c r="C51" s="274"/>
      <c r="J51" s="236"/>
      <c r="K51" s="13"/>
      <c r="L51" s="133"/>
    </row>
    <row r="52" spans="2:12">
      <c r="C52" s="274"/>
    </row>
    <row r="53" spans="2:12">
      <c r="B53" s="16"/>
      <c r="C53" s="274"/>
      <c r="D53" s="151"/>
    </row>
    <row r="54" spans="2:12">
      <c r="B54" s="282" t="s">
        <v>24</v>
      </c>
      <c r="C54" s="274">
        <v>1500000</v>
      </c>
      <c r="D54" s="283">
        <f>C54/'HUD - Snapshot'!$C$23</f>
        <v>4687.5</v>
      </c>
    </row>
    <row r="66" spans="2:2">
      <c r="B66" s="13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BCD88-BD25-A946-B081-4D6AE3EC81CD}">
  <dimension ref="B2:F39"/>
  <sheetViews>
    <sheetView zoomScale="110" workbookViewId="0">
      <selection activeCell="E18" sqref="E18"/>
    </sheetView>
  </sheetViews>
  <sheetFormatPr baseColWidth="10" defaultRowHeight="15"/>
  <cols>
    <col min="2" max="2" width="37" customWidth="1"/>
    <col min="4" max="4" width="9.33203125" customWidth="1"/>
    <col min="5" max="5" width="48.83203125" customWidth="1"/>
  </cols>
  <sheetData>
    <row r="2" spans="2:6" ht="16">
      <c r="B2" s="672" t="s">
        <v>663</v>
      </c>
      <c r="C2" s="672"/>
      <c r="D2" s="672"/>
      <c r="E2" s="672"/>
      <c r="F2" s="672"/>
    </row>
    <row r="3" spans="2:6">
      <c r="B3" s="673" t="s">
        <v>664</v>
      </c>
      <c r="C3" s="674">
        <v>337910</v>
      </c>
      <c r="D3" s="673"/>
      <c r="E3" s="673" t="s">
        <v>665</v>
      </c>
      <c r="F3" s="673">
        <v>1.5</v>
      </c>
    </row>
    <row r="4" spans="2:6">
      <c r="B4" s="673" t="s">
        <v>121</v>
      </c>
      <c r="C4" s="674">
        <v>375</v>
      </c>
      <c r="D4" s="673"/>
      <c r="E4" s="673" t="s">
        <v>666</v>
      </c>
      <c r="F4" s="674">
        <f>F3*C4</f>
        <v>562.5</v>
      </c>
    </row>
    <row r="5" spans="2:6">
      <c r="B5" s="673" t="s">
        <v>228</v>
      </c>
      <c r="C5" s="674">
        <f>C3/C4</f>
        <v>901.09333333333336</v>
      </c>
      <c r="D5" s="673"/>
      <c r="E5" s="673"/>
      <c r="F5" s="674"/>
    </row>
    <row r="6" spans="2:6">
      <c r="B6" s="673"/>
      <c r="C6" s="673"/>
      <c r="D6" s="673"/>
      <c r="E6" s="673"/>
      <c r="F6" s="674"/>
    </row>
    <row r="7" spans="2:6">
      <c r="B7" s="675" t="s">
        <v>667</v>
      </c>
      <c r="C7" s="676"/>
      <c r="D7" s="677"/>
      <c r="E7" s="675" t="s">
        <v>668</v>
      </c>
      <c r="F7" s="676"/>
    </row>
    <row r="8" spans="2:6">
      <c r="B8" s="678" t="s">
        <v>669</v>
      </c>
      <c r="C8" s="679"/>
      <c r="D8" s="677"/>
      <c r="E8" s="678" t="s">
        <v>670</v>
      </c>
      <c r="F8" s="679"/>
    </row>
    <row r="9" spans="2:6">
      <c r="B9" s="680" t="s">
        <v>671</v>
      </c>
      <c r="C9" s="680">
        <f>C4</f>
        <v>375</v>
      </c>
      <c r="D9" s="677"/>
      <c r="E9" s="680" t="s">
        <v>672</v>
      </c>
      <c r="F9" s="677">
        <v>379</v>
      </c>
    </row>
    <row r="10" spans="2:6">
      <c r="B10" s="681" t="s">
        <v>673</v>
      </c>
      <c r="C10" s="682">
        <v>30</v>
      </c>
      <c r="D10" s="677"/>
      <c r="E10" s="681" t="s">
        <v>674</v>
      </c>
      <c r="F10" s="683">
        <v>9500</v>
      </c>
    </row>
    <row r="11" spans="2:6">
      <c r="B11" s="680" t="s">
        <v>675</v>
      </c>
      <c r="C11" s="684">
        <f>C9*C10</f>
        <v>11250</v>
      </c>
      <c r="D11" s="677"/>
      <c r="E11" s="685" t="s">
        <v>676</v>
      </c>
      <c r="F11" s="686">
        <f>F9*F10</f>
        <v>3600500</v>
      </c>
    </row>
    <row r="12" spans="2:6">
      <c r="B12" s="681" t="s">
        <v>677</v>
      </c>
      <c r="C12" s="687">
        <v>141</v>
      </c>
      <c r="D12" s="677"/>
      <c r="E12" s="680" t="s">
        <v>678</v>
      </c>
      <c r="F12" s="688">
        <f>F11/$C$3</f>
        <v>10.655204048415259</v>
      </c>
    </row>
    <row r="13" spans="2:6">
      <c r="B13" s="685" t="s">
        <v>679</v>
      </c>
      <c r="C13" s="689">
        <f>C11*C12</f>
        <v>1586250</v>
      </c>
      <c r="D13" s="677"/>
    </row>
    <row r="14" spans="2:6">
      <c r="B14" s="680" t="s">
        <v>680</v>
      </c>
      <c r="C14" s="688">
        <f>C13/C3</f>
        <v>4.6942972980971263</v>
      </c>
      <c r="D14" s="677"/>
      <c r="E14" s="690" t="s">
        <v>681</v>
      </c>
      <c r="F14" s="677"/>
    </row>
    <row r="15" spans="2:6">
      <c r="B15" s="677"/>
      <c r="C15" s="677"/>
      <c r="D15" s="677"/>
      <c r="E15" s="677" t="s">
        <v>682</v>
      </c>
      <c r="F15" s="691">
        <v>64820</v>
      </c>
    </row>
    <row r="16" spans="2:6">
      <c r="B16" s="675" t="s">
        <v>683</v>
      </c>
      <c r="C16" s="676"/>
      <c r="D16" s="677"/>
      <c r="E16" s="692" t="s">
        <v>684</v>
      </c>
      <c r="F16" s="682">
        <f>379/2</f>
        <v>189.5</v>
      </c>
    </row>
    <row r="17" spans="2:6">
      <c r="B17" s="678" t="s">
        <v>685</v>
      </c>
      <c r="C17" s="679"/>
      <c r="D17" s="677"/>
      <c r="E17" s="677" t="s">
        <v>686</v>
      </c>
      <c r="F17" s="693">
        <f>F15/F16</f>
        <v>342.05804749340371</v>
      </c>
    </row>
    <row r="18" spans="2:6">
      <c r="B18" s="680" t="s">
        <v>687</v>
      </c>
      <c r="C18" s="694">
        <v>75000</v>
      </c>
      <c r="D18" s="677"/>
    </row>
    <row r="19" spans="2:6">
      <c r="B19" s="681" t="s">
        <v>688</v>
      </c>
      <c r="C19" s="695">
        <v>9.3000000000000007</v>
      </c>
      <c r="D19" s="677"/>
      <c r="E19" s="675" t="s">
        <v>689</v>
      </c>
      <c r="F19" s="676"/>
    </row>
    <row r="20" spans="2:6">
      <c r="B20" s="680" t="s">
        <v>690</v>
      </c>
      <c r="C20" s="684">
        <f>C18*C19</f>
        <v>697500</v>
      </c>
      <c r="D20" s="696"/>
      <c r="E20" s="678" t="s">
        <v>691</v>
      </c>
      <c r="F20" s="679"/>
    </row>
    <row r="21" spans="2:6">
      <c r="B21" s="680" t="s">
        <v>692</v>
      </c>
      <c r="C21" s="684">
        <v>2700</v>
      </c>
      <c r="D21" s="677"/>
      <c r="E21" s="680" t="s">
        <v>672</v>
      </c>
      <c r="F21" s="677">
        <v>400</v>
      </c>
    </row>
    <row r="22" spans="2:6">
      <c r="B22" s="681" t="s">
        <v>693</v>
      </c>
      <c r="C22" s="681">
        <v>75</v>
      </c>
      <c r="D22" s="677"/>
      <c r="E22" s="681" t="s">
        <v>694</v>
      </c>
      <c r="F22" s="683">
        <v>11000</v>
      </c>
    </row>
    <row r="23" spans="2:6">
      <c r="B23" s="680" t="s">
        <v>695</v>
      </c>
      <c r="C23" s="684">
        <f>C21*C22</f>
        <v>202500</v>
      </c>
      <c r="D23" s="677"/>
      <c r="E23" s="685" t="s">
        <v>696</v>
      </c>
      <c r="F23" s="686">
        <f>F21*F22</f>
        <v>4400000</v>
      </c>
    </row>
    <row r="24" spans="2:6">
      <c r="B24" s="680"/>
      <c r="C24" s="680"/>
      <c r="D24" s="677"/>
      <c r="E24" s="680" t="s">
        <v>678</v>
      </c>
      <c r="F24" s="688">
        <f>F23/$C$3</f>
        <v>13.021218667692581</v>
      </c>
    </row>
    <row r="25" spans="2:6">
      <c r="B25" s="685" t="s">
        <v>697</v>
      </c>
      <c r="C25" s="689">
        <f>SUM(C23,C20)</f>
        <v>900000</v>
      </c>
      <c r="D25" s="677"/>
      <c r="E25" s="677"/>
      <c r="F25" s="677"/>
    </row>
    <row r="26" spans="2:6">
      <c r="B26" s="680" t="s">
        <v>678</v>
      </c>
      <c r="C26" s="688">
        <f>C25/$C$3</f>
        <v>2.6634310911189369</v>
      </c>
      <c r="D26" s="677"/>
      <c r="E26" s="677"/>
      <c r="F26" s="677"/>
    </row>
    <row r="27" spans="2:6">
      <c r="B27" s="677"/>
      <c r="C27" s="677"/>
      <c r="D27" s="677"/>
      <c r="E27" s="675" t="s">
        <v>698</v>
      </c>
      <c r="F27" s="676"/>
    </row>
    <row r="28" spans="2:6">
      <c r="C28" s="418"/>
      <c r="D28" s="673"/>
      <c r="E28" s="678" t="s">
        <v>699</v>
      </c>
      <c r="F28" s="679"/>
    </row>
    <row r="29" spans="2:6">
      <c r="D29" s="673"/>
      <c r="E29" s="680" t="s">
        <v>698</v>
      </c>
      <c r="F29" s="677">
        <v>300</v>
      </c>
    </row>
    <row r="30" spans="2:6">
      <c r="B30" s="648"/>
      <c r="E30" s="681" t="s">
        <v>700</v>
      </c>
      <c r="F30" s="683">
        <v>1800</v>
      </c>
    </row>
    <row r="31" spans="2:6">
      <c r="B31" s="697"/>
      <c r="E31" s="685" t="s">
        <v>701</v>
      </c>
      <c r="F31" s="686">
        <f>F29*F30</f>
        <v>540000</v>
      </c>
    </row>
    <row r="32" spans="2:6">
      <c r="E32" s="680" t="s">
        <v>678</v>
      </c>
      <c r="F32" s="688">
        <f>F31/$C$3</f>
        <v>1.5980586546713622</v>
      </c>
    </row>
    <row r="34" spans="5:6">
      <c r="E34" s="675" t="s">
        <v>702</v>
      </c>
      <c r="F34" s="676"/>
    </row>
    <row r="35" spans="5:6">
      <c r="E35" s="678" t="s">
        <v>699</v>
      </c>
      <c r="F35" s="679"/>
    </row>
    <row r="36" spans="5:6">
      <c r="E36" s="680" t="s">
        <v>703</v>
      </c>
      <c r="F36" s="677">
        <v>300</v>
      </c>
    </row>
    <row r="37" spans="5:6">
      <c r="E37" s="681" t="s">
        <v>704</v>
      </c>
      <c r="F37" s="683">
        <v>14000</v>
      </c>
    </row>
    <row r="38" spans="5:6">
      <c r="E38" s="685" t="s">
        <v>701</v>
      </c>
      <c r="F38" s="686">
        <f>F36*F37</f>
        <v>4200000</v>
      </c>
    </row>
    <row r="39" spans="5:6">
      <c r="E39" s="680" t="s">
        <v>678</v>
      </c>
      <c r="F39" s="688">
        <f>F38/$C$3</f>
        <v>12.429345091888372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6044C-BD2D-CE43-BDAA-4FC5126D4FD2}">
  <dimension ref="B2:AE114"/>
  <sheetViews>
    <sheetView showGridLines="0" topLeftCell="C1" workbookViewId="0">
      <selection activeCell="F7" sqref="F7:K116"/>
    </sheetView>
  </sheetViews>
  <sheetFormatPr baseColWidth="10" defaultRowHeight="15"/>
  <cols>
    <col min="1" max="1" width="4.33203125" customWidth="1"/>
    <col min="2" max="2" width="3.1640625" bestFit="1" customWidth="1"/>
    <col min="3" max="3" width="68.83203125" customWidth="1"/>
    <col min="4" max="4" width="67.1640625" customWidth="1"/>
    <col min="5" max="5" width="8.1640625" customWidth="1"/>
    <col min="6" max="6" width="30.1640625" customWidth="1"/>
    <col min="7" max="7" width="13.6640625" customWidth="1"/>
    <col min="8" max="8" width="16.33203125" customWidth="1"/>
    <col min="9" max="9" width="24.83203125" customWidth="1"/>
    <col min="10" max="10" width="13.6640625" bestFit="1" customWidth="1"/>
    <col min="11" max="11" width="12.1640625" customWidth="1"/>
    <col min="12" max="12" width="15.1640625" customWidth="1"/>
    <col min="13" max="13" width="18.83203125" customWidth="1"/>
    <col min="14" max="14" width="13.33203125" customWidth="1"/>
    <col min="15" max="15" width="9" customWidth="1"/>
    <col min="16" max="16" width="17.6640625" customWidth="1"/>
  </cols>
  <sheetData>
    <row r="2" spans="2:31" ht="18">
      <c r="B2" s="235" t="str">
        <f>'HUD - CashFlow'!R5</f>
        <v>8011 KREFELD DR</v>
      </c>
      <c r="D2" s="20" t="s">
        <v>176</v>
      </c>
      <c r="F2" s="499"/>
      <c r="L2" s="416"/>
      <c r="AA2" s="21" t="s">
        <v>177</v>
      </c>
      <c r="AB2" s="22"/>
      <c r="AC2" s="23"/>
    </row>
    <row r="3" spans="2:31">
      <c r="D3" s="24">
        <f ca="1">TODAY()</f>
        <v>44838</v>
      </c>
      <c r="F3" s="499"/>
      <c r="AA3" s="25" t="s">
        <v>178</v>
      </c>
      <c r="AB3" s="25" t="s">
        <v>179</v>
      </c>
      <c r="AC3" s="25" t="s">
        <v>180</v>
      </c>
    </row>
    <row r="4" spans="2:31" ht="18">
      <c r="B4" s="26" t="s">
        <v>271</v>
      </c>
      <c r="AA4" s="27" t="s">
        <v>182</v>
      </c>
      <c r="AB4" s="27" t="s">
        <v>183</v>
      </c>
      <c r="AC4" s="28" t="s">
        <v>181</v>
      </c>
    </row>
    <row r="5" spans="2:31" ht="17">
      <c r="B5" s="29"/>
      <c r="AA5" s="27" t="s">
        <v>184</v>
      </c>
      <c r="AB5" s="27" t="s">
        <v>185</v>
      </c>
      <c r="AC5" s="30" t="s">
        <v>181</v>
      </c>
    </row>
    <row r="6" spans="2:31">
      <c r="B6" s="129"/>
      <c r="C6" s="130" t="s">
        <v>186</v>
      </c>
      <c r="D6" s="52" t="s">
        <v>61</v>
      </c>
      <c r="F6" s="293" t="s">
        <v>272</v>
      </c>
      <c r="G6" s="31"/>
      <c r="H6" s="31"/>
      <c r="I6" s="31"/>
      <c r="J6" s="31"/>
      <c r="K6" s="31"/>
      <c r="AA6" s="27" t="s">
        <v>187</v>
      </c>
      <c r="AB6" s="27" t="s">
        <v>188</v>
      </c>
      <c r="AC6" s="32" t="s">
        <v>189</v>
      </c>
    </row>
    <row r="7" spans="2:31">
      <c r="B7" s="33">
        <f>ROW()-6</f>
        <v>1</v>
      </c>
      <c r="C7" s="33" t="s">
        <v>190</v>
      </c>
      <c r="D7" s="34"/>
      <c r="F7" s="499"/>
      <c r="AA7" s="27" t="s">
        <v>191</v>
      </c>
      <c r="AB7" s="27" t="s">
        <v>192</v>
      </c>
      <c r="AC7" s="35" t="s">
        <v>189</v>
      </c>
    </row>
    <row r="8" spans="2:31">
      <c r="B8" s="33">
        <f t="shared" ref="B8:B17" si="0">ROW()-6</f>
        <v>2</v>
      </c>
      <c r="C8" s="33" t="s">
        <v>193</v>
      </c>
      <c r="D8" s="27"/>
      <c r="F8" s="415"/>
      <c r="AA8" s="27" t="s">
        <v>194</v>
      </c>
      <c r="AB8" s="27" t="s">
        <v>195</v>
      </c>
      <c r="AC8" s="36" t="s">
        <v>194</v>
      </c>
    </row>
    <row r="9" spans="2:31" ht="17">
      <c r="B9" s="33">
        <f t="shared" si="0"/>
        <v>3</v>
      </c>
      <c r="C9" s="33" t="s">
        <v>196</v>
      </c>
      <c r="D9" s="27"/>
      <c r="AA9" s="27" t="s">
        <v>197</v>
      </c>
      <c r="AB9" s="27" t="s">
        <v>198</v>
      </c>
      <c r="AC9" s="37" t="s">
        <v>199</v>
      </c>
      <c r="AE9" s="38" t="s">
        <v>181</v>
      </c>
    </row>
    <row r="10" spans="2:31">
      <c r="B10" s="33">
        <f t="shared" si="0"/>
        <v>4</v>
      </c>
      <c r="C10" s="33" t="s">
        <v>200</v>
      </c>
      <c r="D10" s="27"/>
      <c r="J10" s="13"/>
    </row>
    <row r="11" spans="2:31">
      <c r="B11" s="33">
        <f t="shared" si="0"/>
        <v>5</v>
      </c>
      <c r="C11" s="33" t="s">
        <v>201</v>
      </c>
      <c r="D11" s="27"/>
      <c r="F11" s="647"/>
      <c r="I11" s="416"/>
      <c r="AC11" s="39"/>
    </row>
    <row r="12" spans="2:31" ht="17" customHeight="1">
      <c r="B12" s="33">
        <f t="shared" si="0"/>
        <v>6</v>
      </c>
      <c r="C12" s="40" t="s">
        <v>202</v>
      </c>
      <c r="D12" s="27"/>
      <c r="F12" s="647"/>
      <c r="I12" s="416"/>
      <c r="AC12" s="41"/>
    </row>
    <row r="13" spans="2:31">
      <c r="B13" s="33">
        <f t="shared" si="0"/>
        <v>7</v>
      </c>
      <c r="C13" s="33" t="s">
        <v>203</v>
      </c>
      <c r="D13" s="27"/>
      <c r="F13" s="647"/>
      <c r="I13" s="416"/>
      <c r="AC13" s="42"/>
    </row>
    <row r="14" spans="2:31">
      <c r="B14" s="33">
        <f t="shared" si="0"/>
        <v>8</v>
      </c>
      <c r="C14" s="33" t="s">
        <v>204</v>
      </c>
      <c r="D14" s="27"/>
      <c r="F14" s="647"/>
      <c r="I14" s="416"/>
      <c r="AC14" s="43"/>
    </row>
    <row r="15" spans="2:31">
      <c r="B15" s="33">
        <f t="shared" si="0"/>
        <v>9</v>
      </c>
      <c r="C15" s="33" t="s">
        <v>205</v>
      </c>
      <c r="D15" s="27"/>
      <c r="AC15" s="44"/>
    </row>
    <row r="16" spans="2:31">
      <c r="B16" s="33">
        <f t="shared" si="0"/>
        <v>10</v>
      </c>
      <c r="C16" s="33" t="s">
        <v>206</v>
      </c>
      <c r="D16" s="27"/>
    </row>
    <row r="17" spans="2:9">
      <c r="B17" s="33">
        <f t="shared" si="0"/>
        <v>11</v>
      </c>
      <c r="C17" s="33" t="s">
        <v>207</v>
      </c>
      <c r="D17" s="27"/>
    </row>
    <row r="18" spans="2:9">
      <c r="B18" s="33"/>
      <c r="C18" s="33"/>
      <c r="D18" s="27"/>
      <c r="F18" s="499"/>
    </row>
    <row r="19" spans="2:9">
      <c r="F19" s="647"/>
      <c r="I19" s="416"/>
    </row>
    <row r="20" spans="2:9">
      <c r="F20" s="647"/>
      <c r="I20" s="416"/>
    </row>
    <row r="21" spans="2:9">
      <c r="B21" s="129"/>
      <c r="C21" s="130" t="s">
        <v>208</v>
      </c>
      <c r="D21" s="52" t="s">
        <v>61</v>
      </c>
      <c r="F21" s="647"/>
      <c r="I21" s="416"/>
    </row>
    <row r="22" spans="2:9">
      <c r="B22" s="33">
        <f>ROW()-8</f>
        <v>14</v>
      </c>
      <c r="C22" s="33" t="s">
        <v>608</v>
      </c>
      <c r="D22" s="27"/>
      <c r="F22" s="647"/>
      <c r="I22" s="416"/>
    </row>
    <row r="23" spans="2:9">
      <c r="B23" s="33">
        <f>ROW()-8</f>
        <v>15</v>
      </c>
      <c r="C23" s="33" t="s">
        <v>609</v>
      </c>
      <c r="D23" s="27"/>
      <c r="F23" s="647"/>
      <c r="I23" s="416"/>
    </row>
    <row r="24" spans="2:9">
      <c r="B24" s="33">
        <f t="shared" ref="B24:B36" si="1">ROW()-8</f>
        <v>16</v>
      </c>
      <c r="C24" s="33" t="s">
        <v>209</v>
      </c>
      <c r="D24" s="417"/>
      <c r="F24" s="647"/>
      <c r="I24" s="416"/>
    </row>
    <row r="25" spans="2:9">
      <c r="B25" s="33">
        <f t="shared" si="1"/>
        <v>17</v>
      </c>
      <c r="C25" s="33" t="s">
        <v>210</v>
      </c>
      <c r="D25" s="27"/>
      <c r="F25" s="647"/>
      <c r="I25" s="416"/>
    </row>
    <row r="26" spans="2:9">
      <c r="B26" s="33">
        <f t="shared" si="1"/>
        <v>18</v>
      </c>
      <c r="C26" s="33" t="s">
        <v>211</v>
      </c>
      <c r="D26" s="27"/>
      <c r="F26" s="647"/>
      <c r="I26" s="416"/>
    </row>
    <row r="27" spans="2:9">
      <c r="B27" s="33">
        <f t="shared" si="1"/>
        <v>19</v>
      </c>
      <c r="C27" s="33" t="s">
        <v>212</v>
      </c>
      <c r="D27" s="27"/>
      <c r="F27" s="647"/>
      <c r="I27" s="416"/>
    </row>
    <row r="28" spans="2:9">
      <c r="B28" s="33">
        <f t="shared" si="1"/>
        <v>20</v>
      </c>
      <c r="C28" s="33" t="s">
        <v>213</v>
      </c>
      <c r="D28" s="27"/>
      <c r="F28" s="647"/>
      <c r="I28" s="416"/>
    </row>
    <row r="29" spans="2:9">
      <c r="B29" s="33">
        <f t="shared" si="1"/>
        <v>21</v>
      </c>
      <c r="C29" s="40" t="s">
        <v>214</v>
      </c>
      <c r="D29" s="27"/>
      <c r="F29" s="647"/>
      <c r="I29" s="416"/>
    </row>
    <row r="30" spans="2:9">
      <c r="B30" s="33">
        <f t="shared" si="1"/>
        <v>22</v>
      </c>
      <c r="C30" s="33" t="s">
        <v>215</v>
      </c>
      <c r="D30" s="27"/>
      <c r="F30" s="647"/>
      <c r="I30" s="416"/>
    </row>
    <row r="31" spans="2:9">
      <c r="B31" s="33">
        <f t="shared" si="1"/>
        <v>23</v>
      </c>
      <c r="C31" s="33" t="s">
        <v>216</v>
      </c>
      <c r="D31" s="27"/>
    </row>
    <row r="32" spans="2:9">
      <c r="B32" s="33">
        <f t="shared" si="1"/>
        <v>24</v>
      </c>
      <c r="C32" s="33" t="s">
        <v>217</v>
      </c>
      <c r="D32" s="27"/>
    </row>
    <row r="33" spans="2:9">
      <c r="B33" s="33">
        <f t="shared" si="1"/>
        <v>25</v>
      </c>
      <c r="C33" s="33" t="s">
        <v>218</v>
      </c>
      <c r="D33" s="27"/>
      <c r="F33" s="501"/>
    </row>
    <row r="34" spans="2:9">
      <c r="B34" s="33">
        <f t="shared" si="1"/>
        <v>26</v>
      </c>
      <c r="C34" s="33" t="s">
        <v>219</v>
      </c>
      <c r="D34" s="27"/>
      <c r="F34" s="499"/>
    </row>
    <row r="35" spans="2:9">
      <c r="B35" s="33">
        <f t="shared" si="1"/>
        <v>27</v>
      </c>
      <c r="C35" s="33" t="s">
        <v>220</v>
      </c>
      <c r="D35" s="27"/>
      <c r="F35" s="647"/>
      <c r="I35" s="416"/>
    </row>
    <row r="36" spans="2:9">
      <c r="B36" s="33">
        <f t="shared" si="1"/>
        <v>28</v>
      </c>
      <c r="C36" s="33" t="s">
        <v>221</v>
      </c>
      <c r="D36" s="27"/>
      <c r="F36" s="647"/>
    </row>
    <row r="37" spans="2:9">
      <c r="F37" s="499"/>
    </row>
    <row r="38" spans="2:9">
      <c r="C38" s="648"/>
      <c r="F38" s="647"/>
      <c r="I38" s="416"/>
    </row>
    <row r="39" spans="2:9">
      <c r="C39" s="697"/>
    </row>
    <row r="40" spans="2:9">
      <c r="F40" s="499"/>
    </row>
    <row r="41" spans="2:9">
      <c r="I41" s="416"/>
    </row>
    <row r="42" spans="2:9">
      <c r="I42" s="416"/>
    </row>
    <row r="44" spans="2:9">
      <c r="C44" s="648"/>
      <c r="D44" s="13"/>
    </row>
    <row r="45" spans="2:9">
      <c r="F45" s="499"/>
    </row>
    <row r="46" spans="2:9">
      <c r="F46" s="647"/>
      <c r="I46" s="416"/>
    </row>
    <row r="47" spans="2:9">
      <c r="F47" s="647"/>
      <c r="I47" s="416"/>
    </row>
    <row r="48" spans="2:9">
      <c r="F48" s="647"/>
      <c r="I48" s="416"/>
    </row>
    <row r="49" spans="6:9">
      <c r="F49" s="647"/>
      <c r="I49" s="416"/>
    </row>
    <row r="50" spans="6:9">
      <c r="F50" s="647"/>
      <c r="I50" s="416"/>
    </row>
    <row r="51" spans="6:9">
      <c r="F51" s="647"/>
      <c r="I51" s="416"/>
    </row>
    <row r="52" spans="6:9">
      <c r="F52" s="647"/>
      <c r="I52" s="416"/>
    </row>
    <row r="53" spans="6:9">
      <c r="F53" s="647"/>
    </row>
    <row r="54" spans="6:9">
      <c r="F54" s="499"/>
    </row>
    <row r="55" spans="6:9">
      <c r="I55" s="416"/>
    </row>
    <row r="56" spans="6:9" ht="16">
      <c r="H56" s="702"/>
      <c r="I56" s="416"/>
    </row>
    <row r="57" spans="6:9">
      <c r="I57" s="416"/>
    </row>
    <row r="58" spans="6:9">
      <c r="I58" s="416"/>
    </row>
    <row r="60" spans="6:9">
      <c r="I60" s="416"/>
    </row>
    <row r="61" spans="6:9">
      <c r="I61" s="416"/>
    </row>
    <row r="62" spans="6:9">
      <c r="I62" s="416"/>
    </row>
    <row r="63" spans="6:9">
      <c r="I63" s="416"/>
    </row>
    <row r="64" spans="6:9">
      <c r="F64" s="499"/>
    </row>
    <row r="65" spans="6:9">
      <c r="F65" s="647"/>
      <c r="I65" s="416"/>
    </row>
    <row r="66" spans="6:9">
      <c r="F66" s="647"/>
      <c r="I66" s="416"/>
    </row>
    <row r="67" spans="6:9">
      <c r="F67" s="647"/>
      <c r="I67" s="416"/>
    </row>
    <row r="68" spans="6:9">
      <c r="F68" s="647"/>
      <c r="I68" s="416"/>
    </row>
    <row r="69" spans="6:9">
      <c r="I69" s="416"/>
    </row>
    <row r="71" spans="6:9">
      <c r="F71" s="499"/>
      <c r="I71" s="416"/>
    </row>
    <row r="72" spans="6:9">
      <c r="I72" s="416"/>
    </row>
    <row r="73" spans="6:9">
      <c r="I73" s="416"/>
    </row>
    <row r="74" spans="6:9">
      <c r="I74" s="416"/>
    </row>
    <row r="75" spans="6:9">
      <c r="I75" s="416"/>
    </row>
    <row r="76" spans="6:9">
      <c r="I76" s="416"/>
    </row>
    <row r="77" spans="6:9">
      <c r="I77" s="416"/>
    </row>
    <row r="78" spans="6:9">
      <c r="I78" s="416"/>
    </row>
    <row r="81" spans="6:10">
      <c r="F81" s="499"/>
    </row>
    <row r="82" spans="6:10">
      <c r="I82" s="416"/>
    </row>
    <row r="83" spans="6:10">
      <c r="H83" s="415"/>
      <c r="I83" s="416"/>
    </row>
    <row r="84" spans="6:10">
      <c r="F84" s="647"/>
      <c r="H84" s="415"/>
      <c r="I84" s="416"/>
    </row>
    <row r="85" spans="6:10">
      <c r="F85" s="647"/>
      <c r="H85" s="704"/>
    </row>
    <row r="86" spans="6:10">
      <c r="F86" s="647"/>
    </row>
    <row r="87" spans="6:10">
      <c r="F87" s="647"/>
      <c r="G87" s="647"/>
      <c r="H87" s="700"/>
      <c r="I87" s="416"/>
    </row>
    <row r="88" spans="6:10">
      <c r="F88" s="647"/>
      <c r="G88" s="647"/>
      <c r="H88" s="700"/>
    </row>
    <row r="89" spans="6:10">
      <c r="F89" s="647"/>
      <c r="G89" s="647"/>
      <c r="I89" s="416"/>
    </row>
    <row r="90" spans="6:10">
      <c r="F90" s="647"/>
      <c r="G90" s="647"/>
      <c r="H90" s="700"/>
      <c r="I90" s="703"/>
      <c r="J90" s="700"/>
    </row>
    <row r="92" spans="6:10">
      <c r="F92" s="499"/>
    </row>
    <row r="93" spans="6:10">
      <c r="F93" s="647"/>
      <c r="G93" s="701"/>
      <c r="I93" s="416"/>
    </row>
    <row r="96" spans="6:10">
      <c r="F96" s="499"/>
    </row>
    <row r="97" spans="6:9">
      <c r="F97" s="647"/>
      <c r="H97" s="282"/>
      <c r="I97" s="416"/>
    </row>
    <row r="98" spans="6:9">
      <c r="F98" s="647"/>
      <c r="I98" s="416"/>
    </row>
    <row r="99" spans="6:9">
      <c r="I99" s="416"/>
    </row>
    <row r="102" spans="6:9">
      <c r="F102" s="499"/>
      <c r="I102" s="416"/>
    </row>
    <row r="103" spans="6:9">
      <c r="I103" s="416"/>
    </row>
    <row r="105" spans="6:9">
      <c r="F105" s="499"/>
    </row>
    <row r="107" spans="6:9">
      <c r="I107" s="416"/>
    </row>
    <row r="108" spans="6:9">
      <c r="I108" s="416"/>
    </row>
    <row r="111" spans="6:9">
      <c r="F111" s="499"/>
    </row>
    <row r="112" spans="6:9">
      <c r="I112" s="416"/>
    </row>
    <row r="114" spans="9:9">
      <c r="I114" s="416"/>
    </row>
  </sheetData>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971CE-ABBC-F543-AFB6-C6BC72D03B17}">
  <dimension ref="B1:X62"/>
  <sheetViews>
    <sheetView workbookViewId="0">
      <selection sqref="A1:XFD1048576"/>
    </sheetView>
  </sheetViews>
  <sheetFormatPr baseColWidth="10" defaultRowHeight="15"/>
  <cols>
    <col min="1" max="1" width="5.5" customWidth="1"/>
    <col min="2" max="2" width="43.1640625" bestFit="1" customWidth="1"/>
    <col min="3" max="3" width="23" customWidth="1"/>
    <col min="4" max="4" width="12.1640625" bestFit="1" customWidth="1"/>
    <col min="5" max="5" width="73.33203125" bestFit="1" customWidth="1"/>
    <col min="6" max="6" width="19.1640625" bestFit="1" customWidth="1"/>
    <col min="15" max="15" width="13.6640625" bestFit="1" customWidth="1"/>
    <col min="20" max="20" width="43.1640625" bestFit="1" customWidth="1"/>
    <col min="21" max="21" width="25.6640625" customWidth="1"/>
    <col min="23" max="23" width="14.33203125" customWidth="1"/>
    <col min="24" max="24" width="15.33203125" customWidth="1"/>
    <col min="29" max="29" width="31.1640625" customWidth="1"/>
  </cols>
  <sheetData>
    <row r="1" spans="2:21">
      <c r="T1" s="723"/>
      <c r="U1" s="723"/>
    </row>
    <row r="2" spans="2:21" ht="16" thickBot="1">
      <c r="B2" s="723"/>
      <c r="C2" s="723"/>
      <c r="D2" s="723"/>
      <c r="E2" s="723"/>
      <c r="F2" s="723"/>
      <c r="P2" s="499"/>
      <c r="T2" s="728"/>
      <c r="U2" s="729"/>
    </row>
    <row r="3" spans="2:21">
      <c r="B3" s="724"/>
      <c r="C3" s="724"/>
      <c r="D3" s="724"/>
      <c r="E3" s="724"/>
      <c r="F3" s="724"/>
      <c r="O3" s="662"/>
      <c r="U3" s="722"/>
    </row>
    <row r="4" spans="2:21">
      <c r="D4" s="722"/>
      <c r="O4" s="662"/>
      <c r="U4" s="722"/>
    </row>
    <row r="5" spans="2:21">
      <c r="D5" s="722"/>
      <c r="O5" s="662"/>
      <c r="U5" s="722"/>
    </row>
    <row r="6" spans="2:21">
      <c r="D6" s="722"/>
      <c r="O6" s="662"/>
      <c r="U6" s="722"/>
    </row>
    <row r="7" spans="2:21">
      <c r="D7" s="722"/>
      <c r="O7" s="662"/>
      <c r="U7" s="722"/>
    </row>
    <row r="8" spans="2:21">
      <c r="D8" s="722"/>
      <c r="O8" s="662"/>
      <c r="U8" s="722"/>
    </row>
    <row r="9" spans="2:21">
      <c r="D9" s="722"/>
      <c r="U9" s="722"/>
    </row>
    <row r="10" spans="2:21">
      <c r="D10" s="722"/>
      <c r="U10" s="722"/>
    </row>
    <row r="11" spans="2:21">
      <c r="D11" s="722"/>
      <c r="U11" s="722"/>
    </row>
    <row r="12" spans="2:21">
      <c r="D12" s="722"/>
      <c r="U12" s="722"/>
    </row>
    <row r="13" spans="2:21">
      <c r="D13" s="722"/>
      <c r="U13" s="722"/>
    </row>
    <row r="14" spans="2:21">
      <c r="D14" s="722"/>
      <c r="U14" s="722"/>
    </row>
    <row r="15" spans="2:21">
      <c r="C15" s="721"/>
      <c r="D15" s="722"/>
      <c r="U15" s="722"/>
    </row>
    <row r="16" spans="2:21">
      <c r="C16" s="721"/>
      <c r="D16" s="722"/>
      <c r="U16" s="722"/>
    </row>
    <row r="17" spans="4:21">
      <c r="D17" s="722"/>
      <c r="U17" s="722"/>
    </row>
    <row r="18" spans="4:21">
      <c r="D18" s="722"/>
      <c r="U18" s="722"/>
    </row>
    <row r="19" spans="4:21">
      <c r="D19" s="722"/>
      <c r="U19" s="722"/>
    </row>
    <row r="20" spans="4:21">
      <c r="D20" s="722"/>
      <c r="U20" s="722"/>
    </row>
    <row r="21" spans="4:21">
      <c r="D21" s="722"/>
      <c r="U21" s="722"/>
    </row>
    <row r="22" spans="4:21">
      <c r="D22" s="722"/>
      <c r="U22" s="722"/>
    </row>
    <row r="23" spans="4:21">
      <c r="D23" s="722"/>
      <c r="U23" s="722"/>
    </row>
    <row r="24" spans="4:21">
      <c r="D24" s="722"/>
      <c r="U24" s="722"/>
    </row>
    <row r="25" spans="4:21">
      <c r="D25" s="722"/>
      <c r="U25" s="722"/>
    </row>
    <row r="26" spans="4:21">
      <c r="D26" s="722"/>
      <c r="U26" s="722"/>
    </row>
    <row r="27" spans="4:21">
      <c r="D27" s="722"/>
      <c r="U27" s="722"/>
    </row>
    <row r="28" spans="4:21">
      <c r="D28" s="722"/>
      <c r="U28" s="722"/>
    </row>
    <row r="29" spans="4:21">
      <c r="D29" s="722"/>
      <c r="U29" s="722"/>
    </row>
    <row r="30" spans="4:21">
      <c r="D30" s="722"/>
      <c r="U30" s="722"/>
    </row>
    <row r="31" spans="4:21">
      <c r="D31" s="722"/>
      <c r="U31" s="722"/>
    </row>
    <row r="32" spans="4:21">
      <c r="D32" s="722"/>
      <c r="U32" s="722"/>
    </row>
    <row r="33" spans="2:24">
      <c r="D33" s="722"/>
      <c r="T33" s="657"/>
      <c r="U33" s="726"/>
      <c r="X33" s="648"/>
    </row>
    <row r="34" spans="2:24">
      <c r="D34" s="722"/>
      <c r="U34" s="722"/>
      <c r="X34" s="697"/>
    </row>
    <row r="35" spans="2:24">
      <c r="U35" s="722"/>
    </row>
    <row r="36" spans="2:24" ht="16" thickBot="1">
      <c r="D36" s="722"/>
      <c r="T36" s="728"/>
      <c r="U36" s="730"/>
    </row>
    <row r="37" spans="2:24">
      <c r="D37" s="722"/>
      <c r="U37" s="722"/>
    </row>
    <row r="38" spans="2:24">
      <c r="D38" s="722"/>
      <c r="U38" s="722"/>
    </row>
    <row r="39" spans="2:24">
      <c r="D39" s="722"/>
      <c r="U39" s="722"/>
    </row>
    <row r="40" spans="2:24">
      <c r="U40" s="722"/>
    </row>
    <row r="41" spans="2:24">
      <c r="U41" s="722"/>
    </row>
    <row r="42" spans="2:24">
      <c r="U42" s="722"/>
    </row>
    <row r="43" spans="2:24">
      <c r="U43" s="722"/>
    </row>
    <row r="44" spans="2:24">
      <c r="U44" s="722"/>
    </row>
    <row r="45" spans="2:24">
      <c r="U45" s="722"/>
    </row>
    <row r="46" spans="2:24">
      <c r="U46" s="722"/>
    </row>
    <row r="47" spans="2:24">
      <c r="U47" s="722"/>
    </row>
    <row r="48" spans="2:24">
      <c r="B48" s="499"/>
      <c r="U48" s="722"/>
    </row>
    <row r="49" spans="2:21">
      <c r="C49" s="725"/>
      <c r="D49" s="722"/>
      <c r="U49" s="722"/>
    </row>
    <row r="50" spans="2:21">
      <c r="D50" s="722"/>
      <c r="U50" s="722"/>
    </row>
    <row r="51" spans="2:21">
      <c r="D51" s="722"/>
      <c r="T51" s="657"/>
      <c r="U51" s="726"/>
    </row>
    <row r="52" spans="2:21">
      <c r="C52" s="725"/>
      <c r="D52" s="722"/>
      <c r="U52" s="722"/>
    </row>
    <row r="53" spans="2:21">
      <c r="C53" s="725"/>
      <c r="D53" s="722"/>
    </row>
    <row r="56" spans="2:21">
      <c r="B56" s="499"/>
    </row>
    <row r="62" spans="2:21">
      <c r="C62" s="65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3872E-2FAF-7C4F-84C2-48D5DB19A6E8}">
  <dimension ref="B2:EL200"/>
  <sheetViews>
    <sheetView showGridLines="0" topLeftCell="A3" zoomScaleNormal="100" workbookViewId="0">
      <selection activeCell="R26" sqref="R26"/>
    </sheetView>
  </sheetViews>
  <sheetFormatPr baseColWidth="10" defaultColWidth="11.5" defaultRowHeight="13"/>
  <cols>
    <col min="1" max="1" width="5.1640625" style="576" customWidth="1"/>
    <col min="2" max="2" width="32.83203125" style="576" bestFit="1" customWidth="1"/>
    <col min="3" max="3" width="13.33203125" style="576" customWidth="1"/>
    <col min="4" max="4" width="16.6640625" style="576" customWidth="1"/>
    <col min="5" max="6" width="2.33203125" style="576" customWidth="1"/>
    <col min="7" max="7" width="14.1640625" style="576" customWidth="1"/>
    <col min="8" max="8" width="14.33203125" style="576" customWidth="1"/>
    <col min="9" max="10" width="14.1640625" style="576" customWidth="1"/>
    <col min="11" max="11" width="12.5" style="576" customWidth="1"/>
    <col min="12" max="12" width="13.83203125" style="576" customWidth="1"/>
    <col min="13" max="16" width="14.1640625" style="576" customWidth="1"/>
    <col min="17" max="17" width="11.5" style="576"/>
    <col min="18" max="18" width="11.5" style="576" customWidth="1"/>
    <col min="19" max="16384" width="11.5" style="576"/>
  </cols>
  <sheetData>
    <row r="2" spans="2:18">
      <c r="B2" s="235" t="str">
        <f>'HUD - CashFlow'!R5</f>
        <v>8011 KREFELD DR</v>
      </c>
      <c r="R2" s="20" t="s">
        <v>176</v>
      </c>
    </row>
    <row r="3" spans="2:18">
      <c r="R3" s="24">
        <f ca="1">TODAY()</f>
        <v>44838</v>
      </c>
    </row>
    <row r="4" spans="2:18" ht="18">
      <c r="B4" s="26" t="s">
        <v>600</v>
      </c>
    </row>
    <row r="6" spans="2:18">
      <c r="B6" s="577" t="s">
        <v>554</v>
      </c>
      <c r="C6" s="578" t="s">
        <v>555</v>
      </c>
      <c r="D6" s="578" t="s">
        <v>556</v>
      </c>
      <c r="G6" s="579" t="s">
        <v>557</v>
      </c>
      <c r="H6" s="580"/>
      <c r="I6" s="581">
        <f ca="1">D19</f>
        <v>0.15453898310661321</v>
      </c>
      <c r="K6" s="579" t="s">
        <v>558</v>
      </c>
      <c r="L6" s="580"/>
      <c r="M6" s="582">
        <f ca="1">(I6-M9)*10000</f>
        <v>175.8240461349489</v>
      </c>
      <c r="O6" s="572" t="s">
        <v>586</v>
      </c>
      <c r="P6" s="573"/>
    </row>
    <row r="7" spans="2:18">
      <c r="B7" s="583" t="s">
        <v>587</v>
      </c>
      <c r="C7" s="584">
        <f ca="1">D7*C9</f>
        <v>4056558.8245506315</v>
      </c>
      <c r="D7" s="585">
        <v>0.25</v>
      </c>
      <c r="O7" s="586"/>
      <c r="P7" s="587"/>
    </row>
    <row r="8" spans="2:18">
      <c r="B8" s="583" t="s">
        <v>588</v>
      </c>
      <c r="C8" s="584">
        <f ca="1">D8*C9</f>
        <v>12169676.473651893</v>
      </c>
      <c r="D8" s="585">
        <v>0.75</v>
      </c>
      <c r="G8" s="577" t="str">
        <f>$B$7&amp;" Return Summary"</f>
        <v>Sponsor Return Summary</v>
      </c>
      <c r="K8" s="577" t="str">
        <f>$B$8&amp;" Return Summary"</f>
        <v>Investor Return Summary</v>
      </c>
      <c r="O8" s="586"/>
      <c r="P8" s="587"/>
    </row>
    <row r="9" spans="2:18">
      <c r="B9" s="577" t="s">
        <v>559</v>
      </c>
      <c r="C9" s="588">
        <f ca="1">'HUD - Snapshot'!L53</f>
        <v>16226235.298202526</v>
      </c>
      <c r="D9" s="589">
        <f t="shared" ref="D9" ca="1" si="0">C9/$C$9</f>
        <v>1</v>
      </c>
      <c r="G9" s="590" t="str">
        <f>B99</f>
        <v>Sponsor IRR</v>
      </c>
      <c r="I9" s="591">
        <f ca="1">D99</f>
        <v>0.19490916132926939</v>
      </c>
      <c r="K9" s="590" t="str">
        <f>B90</f>
        <v>Investor IRR</v>
      </c>
      <c r="M9" s="591">
        <f ca="1">D90</f>
        <v>0.13695657849311832</v>
      </c>
      <c r="O9" s="586"/>
      <c r="P9" s="587"/>
    </row>
    <row r="10" spans="2:18">
      <c r="G10" s="590" t="str">
        <f>B100</f>
        <v>Sponsor Equity Multiple</v>
      </c>
      <c r="I10" s="592">
        <f ca="1">D100</f>
        <v>6.1434914042015727</v>
      </c>
      <c r="K10" s="590" t="str">
        <f>B91</f>
        <v>Investor Equity Multiple</v>
      </c>
      <c r="M10" s="592">
        <f ca="1">D91</f>
        <v>3.5476823232951236</v>
      </c>
      <c r="O10" s="586"/>
      <c r="P10" s="587"/>
    </row>
    <row r="11" spans="2:18">
      <c r="C11" s="578" t="s">
        <v>560</v>
      </c>
      <c r="D11" s="578" t="str">
        <f>"Promote to "&amp;B7</f>
        <v>Promote to Sponsor</v>
      </c>
      <c r="G11" s="590" t="str">
        <f>B101</f>
        <v>Sponsor Equity Invested</v>
      </c>
      <c r="I11" s="593">
        <f ca="1">D101</f>
        <v>4056558.8245506315</v>
      </c>
      <c r="K11" s="590" t="str">
        <f>B92</f>
        <v>Investor Equity Invested</v>
      </c>
      <c r="M11" s="593">
        <f ca="1">D92</f>
        <v>12169676.473651895</v>
      </c>
      <c r="O11" s="586"/>
      <c r="P11" s="587"/>
    </row>
    <row r="12" spans="2:18">
      <c r="B12" s="576" t="s">
        <v>561</v>
      </c>
      <c r="C12" s="594">
        <v>7.0000000000000007E-2</v>
      </c>
      <c r="D12" s="594">
        <v>0.2</v>
      </c>
      <c r="G12" s="590" t="str">
        <f>B102</f>
        <v>Sponsor Profit</v>
      </c>
      <c r="I12" s="593">
        <f ca="1">D102</f>
        <v>20864875.444714207</v>
      </c>
      <c r="K12" s="590" t="str">
        <f>B93</f>
        <v>Investor Profit</v>
      </c>
      <c r="M12" s="593">
        <f ca="1">D93</f>
        <v>31004469.632143468</v>
      </c>
      <c r="O12" s="586"/>
      <c r="P12" s="587"/>
    </row>
    <row r="13" spans="2:18">
      <c r="B13" s="576" t="s">
        <v>562</v>
      </c>
      <c r="C13" s="594">
        <v>0.09</v>
      </c>
      <c r="D13" s="594">
        <v>0.3</v>
      </c>
      <c r="O13" s="595"/>
      <c r="P13" s="596"/>
    </row>
    <row r="14" spans="2:18">
      <c r="B14" s="576" t="s">
        <v>563</v>
      </c>
      <c r="C14" s="594">
        <v>0.15</v>
      </c>
      <c r="D14" s="594">
        <v>0.5</v>
      </c>
    </row>
    <row r="15" spans="2:18">
      <c r="C15" s="597"/>
      <c r="D15" s="597"/>
    </row>
    <row r="16" spans="2:18">
      <c r="B16" s="178" t="s">
        <v>99</v>
      </c>
      <c r="C16" s="179"/>
      <c r="D16" s="179"/>
      <c r="E16" s="179"/>
      <c r="F16" s="179"/>
      <c r="G16" s="179">
        <v>0</v>
      </c>
      <c r="H16" s="179">
        <f>G16+1</f>
        <v>1</v>
      </c>
      <c r="I16" s="179">
        <f t="shared" ref="I16:R16" si="1">H16+1</f>
        <v>2</v>
      </c>
      <c r="J16" s="179">
        <f t="shared" si="1"/>
        <v>3</v>
      </c>
      <c r="K16" s="179">
        <f t="shared" si="1"/>
        <v>4</v>
      </c>
      <c r="L16" s="179">
        <f t="shared" si="1"/>
        <v>5</v>
      </c>
      <c r="M16" s="179">
        <f t="shared" si="1"/>
        <v>6</v>
      </c>
      <c r="N16" s="179">
        <f t="shared" si="1"/>
        <v>7</v>
      </c>
      <c r="O16" s="179">
        <f t="shared" si="1"/>
        <v>8</v>
      </c>
      <c r="P16" s="179">
        <f t="shared" si="1"/>
        <v>9</v>
      </c>
      <c r="Q16" s="179">
        <f t="shared" si="1"/>
        <v>10</v>
      </c>
      <c r="R16" s="179">
        <f t="shared" si="1"/>
        <v>11</v>
      </c>
    </row>
    <row r="17" spans="2:28">
      <c r="B17" s="178" t="s">
        <v>589</v>
      </c>
      <c r="C17" s="497"/>
      <c r="D17" s="497"/>
      <c r="E17" s="497"/>
      <c r="F17" s="497"/>
      <c r="G17" s="497">
        <f>'HUD - CashFlow'!C8</f>
        <v>45048</v>
      </c>
      <c r="H17" s="497">
        <f>'HUD - CashFlow'!D8</f>
        <v>45413</v>
      </c>
      <c r="I17" s="497">
        <f>'HUD - CashFlow'!E8</f>
        <v>45778</v>
      </c>
      <c r="J17" s="497">
        <f>'HUD - CashFlow'!F8</f>
        <v>46143</v>
      </c>
      <c r="K17" s="497">
        <f>'HUD - CashFlow'!G8</f>
        <v>46508</v>
      </c>
      <c r="L17" s="497">
        <f>'HUD - CashFlow'!H8</f>
        <v>46873</v>
      </c>
      <c r="M17" s="497">
        <f>'HUD - CashFlow'!I8</f>
        <v>47238</v>
      </c>
      <c r="N17" s="497">
        <f>'HUD - CashFlow'!J8</f>
        <v>47603</v>
      </c>
      <c r="O17" s="497">
        <f>'HUD - CashFlow'!K8</f>
        <v>47968</v>
      </c>
      <c r="P17" s="497">
        <f>'HUD - CashFlow'!L8</f>
        <v>48333</v>
      </c>
      <c r="Q17" s="497">
        <f>'HUD - CashFlow'!M8</f>
        <v>48698</v>
      </c>
      <c r="R17" s="497">
        <f>'HUD - CashFlow'!N8</f>
        <v>49063</v>
      </c>
      <c r="S17" s="598"/>
      <c r="T17" s="598"/>
      <c r="U17" s="598"/>
      <c r="V17" s="598"/>
      <c r="W17" s="598"/>
      <c r="X17" s="598"/>
      <c r="Y17" s="598"/>
      <c r="Z17" s="598"/>
      <c r="AA17" s="598"/>
      <c r="AB17" s="598"/>
    </row>
    <row r="19" spans="2:28">
      <c r="B19" s="599" t="s">
        <v>590</v>
      </c>
      <c r="C19" s="599"/>
      <c r="D19" s="600">
        <f ca="1">XIRR(G19:R19,G17:R17)</f>
        <v>0.15453898310661321</v>
      </c>
      <c r="E19" s="599"/>
      <c r="F19" s="599"/>
      <c r="G19" s="601">
        <f ca="1">'HUD - CashFlow'!C56</f>
        <v>-14940258.359999994</v>
      </c>
      <c r="H19" s="601">
        <f ca="1">'HUD - CashFlow'!D56</f>
        <v>-1285976.9382025325</v>
      </c>
      <c r="I19" s="601">
        <f ca="1">'HUD - CashFlow'!E56</f>
        <v>597929.05374361575</v>
      </c>
      <c r="J19" s="601">
        <f ca="1">'HUD - CashFlow'!F56</f>
        <v>732110.18742998829</v>
      </c>
      <c r="K19" s="601">
        <f ca="1">'HUD - CashFlow'!G56</f>
        <v>870345.81295823213</v>
      </c>
      <c r="L19" s="601">
        <f ca="1">'HUD - CashFlow'!H56</f>
        <v>1012759.0517373988</v>
      </c>
      <c r="M19" s="601">
        <f ca="1">'HUD - CashFlow'!I56</f>
        <v>1159476.7948788418</v>
      </c>
      <c r="N19" s="601">
        <f ca="1">'HUD - CashFlow'!J56</f>
        <v>1310629.8201786666</v>
      </c>
      <c r="O19" s="601">
        <f ca="1">'HUD - CashFlow'!K56</f>
        <v>1466352.9128087196</v>
      </c>
      <c r="P19" s="601">
        <f ca="1">'HUD - CashFlow'!L56</f>
        <v>1626784.9898376241</v>
      </c>
      <c r="Q19" s="601">
        <f ca="1">'HUD - CashFlow'!M56</f>
        <v>1792069.2287074029</v>
      </c>
      <c r="R19" s="601">
        <f ca="1">'HUD - CashFlow'!N56</f>
        <v>57527122.522779718</v>
      </c>
    </row>
    <row r="21" spans="2:28">
      <c r="B21" s="577" t="str">
        <f>B12</f>
        <v>Preferred Return (First Hurdle)</v>
      </c>
      <c r="G21" s="575"/>
      <c r="H21" s="575"/>
      <c r="I21" s="575"/>
      <c r="J21" s="575"/>
      <c r="K21" s="575"/>
      <c r="L21" s="575"/>
      <c r="M21" s="575"/>
      <c r="N21" s="575"/>
      <c r="O21" s="575"/>
      <c r="P21" s="575"/>
    </row>
    <row r="22" spans="2:28">
      <c r="B22" s="576" t="s">
        <v>570</v>
      </c>
      <c r="G22" s="575">
        <v>0</v>
      </c>
      <c r="H22" s="575">
        <f ca="1">G26</f>
        <v>11205193.769999996</v>
      </c>
      <c r="I22" s="575">
        <f ca="1">H26</f>
        <v>12954040.037551895</v>
      </c>
      <c r="J22" s="575">
        <f t="shared" ref="J22:P22" ca="1" si="2">I26</f>
        <v>13412376.049872816</v>
      </c>
      <c r="K22" s="575">
        <f t="shared" ca="1" si="2"/>
        <v>13802159.73279142</v>
      </c>
      <c r="L22" s="575">
        <f t="shared" ca="1" si="2"/>
        <v>14115551.554368144</v>
      </c>
      <c r="M22" s="575">
        <f t="shared" ca="1" si="2"/>
        <v>14344070.874370866</v>
      </c>
      <c r="N22" s="575">
        <f t="shared" ca="1" si="2"/>
        <v>14478548.239417695</v>
      </c>
      <c r="O22" s="575">
        <f t="shared" ca="1" si="2"/>
        <v>14509074.251042932</v>
      </c>
      <c r="P22" s="575">
        <f t="shared" ca="1" si="2"/>
        <v>14424944.764009399</v>
      </c>
      <c r="Q22" s="575">
        <f t="shared" ref="Q22" ca="1" si="3">P26</f>
        <v>14214602.15511184</v>
      </c>
      <c r="R22" s="575">
        <f t="shared" ref="R22" ca="1" si="4">Q26</f>
        <v>13865572.384439116</v>
      </c>
    </row>
    <row r="23" spans="2:28">
      <c r="B23" s="602" t="s">
        <v>591</v>
      </c>
      <c r="D23" s="603">
        <f>C12</f>
        <v>7.0000000000000007E-2</v>
      </c>
      <c r="G23" s="575">
        <f>$D$23*G22</f>
        <v>0</v>
      </c>
      <c r="H23" s="575">
        <f ca="1">$D$23*H22</f>
        <v>784363.56389999983</v>
      </c>
      <c r="I23" s="575">
        <f t="shared" ref="I23:P23" ca="1" si="5">$D$23*I22</f>
        <v>906782.80262863275</v>
      </c>
      <c r="J23" s="575">
        <f t="shared" ca="1" si="5"/>
        <v>938866.3234910972</v>
      </c>
      <c r="K23" s="575">
        <f t="shared" ca="1" si="5"/>
        <v>966151.18129539955</v>
      </c>
      <c r="L23" s="575">
        <f t="shared" ca="1" si="5"/>
        <v>988088.60880577017</v>
      </c>
      <c r="M23" s="575">
        <f t="shared" ca="1" si="5"/>
        <v>1004084.9612059607</v>
      </c>
      <c r="N23" s="575">
        <f t="shared" ca="1" si="5"/>
        <v>1013498.3767592387</v>
      </c>
      <c r="O23" s="575">
        <f t="shared" ca="1" si="5"/>
        <v>1015635.1975730053</v>
      </c>
      <c r="P23" s="575">
        <f t="shared" ca="1" si="5"/>
        <v>1009746.1334806581</v>
      </c>
      <c r="Q23" s="575">
        <f t="shared" ref="Q23:R23" ca="1" si="6">$D$23*Q22</f>
        <v>995022.15085782891</v>
      </c>
      <c r="R23" s="575">
        <f t="shared" ca="1" si="6"/>
        <v>970590.06691073824</v>
      </c>
    </row>
    <row r="24" spans="2:28">
      <c r="B24" s="602" t="s">
        <v>565</v>
      </c>
      <c r="G24" s="575">
        <f ca="1">-G$41</f>
        <v>11205193.769999996</v>
      </c>
      <c r="H24" s="575">
        <f ca="1">-H$41</f>
        <v>964482.70365189936</v>
      </c>
      <c r="I24" s="575">
        <f t="shared" ref="I24:R24" ca="1" si="7">-I$41</f>
        <v>0</v>
      </c>
      <c r="J24" s="575">
        <f t="shared" ca="1" si="7"/>
        <v>0</v>
      </c>
      <c r="K24" s="575">
        <f t="shared" ca="1" si="7"/>
        <v>0</v>
      </c>
      <c r="L24" s="575">
        <f t="shared" ca="1" si="7"/>
        <v>0</v>
      </c>
      <c r="M24" s="575">
        <f t="shared" ca="1" si="7"/>
        <v>0</v>
      </c>
      <c r="N24" s="575">
        <f t="shared" ca="1" si="7"/>
        <v>0</v>
      </c>
      <c r="O24" s="575">
        <f t="shared" ca="1" si="7"/>
        <v>0</v>
      </c>
      <c r="P24" s="575">
        <f t="shared" ca="1" si="7"/>
        <v>0</v>
      </c>
      <c r="Q24" s="575">
        <f t="shared" ca="1" si="7"/>
        <v>0</v>
      </c>
      <c r="R24" s="575">
        <f t="shared" ca="1" si="7"/>
        <v>0</v>
      </c>
    </row>
    <row r="25" spans="2:28">
      <c r="B25" s="602" t="str">
        <f>"Distributions: "&amp;$B$12</f>
        <v>Distributions: Preferred Return (First Hurdle)</v>
      </c>
      <c r="G25" s="575">
        <f ca="1">-MIN($D$41*(G19-G43),SUM(G22:G24))</f>
        <v>0</v>
      </c>
      <c r="H25" s="575">
        <f ca="1">-MIN($D$41*(H19-H43),SUM(H22:H24))</f>
        <v>0</v>
      </c>
      <c r="I25" s="575">
        <f ca="1">-MIN($D$41*I19,SUM(I22:I24))</f>
        <v>-448446.79030771181</v>
      </c>
      <c r="J25" s="575">
        <f ca="1">-MIN($D$41*J19,SUM(J22:J24))</f>
        <v>-549082.64057249122</v>
      </c>
      <c r="K25" s="575">
        <f ca="1">-MIN($D$41*K19,SUM(K22:K24))</f>
        <v>-652759.3597186741</v>
      </c>
      <c r="L25" s="575">
        <f ca="1">-MIN($D$41*L19,SUM(L22:L24))</f>
        <v>-759569.28880304913</v>
      </c>
      <c r="M25" s="575">
        <f t="shared" ref="M25:O25" ca="1" si="8">-MIN($D$41*M19,SUM(M22:M24))</f>
        <v>-869607.59615913138</v>
      </c>
      <c r="N25" s="575">
        <f t="shared" ca="1" si="8"/>
        <v>-982972.36513399996</v>
      </c>
      <c r="O25" s="575">
        <f t="shared" ca="1" si="8"/>
        <v>-1099764.6846065396</v>
      </c>
      <c r="P25" s="575">
        <f ca="1">-MIN($D$41*P19,SUM(P22:P24))</f>
        <v>-1220088.7423782181</v>
      </c>
      <c r="Q25" s="575">
        <f ca="1">-MIN($D$41*Q19,SUM(Q22:Q24))</f>
        <v>-1344051.9215305522</v>
      </c>
      <c r="R25" s="575">
        <f ca="1">-MIN($D$41*R19,SUM(R22:R24))</f>
        <v>-14836162.451349854</v>
      </c>
    </row>
    <row r="26" spans="2:28">
      <c r="B26" s="576" t="s">
        <v>567</v>
      </c>
      <c r="G26" s="575">
        <f ca="1">SUM(G22:G25)</f>
        <v>11205193.769999996</v>
      </c>
      <c r="H26" s="575">
        <f ca="1">SUM(H22:H25)</f>
        <v>12954040.037551895</v>
      </c>
      <c r="I26" s="575">
        <f ca="1">SUM(I22:I25)</f>
        <v>13412376.049872816</v>
      </c>
      <c r="J26" s="575">
        <f ca="1">SUM(J22:J25)</f>
        <v>13802159.73279142</v>
      </c>
      <c r="K26" s="575">
        <f t="shared" ref="K26:P26" ca="1" si="9">SUM(K22:K25)</f>
        <v>14115551.554368144</v>
      </c>
      <c r="L26" s="575">
        <f t="shared" ca="1" si="9"/>
        <v>14344070.874370866</v>
      </c>
      <c r="M26" s="575">
        <f t="shared" ca="1" si="9"/>
        <v>14478548.239417695</v>
      </c>
      <c r="N26" s="575">
        <f t="shared" ca="1" si="9"/>
        <v>14509074.251042932</v>
      </c>
      <c r="O26" s="575">
        <f t="shared" ca="1" si="9"/>
        <v>14424944.764009399</v>
      </c>
      <c r="P26" s="575">
        <f t="shared" ca="1" si="9"/>
        <v>14214602.15511184</v>
      </c>
      <c r="Q26" s="575">
        <f t="shared" ref="Q26:R26" ca="1" si="10">SUM(Q22:Q25)</f>
        <v>13865572.384439116</v>
      </c>
      <c r="R26" s="575">
        <f t="shared" ca="1" si="10"/>
        <v>0</v>
      </c>
    </row>
    <row r="27" spans="2:28">
      <c r="G27" s="575"/>
      <c r="H27" s="575"/>
      <c r="I27" s="575"/>
      <c r="J27" s="575"/>
      <c r="K27" s="575"/>
      <c r="L27" s="575"/>
      <c r="M27" s="575"/>
      <c r="N27" s="575"/>
      <c r="O27" s="575"/>
      <c r="P27" s="575"/>
      <c r="Q27" s="575"/>
      <c r="R27" s="575"/>
    </row>
    <row r="28" spans="2:28">
      <c r="B28" s="577" t="str">
        <f>"Cash Flow - "&amp;$B$12</f>
        <v>Cash Flow - Preferred Return (First Hurdle)</v>
      </c>
      <c r="G28" s="575"/>
      <c r="H28" s="575"/>
      <c r="I28" s="575"/>
      <c r="J28" s="575"/>
      <c r="K28" s="575"/>
      <c r="L28" s="575"/>
      <c r="M28" s="575"/>
      <c r="N28" s="575"/>
      <c r="O28" s="575"/>
      <c r="P28" s="575"/>
      <c r="Q28" s="575"/>
      <c r="R28" s="575"/>
    </row>
    <row r="29" spans="2:28">
      <c r="B29" s="590" t="str">
        <f>$B$8</f>
        <v>Investor</v>
      </c>
      <c r="D29" s="604">
        <f>$D$8</f>
        <v>0.75</v>
      </c>
      <c r="G29" s="575">
        <f t="shared" ref="G29:R29" ca="1" si="11">-G$25</f>
        <v>0</v>
      </c>
      <c r="H29" s="575">
        <f t="shared" ca="1" si="11"/>
        <v>0</v>
      </c>
      <c r="I29" s="575">
        <f t="shared" ca="1" si="11"/>
        <v>448446.79030771181</v>
      </c>
      <c r="J29" s="575">
        <f t="shared" ca="1" si="11"/>
        <v>549082.64057249122</v>
      </c>
      <c r="K29" s="575">
        <f t="shared" ca="1" si="11"/>
        <v>652759.3597186741</v>
      </c>
      <c r="L29" s="575">
        <f t="shared" ca="1" si="11"/>
        <v>759569.28880304913</v>
      </c>
      <c r="M29" s="575">
        <f t="shared" ca="1" si="11"/>
        <v>869607.59615913138</v>
      </c>
      <c r="N29" s="575">
        <f t="shared" ca="1" si="11"/>
        <v>982972.36513399996</v>
      </c>
      <c r="O29" s="575">
        <f t="shared" ca="1" si="11"/>
        <v>1099764.6846065396</v>
      </c>
      <c r="P29" s="575">
        <f t="shared" ca="1" si="11"/>
        <v>1220088.7423782181</v>
      </c>
      <c r="Q29" s="575">
        <f t="shared" ca="1" si="11"/>
        <v>1344051.9215305522</v>
      </c>
      <c r="R29" s="575">
        <f t="shared" ca="1" si="11"/>
        <v>14836162.451349854</v>
      </c>
    </row>
    <row r="30" spans="2:28">
      <c r="B30" s="590" t="str">
        <f>$B$7</f>
        <v>Sponsor</v>
      </c>
      <c r="D30" s="604">
        <f>$D$7</f>
        <v>0.25</v>
      </c>
      <c r="G30" s="575">
        <f t="shared" ref="G30:R30" ca="1" si="12">(G$29/$D$29)*$D$30</f>
        <v>0</v>
      </c>
      <c r="H30" s="575">
        <f t="shared" ca="1" si="12"/>
        <v>0</v>
      </c>
      <c r="I30" s="575">
        <f t="shared" ca="1" si="12"/>
        <v>149482.26343590394</v>
      </c>
      <c r="J30" s="575">
        <f t="shared" ca="1" si="12"/>
        <v>183027.54685749707</v>
      </c>
      <c r="K30" s="575">
        <f t="shared" ca="1" si="12"/>
        <v>217586.45323955803</v>
      </c>
      <c r="L30" s="575">
        <f t="shared" ca="1" si="12"/>
        <v>253189.76293434971</v>
      </c>
      <c r="M30" s="575">
        <f t="shared" ca="1" si="12"/>
        <v>289869.19871971046</v>
      </c>
      <c r="N30" s="575">
        <f t="shared" ca="1" si="12"/>
        <v>327657.45504466665</v>
      </c>
      <c r="O30" s="575">
        <f t="shared" ca="1" si="12"/>
        <v>366588.22820217983</v>
      </c>
      <c r="P30" s="575">
        <f t="shared" ca="1" si="12"/>
        <v>406696.24745940603</v>
      </c>
      <c r="Q30" s="575">
        <f ca="1">(Q$29/$D$29)*$D$30</f>
        <v>448017.30717685074</v>
      </c>
      <c r="R30" s="575">
        <f t="shared" ca="1" si="12"/>
        <v>4945387.4837832851</v>
      </c>
    </row>
    <row r="31" spans="2:28">
      <c r="B31" s="605" t="str">
        <f>"Total Cash Flow - "&amp;$B$12</f>
        <v>Total Cash Flow - Preferred Return (First Hurdle)</v>
      </c>
      <c r="C31" s="605"/>
      <c r="D31" s="605"/>
      <c r="E31" s="605"/>
      <c r="F31" s="605"/>
      <c r="G31" s="606">
        <f ca="1">SUM(G29:G30)</f>
        <v>0</v>
      </c>
      <c r="H31" s="606">
        <f t="shared" ref="H31:P31" ca="1" si="13">SUM(H29:H30)</f>
        <v>0</v>
      </c>
      <c r="I31" s="606">
        <f t="shared" ca="1" si="13"/>
        <v>597929.05374361575</v>
      </c>
      <c r="J31" s="606">
        <f t="shared" ca="1" si="13"/>
        <v>732110.18742998829</v>
      </c>
      <c r="K31" s="606">
        <f t="shared" ca="1" si="13"/>
        <v>870345.81295823213</v>
      </c>
      <c r="L31" s="606">
        <f t="shared" ca="1" si="13"/>
        <v>1012759.0517373988</v>
      </c>
      <c r="M31" s="606">
        <f t="shared" ca="1" si="13"/>
        <v>1159476.7948788418</v>
      </c>
      <c r="N31" s="606">
        <f t="shared" ca="1" si="13"/>
        <v>1310629.8201786666</v>
      </c>
      <c r="O31" s="606">
        <f t="shared" ca="1" si="13"/>
        <v>1466352.9128087193</v>
      </c>
      <c r="P31" s="606">
        <f t="shared" ca="1" si="13"/>
        <v>1626784.9898376241</v>
      </c>
      <c r="Q31" s="606">
        <f t="shared" ref="Q31:R31" ca="1" si="14">SUM(Q29:Q30)</f>
        <v>1792069.2287074029</v>
      </c>
      <c r="R31" s="606">
        <f t="shared" ca="1" si="14"/>
        <v>19781549.935133141</v>
      </c>
    </row>
    <row r="32" spans="2:28">
      <c r="G32" s="575"/>
      <c r="H32" s="575"/>
      <c r="I32" s="575"/>
      <c r="J32" s="575"/>
      <c r="K32" s="575"/>
      <c r="L32" s="575"/>
      <c r="M32" s="575"/>
      <c r="N32" s="575"/>
      <c r="O32" s="575"/>
      <c r="P32" s="575"/>
      <c r="Q32" s="575"/>
      <c r="R32" s="575"/>
    </row>
    <row r="33" spans="2:18">
      <c r="B33" s="576" t="s">
        <v>569</v>
      </c>
      <c r="G33" s="575">
        <f ca="1">G$19-G$31-G43</f>
        <v>0</v>
      </c>
      <c r="H33" s="575">
        <f ca="1">H$19-H$31-H43</f>
        <v>0</v>
      </c>
      <c r="I33" s="575">
        <f t="shared" ref="I33:Q33" ca="1" si="15">I$19-I$31</f>
        <v>0</v>
      </c>
      <c r="J33" s="575">
        <f t="shared" ca="1" si="15"/>
        <v>0</v>
      </c>
      <c r="K33" s="575">
        <f t="shared" ca="1" si="15"/>
        <v>0</v>
      </c>
      <c r="L33" s="575">
        <f t="shared" ca="1" si="15"/>
        <v>0</v>
      </c>
      <c r="M33" s="575">
        <f t="shared" ca="1" si="15"/>
        <v>0</v>
      </c>
      <c r="N33" s="575">
        <f t="shared" ca="1" si="15"/>
        <v>0</v>
      </c>
      <c r="O33" s="575">
        <f t="shared" ca="1" si="15"/>
        <v>0</v>
      </c>
      <c r="P33" s="575">
        <f ca="1">P$19-P$31</f>
        <v>0</v>
      </c>
      <c r="Q33" s="575">
        <f t="shared" ca="1" si="15"/>
        <v>0</v>
      </c>
      <c r="R33" s="575">
        <f ca="1">R$19-R$31</f>
        <v>37745572.587646574</v>
      </c>
    </row>
    <row r="34" spans="2:18">
      <c r="G34" s="575"/>
      <c r="H34" s="575"/>
      <c r="I34" s="575"/>
      <c r="J34" s="575"/>
      <c r="K34" s="575"/>
      <c r="L34" s="575"/>
      <c r="M34" s="575"/>
      <c r="N34" s="575"/>
      <c r="O34" s="575"/>
      <c r="P34" s="575"/>
      <c r="Q34" s="575"/>
      <c r="R34" s="575"/>
    </row>
    <row r="35" spans="2:18">
      <c r="B35" s="577" t="s">
        <v>564</v>
      </c>
    </row>
    <row r="36" spans="2:18">
      <c r="B36" s="602" t="s">
        <v>565</v>
      </c>
      <c r="G36" s="575">
        <f ca="1">-($D$41*(MIN(0,G$19)))</f>
        <v>11205193.769999996</v>
      </c>
      <c r="H36" s="575">
        <f t="shared" ref="H36:R36" ca="1" si="16">-($D$41*(MIN(0,H$19)))</f>
        <v>964482.70365189936</v>
      </c>
      <c r="I36" s="575">
        <f t="shared" ca="1" si="16"/>
        <v>0</v>
      </c>
      <c r="J36" s="575">
        <f t="shared" ca="1" si="16"/>
        <v>0</v>
      </c>
      <c r="K36" s="575">
        <f t="shared" ca="1" si="16"/>
        <v>0</v>
      </c>
      <c r="L36" s="575">
        <f t="shared" ca="1" si="16"/>
        <v>0</v>
      </c>
      <c r="M36" s="575">
        <f t="shared" ca="1" si="16"/>
        <v>0</v>
      </c>
      <c r="N36" s="575">
        <f t="shared" ca="1" si="16"/>
        <v>0</v>
      </c>
      <c r="O36" s="575">
        <f t="shared" ca="1" si="16"/>
        <v>0</v>
      </c>
      <c r="P36" s="575">
        <f t="shared" ca="1" si="16"/>
        <v>0</v>
      </c>
      <c r="Q36" s="575">
        <f t="shared" ca="1" si="16"/>
        <v>0</v>
      </c>
      <c r="R36" s="575">
        <f t="shared" ca="1" si="16"/>
        <v>0</v>
      </c>
    </row>
    <row r="37" spans="2:18">
      <c r="B37" s="602" t="s">
        <v>566</v>
      </c>
      <c r="G37" s="575">
        <f ca="1">-(MAX(0,MIN($D$41*G$19,G36)))</f>
        <v>0</v>
      </c>
      <c r="H37" s="575">
        <f ca="1">-(MAX(0,MIN($D$41*H$19,H36)))</f>
        <v>0</v>
      </c>
      <c r="I37" s="575">
        <f ca="1">I25</f>
        <v>-448446.79030771181</v>
      </c>
      <c r="J37" s="575">
        <f t="shared" ref="J37:P37" ca="1" si="17">J25</f>
        <v>-549082.64057249122</v>
      </c>
      <c r="K37" s="575">
        <f t="shared" ca="1" si="17"/>
        <v>-652759.3597186741</v>
      </c>
      <c r="L37" s="575">
        <f t="shared" ca="1" si="17"/>
        <v>-759569.28880304913</v>
      </c>
      <c r="M37" s="575">
        <f t="shared" ca="1" si="17"/>
        <v>-869607.59615913138</v>
      </c>
      <c r="N37" s="575">
        <f t="shared" ca="1" si="17"/>
        <v>-982972.36513399996</v>
      </c>
      <c r="O37" s="575">
        <f t="shared" ca="1" si="17"/>
        <v>-1099764.6846065396</v>
      </c>
      <c r="P37" s="575">
        <f t="shared" ca="1" si="17"/>
        <v>-1220088.7423782181</v>
      </c>
      <c r="Q37" s="575">
        <f t="shared" ref="Q37:R37" ca="1" si="18">Q25</f>
        <v>-1344051.9215305522</v>
      </c>
      <c r="R37" s="575">
        <f t="shared" ca="1" si="18"/>
        <v>-14836162.451349854</v>
      </c>
    </row>
    <row r="38" spans="2:18">
      <c r="B38" s="602" t="s">
        <v>567</v>
      </c>
      <c r="G38" s="575">
        <f ca="1">SUM(G36:G37)</f>
        <v>11205193.769999996</v>
      </c>
      <c r="H38" s="575">
        <f ca="1">SUM(H36:H37)+G38+H23</f>
        <v>12954040.037551895</v>
      </c>
      <c r="I38" s="575">
        <f t="shared" ref="I38:P38" ca="1" si="19">SUM(I36:I37)+H38+I23</f>
        <v>13412376.049872816</v>
      </c>
      <c r="J38" s="575">
        <f t="shared" ca="1" si="19"/>
        <v>13802159.73279142</v>
      </c>
      <c r="K38" s="575">
        <f t="shared" ca="1" si="19"/>
        <v>14115551.554368146</v>
      </c>
      <c r="L38" s="575">
        <f t="shared" ca="1" si="19"/>
        <v>14344070.874370867</v>
      </c>
      <c r="M38" s="575">
        <f t="shared" ca="1" si="19"/>
        <v>14478548.239417696</v>
      </c>
      <c r="N38" s="575">
        <f t="shared" ca="1" si="19"/>
        <v>14509074.251042934</v>
      </c>
      <c r="O38" s="575">
        <f t="shared" ca="1" si="19"/>
        <v>14424944.764009401</v>
      </c>
      <c r="P38" s="575">
        <f t="shared" ca="1" si="19"/>
        <v>14214602.155111842</v>
      </c>
      <c r="Q38" s="575">
        <f t="shared" ref="Q38" ca="1" si="20">SUM(Q36:Q37)+P38+Q23</f>
        <v>13865572.384439118</v>
      </c>
      <c r="R38" s="575">
        <f t="shared" ref="R38" ca="1" si="21">SUM(R36:R37)+Q38+R23</f>
        <v>1.9790604710578918E-9</v>
      </c>
    </row>
    <row r="40" spans="2:18">
      <c r="B40" s="577" t="s">
        <v>568</v>
      </c>
    </row>
    <row r="41" spans="2:18">
      <c r="B41" s="590" t="str">
        <f>$B$8</f>
        <v>Investor</v>
      </c>
      <c r="D41" s="604">
        <f>$D$8</f>
        <v>0.75</v>
      </c>
      <c r="G41" s="575">
        <f t="shared" ref="G41:R41" ca="1" si="22">$D$41*(MIN(0,G$19))</f>
        <v>-11205193.769999996</v>
      </c>
      <c r="H41" s="575">
        <f t="shared" ca="1" si="22"/>
        <v>-964482.70365189936</v>
      </c>
      <c r="I41" s="575">
        <f t="shared" ca="1" si="22"/>
        <v>0</v>
      </c>
      <c r="J41" s="575">
        <f t="shared" ca="1" si="22"/>
        <v>0</v>
      </c>
      <c r="K41" s="575">
        <f t="shared" ca="1" si="22"/>
        <v>0</v>
      </c>
      <c r="L41" s="575">
        <f t="shared" ca="1" si="22"/>
        <v>0</v>
      </c>
      <c r="M41" s="575">
        <f t="shared" ca="1" si="22"/>
        <v>0</v>
      </c>
      <c r="N41" s="575">
        <f t="shared" ca="1" si="22"/>
        <v>0</v>
      </c>
      <c r="O41" s="575">
        <f t="shared" ca="1" si="22"/>
        <v>0</v>
      </c>
      <c r="P41" s="575">
        <f t="shared" ca="1" si="22"/>
        <v>0</v>
      </c>
      <c r="Q41" s="575">
        <f t="shared" ca="1" si="22"/>
        <v>0</v>
      </c>
      <c r="R41" s="575">
        <f t="shared" ca="1" si="22"/>
        <v>0</v>
      </c>
    </row>
    <row r="42" spans="2:18">
      <c r="B42" s="590" t="str">
        <f>$B$7</f>
        <v>Sponsor</v>
      </c>
      <c r="D42" s="604">
        <f>$D$7</f>
        <v>0.25</v>
      </c>
      <c r="G42" s="575">
        <f t="shared" ref="G42:R42" ca="1" si="23">$D$7*(MIN(0,G$19))</f>
        <v>-3735064.5899999985</v>
      </c>
      <c r="H42" s="575">
        <f t="shared" ca="1" si="23"/>
        <v>-321494.23455063312</v>
      </c>
      <c r="I42" s="575">
        <f t="shared" ca="1" si="23"/>
        <v>0</v>
      </c>
      <c r="J42" s="575">
        <f t="shared" ca="1" si="23"/>
        <v>0</v>
      </c>
      <c r="K42" s="575">
        <f t="shared" ca="1" si="23"/>
        <v>0</v>
      </c>
      <c r="L42" s="575">
        <f t="shared" ca="1" si="23"/>
        <v>0</v>
      </c>
      <c r="M42" s="575">
        <f t="shared" ca="1" si="23"/>
        <v>0</v>
      </c>
      <c r="N42" s="575">
        <f t="shared" ca="1" si="23"/>
        <v>0</v>
      </c>
      <c r="O42" s="575">
        <f t="shared" ca="1" si="23"/>
        <v>0</v>
      </c>
      <c r="P42" s="575">
        <f t="shared" ca="1" si="23"/>
        <v>0</v>
      </c>
      <c r="Q42" s="575">
        <f t="shared" ca="1" si="23"/>
        <v>0</v>
      </c>
      <c r="R42" s="575">
        <f t="shared" ca="1" si="23"/>
        <v>0</v>
      </c>
    </row>
    <row r="43" spans="2:18">
      <c r="B43" s="607" t="s">
        <v>132</v>
      </c>
      <c r="C43" s="605"/>
      <c r="D43" s="605"/>
      <c r="E43" s="605"/>
      <c r="F43" s="605"/>
      <c r="G43" s="606">
        <f ca="1">SUM(G41:G42)</f>
        <v>-14940258.359999994</v>
      </c>
      <c r="H43" s="606">
        <f t="shared" ref="H43:P43" ca="1" si="24">SUM(H41:H42)</f>
        <v>-1285976.9382025325</v>
      </c>
      <c r="I43" s="606">
        <f t="shared" ca="1" si="24"/>
        <v>0</v>
      </c>
      <c r="J43" s="606">
        <f t="shared" ca="1" si="24"/>
        <v>0</v>
      </c>
      <c r="K43" s="606">
        <f t="shared" ca="1" si="24"/>
        <v>0</v>
      </c>
      <c r="L43" s="606">
        <f t="shared" ca="1" si="24"/>
        <v>0</v>
      </c>
      <c r="M43" s="606">
        <f t="shared" ca="1" si="24"/>
        <v>0</v>
      </c>
      <c r="N43" s="606">
        <f t="shared" ca="1" si="24"/>
        <v>0</v>
      </c>
      <c r="O43" s="606">
        <f t="shared" ca="1" si="24"/>
        <v>0</v>
      </c>
      <c r="P43" s="606">
        <f t="shared" ca="1" si="24"/>
        <v>0</v>
      </c>
      <c r="Q43" s="606">
        <f t="shared" ref="Q43:R43" ca="1" si="25">SUM(Q41:Q42)</f>
        <v>0</v>
      </c>
      <c r="R43" s="606">
        <f t="shared" ca="1" si="25"/>
        <v>0</v>
      </c>
    </row>
    <row r="44" spans="2:18">
      <c r="G44" s="575"/>
      <c r="H44" s="575"/>
      <c r="I44" s="575"/>
      <c r="J44" s="575"/>
      <c r="K44" s="575"/>
      <c r="L44" s="575"/>
      <c r="M44" s="575"/>
      <c r="N44" s="575"/>
      <c r="O44" s="575"/>
      <c r="P44" s="575"/>
    </row>
    <row r="45" spans="2:18">
      <c r="G45" s="575"/>
      <c r="H45" s="575"/>
      <c r="I45" s="575"/>
      <c r="J45" s="575"/>
      <c r="K45" s="575"/>
      <c r="L45" s="575"/>
      <c r="M45" s="575"/>
      <c r="N45" s="575"/>
      <c r="O45" s="575"/>
      <c r="P45" s="575"/>
    </row>
    <row r="46" spans="2:18" s="150" customFormat="1">
      <c r="B46" s="173" t="str">
        <f>B13</f>
        <v>Second Hurdle</v>
      </c>
      <c r="G46" s="593"/>
      <c r="H46" s="593"/>
      <c r="I46" s="593"/>
      <c r="J46" s="593"/>
      <c r="K46" s="593"/>
      <c r="L46" s="593"/>
      <c r="M46" s="593"/>
      <c r="N46" s="593"/>
      <c r="O46" s="593"/>
      <c r="P46" s="593"/>
      <c r="Q46" s="593"/>
      <c r="R46" s="593"/>
    </row>
    <row r="47" spans="2:18" s="150" customFormat="1">
      <c r="B47" s="150" t="s">
        <v>570</v>
      </c>
      <c r="G47" s="593">
        <v>0</v>
      </c>
      <c r="H47" s="593">
        <f ca="1">G52</f>
        <v>11205193.769999996</v>
      </c>
      <c r="I47" s="593">
        <f t="shared" ref="I47:R47" ca="1" si="26">H52</f>
        <v>13178143.912951894</v>
      </c>
      <c r="J47" s="593">
        <f t="shared" ca="1" si="26"/>
        <v>13915730.074809853</v>
      </c>
      <c r="K47" s="593">
        <f t="shared" ca="1" si="26"/>
        <v>14619063.140970247</v>
      </c>
      <c r="L47" s="593">
        <f t="shared" ca="1" si="26"/>
        <v>15282019.463938894</v>
      </c>
      <c r="M47" s="593">
        <f t="shared" ca="1" si="26"/>
        <v>15897831.926890345</v>
      </c>
      <c r="N47" s="593">
        <f t="shared" ca="1" si="26"/>
        <v>16459029.204151345</v>
      </c>
      <c r="O47" s="593">
        <f t="shared" ca="1" si="26"/>
        <v>16957369.467390966</v>
      </c>
      <c r="P47" s="593">
        <f t="shared" ca="1" si="26"/>
        <v>17383768.03484961</v>
      </c>
      <c r="Q47" s="593">
        <f t="shared" ca="1" si="26"/>
        <v>17728218.415607855</v>
      </c>
      <c r="R47" s="593">
        <f t="shared" ca="1" si="26"/>
        <v>17979706.151482008</v>
      </c>
    </row>
    <row r="48" spans="2:18" s="150" customFormat="1">
      <c r="B48" s="608" t="s">
        <v>591</v>
      </c>
      <c r="D48" s="454">
        <f>C13</f>
        <v>0.09</v>
      </c>
      <c r="G48" s="593">
        <f>$D$48*G47</f>
        <v>0</v>
      </c>
      <c r="H48" s="593">
        <f ca="1">$D$48*H47</f>
        <v>1008467.4392999996</v>
      </c>
      <c r="I48" s="593">
        <f t="shared" ref="I48:R48" ca="1" si="27">$D$48*I47</f>
        <v>1186032.9521656705</v>
      </c>
      <c r="J48" s="593">
        <f t="shared" ca="1" si="27"/>
        <v>1252415.7067328866</v>
      </c>
      <c r="K48" s="593">
        <f t="shared" ca="1" si="27"/>
        <v>1315715.6826873221</v>
      </c>
      <c r="L48" s="593">
        <f t="shared" ca="1" si="27"/>
        <v>1375381.7517545004</v>
      </c>
      <c r="M48" s="593">
        <f t="shared" ca="1" si="27"/>
        <v>1430804.8734201309</v>
      </c>
      <c r="N48" s="593">
        <f t="shared" ca="1" si="27"/>
        <v>1481312.628373621</v>
      </c>
      <c r="O48" s="593">
        <f t="shared" ca="1" si="27"/>
        <v>1526163.2520651869</v>
      </c>
      <c r="P48" s="593">
        <f t="shared" ca="1" si="27"/>
        <v>1564539.123136465</v>
      </c>
      <c r="Q48" s="593">
        <f t="shared" ca="1" si="27"/>
        <v>1595539.6574047068</v>
      </c>
      <c r="R48" s="593">
        <f t="shared" ca="1" si="27"/>
        <v>1618173.5536333807</v>
      </c>
    </row>
    <row r="49" spans="2:18" s="150" customFormat="1">
      <c r="B49" s="608" t="s">
        <v>565</v>
      </c>
      <c r="G49" s="593">
        <f ca="1">-G$41</f>
        <v>11205193.769999996</v>
      </c>
      <c r="H49" s="593">
        <f ca="1">-H$41</f>
        <v>964482.70365189936</v>
      </c>
      <c r="I49" s="593">
        <f t="shared" ref="I49:R49" ca="1" si="28">-I$41</f>
        <v>0</v>
      </c>
      <c r="J49" s="593">
        <f t="shared" ca="1" si="28"/>
        <v>0</v>
      </c>
      <c r="K49" s="593">
        <f t="shared" ca="1" si="28"/>
        <v>0</v>
      </c>
      <c r="L49" s="593">
        <f t="shared" ca="1" si="28"/>
        <v>0</v>
      </c>
      <c r="M49" s="593">
        <f t="shared" ca="1" si="28"/>
        <v>0</v>
      </c>
      <c r="N49" s="593">
        <f t="shared" ca="1" si="28"/>
        <v>0</v>
      </c>
      <c r="O49" s="593">
        <f t="shared" ca="1" si="28"/>
        <v>0</v>
      </c>
      <c r="P49" s="593">
        <f t="shared" ca="1" si="28"/>
        <v>0</v>
      </c>
      <c r="Q49" s="593">
        <f t="shared" ca="1" si="28"/>
        <v>0</v>
      </c>
      <c r="R49" s="593">
        <f t="shared" ca="1" si="28"/>
        <v>0</v>
      </c>
    </row>
    <row r="50" spans="2:18" s="150" customFormat="1">
      <c r="B50" s="608" t="str">
        <f>"Distributions: "&amp;$B$12</f>
        <v>Distributions: Preferred Return (First Hurdle)</v>
      </c>
      <c r="G50" s="593">
        <f ca="1">G$25</f>
        <v>0</v>
      </c>
      <c r="H50" s="593">
        <f t="shared" ref="H50:R50" ca="1" si="29">H$25</f>
        <v>0</v>
      </c>
      <c r="I50" s="593">
        <f t="shared" ca="1" si="29"/>
        <v>-448446.79030771181</v>
      </c>
      <c r="J50" s="593">
        <f t="shared" ca="1" si="29"/>
        <v>-549082.64057249122</v>
      </c>
      <c r="K50" s="593">
        <f t="shared" ca="1" si="29"/>
        <v>-652759.3597186741</v>
      </c>
      <c r="L50" s="593">
        <f t="shared" ca="1" si="29"/>
        <v>-759569.28880304913</v>
      </c>
      <c r="M50" s="593">
        <f t="shared" ca="1" si="29"/>
        <v>-869607.59615913138</v>
      </c>
      <c r="N50" s="593">
        <f t="shared" ca="1" si="29"/>
        <v>-982972.36513399996</v>
      </c>
      <c r="O50" s="593">
        <f t="shared" ca="1" si="29"/>
        <v>-1099764.6846065396</v>
      </c>
      <c r="P50" s="593">
        <f t="shared" ca="1" si="29"/>
        <v>-1220088.7423782181</v>
      </c>
      <c r="Q50" s="593">
        <f t="shared" ca="1" si="29"/>
        <v>-1344051.9215305522</v>
      </c>
      <c r="R50" s="593">
        <f t="shared" ca="1" si="29"/>
        <v>-14836162.451349854</v>
      </c>
    </row>
    <row r="51" spans="2:18" s="150" customFormat="1">
      <c r="B51" s="608" t="str">
        <f>"Distributions: "&amp;$B$13</f>
        <v>Distributions: Second Hurdle</v>
      </c>
      <c r="G51" s="593">
        <f ca="1">-MIN($D$55*G33,SUM(G47:G50))</f>
        <v>0</v>
      </c>
      <c r="H51" s="593">
        <f t="shared" ref="H51:R51" ca="1" si="30">-MIN($D$55*H33,SUM(H47:H50))</f>
        <v>0</v>
      </c>
      <c r="I51" s="593">
        <f t="shared" ca="1" si="30"/>
        <v>0</v>
      </c>
      <c r="J51" s="593">
        <f t="shared" ca="1" si="30"/>
        <v>0</v>
      </c>
      <c r="K51" s="593">
        <f t="shared" ca="1" si="30"/>
        <v>0</v>
      </c>
      <c r="L51" s="593">
        <f t="shared" ca="1" si="30"/>
        <v>0</v>
      </c>
      <c r="M51" s="593">
        <f t="shared" ca="1" si="30"/>
        <v>0</v>
      </c>
      <c r="N51" s="593">
        <f t="shared" ca="1" si="30"/>
        <v>0</v>
      </c>
      <c r="O51" s="593">
        <f t="shared" ca="1" si="30"/>
        <v>0</v>
      </c>
      <c r="P51" s="593">
        <f t="shared" ca="1" si="30"/>
        <v>0</v>
      </c>
      <c r="Q51" s="593">
        <f ca="1">-MIN($D$55*Q33,SUM(Q47:Q50))</f>
        <v>0</v>
      </c>
      <c r="R51" s="593">
        <f t="shared" ca="1" si="30"/>
        <v>-4761717.2537655346</v>
      </c>
    </row>
    <row r="52" spans="2:18" s="150" customFormat="1">
      <c r="B52" s="150" t="s">
        <v>567</v>
      </c>
      <c r="G52" s="593">
        <f ca="1">SUM(G47:G51)</f>
        <v>11205193.769999996</v>
      </c>
      <c r="H52" s="593">
        <f t="shared" ref="H52:R52" ca="1" si="31">SUM(H47:H51)</f>
        <v>13178143.912951894</v>
      </c>
      <c r="I52" s="593">
        <f t="shared" ca="1" si="31"/>
        <v>13915730.074809853</v>
      </c>
      <c r="J52" s="593">
        <f t="shared" ca="1" si="31"/>
        <v>14619063.140970247</v>
      </c>
      <c r="K52" s="593">
        <f t="shared" ca="1" si="31"/>
        <v>15282019.463938894</v>
      </c>
      <c r="L52" s="593">
        <f t="shared" ca="1" si="31"/>
        <v>15897831.926890345</v>
      </c>
      <c r="M52" s="593">
        <f t="shared" ca="1" si="31"/>
        <v>16459029.204151345</v>
      </c>
      <c r="N52" s="593">
        <f t="shared" ca="1" si="31"/>
        <v>16957369.467390966</v>
      </c>
      <c r="O52" s="593">
        <f t="shared" ca="1" si="31"/>
        <v>17383768.03484961</v>
      </c>
      <c r="P52" s="593">
        <f t="shared" ca="1" si="31"/>
        <v>17728218.415607855</v>
      </c>
      <c r="Q52" s="593">
        <f t="shared" ca="1" si="31"/>
        <v>17979706.151482008</v>
      </c>
      <c r="R52" s="593">
        <f t="shared" ca="1" si="31"/>
        <v>0</v>
      </c>
    </row>
    <row r="53" spans="2:18" s="150" customFormat="1">
      <c r="G53" s="593"/>
      <c r="H53" s="593"/>
      <c r="I53" s="593"/>
      <c r="J53" s="593"/>
      <c r="K53" s="593"/>
      <c r="L53" s="593"/>
      <c r="M53" s="593"/>
      <c r="N53" s="593"/>
      <c r="O53" s="593"/>
      <c r="P53" s="593"/>
      <c r="Q53" s="593"/>
      <c r="R53" s="593"/>
    </row>
    <row r="54" spans="2:18" s="150" customFormat="1">
      <c r="B54" s="173" t="str">
        <f>"Cash Flow - "&amp;B13</f>
        <v>Cash Flow - Second Hurdle</v>
      </c>
      <c r="G54" s="593"/>
      <c r="H54" s="593"/>
      <c r="I54" s="593"/>
      <c r="J54" s="593"/>
      <c r="K54" s="593"/>
      <c r="L54" s="593"/>
      <c r="M54" s="593"/>
      <c r="N54" s="593"/>
      <c r="O54" s="593"/>
      <c r="P54" s="593"/>
      <c r="Q54" s="593"/>
      <c r="R54" s="593"/>
    </row>
    <row r="55" spans="2:18" s="150" customFormat="1">
      <c r="B55" s="609" t="str">
        <f>$B$8</f>
        <v>Investor</v>
      </c>
      <c r="D55" s="454">
        <f>$D$8*(1-$D$57)</f>
        <v>0.60000000000000009</v>
      </c>
      <c r="G55" s="593">
        <f ca="1">-G$51</f>
        <v>0</v>
      </c>
      <c r="H55" s="593">
        <f t="shared" ref="H55:R55" ca="1" si="32">-H$51</f>
        <v>0</v>
      </c>
      <c r="I55" s="593">
        <f t="shared" ca="1" si="32"/>
        <v>0</v>
      </c>
      <c r="J55" s="593">
        <f t="shared" ca="1" si="32"/>
        <v>0</v>
      </c>
      <c r="K55" s="593">
        <f t="shared" ca="1" si="32"/>
        <v>0</v>
      </c>
      <c r="L55" s="593">
        <f t="shared" ca="1" si="32"/>
        <v>0</v>
      </c>
      <c r="M55" s="593">
        <f t="shared" ca="1" si="32"/>
        <v>0</v>
      </c>
      <c r="N55" s="593">
        <f t="shared" ca="1" si="32"/>
        <v>0</v>
      </c>
      <c r="O55" s="593">
        <f t="shared" ca="1" si="32"/>
        <v>0</v>
      </c>
      <c r="P55" s="593">
        <f ca="1">-P$51</f>
        <v>0</v>
      </c>
      <c r="Q55" s="593">
        <f t="shared" ca="1" si="32"/>
        <v>0</v>
      </c>
      <c r="R55" s="593">
        <f t="shared" ca="1" si="32"/>
        <v>4761717.2537655346</v>
      </c>
    </row>
    <row r="56" spans="2:18" s="150" customFormat="1">
      <c r="B56" s="609" t="str">
        <f>$B$7</f>
        <v>Sponsor</v>
      </c>
      <c r="D56" s="454">
        <f>$D$7*(1-$D$57)</f>
        <v>0.2</v>
      </c>
      <c r="G56" s="593">
        <f ca="1">(G$55/$D$55)*$D$56</f>
        <v>0</v>
      </c>
      <c r="H56" s="593">
        <f t="shared" ref="H56:R56" ca="1" si="33">(H$55/$D$55)*$D$56</f>
        <v>0</v>
      </c>
      <c r="I56" s="593">
        <f t="shared" ca="1" si="33"/>
        <v>0</v>
      </c>
      <c r="J56" s="593">
        <f t="shared" ca="1" si="33"/>
        <v>0</v>
      </c>
      <c r="K56" s="593">
        <f t="shared" ca="1" si="33"/>
        <v>0</v>
      </c>
      <c r="L56" s="593">
        <f t="shared" ca="1" si="33"/>
        <v>0</v>
      </c>
      <c r="M56" s="593">
        <f t="shared" ca="1" si="33"/>
        <v>0</v>
      </c>
      <c r="N56" s="593">
        <f t="shared" ca="1" si="33"/>
        <v>0</v>
      </c>
      <c r="O56" s="593">
        <f t="shared" ca="1" si="33"/>
        <v>0</v>
      </c>
      <c r="P56" s="593">
        <f t="shared" ca="1" si="33"/>
        <v>0</v>
      </c>
      <c r="Q56" s="593">
        <f t="shared" ca="1" si="33"/>
        <v>0</v>
      </c>
      <c r="R56" s="593">
        <f t="shared" ca="1" si="33"/>
        <v>1587239.0845885114</v>
      </c>
    </row>
    <row r="57" spans="2:18" s="150" customFormat="1">
      <c r="B57" s="150" t="str">
        <f>$B$7&amp;" Promote"</f>
        <v>Sponsor Promote</v>
      </c>
      <c r="D57" s="454">
        <f>$D$12</f>
        <v>0.2</v>
      </c>
      <c r="G57" s="593">
        <f ca="1">(G$55/$D$55)*$D$57</f>
        <v>0</v>
      </c>
      <c r="H57" s="593">
        <f t="shared" ref="H57:R57" ca="1" si="34">(H$55/$D$55)*$D$57</f>
        <v>0</v>
      </c>
      <c r="I57" s="593">
        <f t="shared" ca="1" si="34"/>
        <v>0</v>
      </c>
      <c r="J57" s="593">
        <f t="shared" ca="1" si="34"/>
        <v>0</v>
      </c>
      <c r="K57" s="593">
        <f t="shared" ca="1" si="34"/>
        <v>0</v>
      </c>
      <c r="L57" s="593">
        <f t="shared" ca="1" si="34"/>
        <v>0</v>
      </c>
      <c r="M57" s="593">
        <f t="shared" ca="1" si="34"/>
        <v>0</v>
      </c>
      <c r="N57" s="593">
        <f t="shared" ca="1" si="34"/>
        <v>0</v>
      </c>
      <c r="O57" s="593">
        <f t="shared" ca="1" si="34"/>
        <v>0</v>
      </c>
      <c r="P57" s="593">
        <f t="shared" ca="1" si="34"/>
        <v>0</v>
      </c>
      <c r="Q57" s="593">
        <f t="shared" ca="1" si="34"/>
        <v>0</v>
      </c>
      <c r="R57" s="593">
        <f t="shared" ca="1" si="34"/>
        <v>1587239.0845885114</v>
      </c>
    </row>
    <row r="58" spans="2:18" s="150" customFormat="1">
      <c r="B58" s="610" t="str">
        <f>"Total Cash Flow - "&amp;$B$13</f>
        <v>Total Cash Flow - Second Hurdle</v>
      </c>
      <c r="C58" s="610"/>
      <c r="D58" s="610"/>
      <c r="E58" s="610"/>
      <c r="F58" s="610"/>
      <c r="G58" s="611">
        <f ca="1">SUM(G55:G57)</f>
        <v>0</v>
      </c>
      <c r="H58" s="611">
        <f t="shared" ref="H58:R58" ca="1" si="35">SUM(H55:H57)</f>
        <v>0</v>
      </c>
      <c r="I58" s="611">
        <f t="shared" ca="1" si="35"/>
        <v>0</v>
      </c>
      <c r="J58" s="611">
        <f t="shared" ca="1" si="35"/>
        <v>0</v>
      </c>
      <c r="K58" s="611">
        <f t="shared" ca="1" si="35"/>
        <v>0</v>
      </c>
      <c r="L58" s="611">
        <f t="shared" ca="1" si="35"/>
        <v>0</v>
      </c>
      <c r="M58" s="611">
        <f t="shared" ca="1" si="35"/>
        <v>0</v>
      </c>
      <c r="N58" s="611">
        <f ca="1">SUM(N55:N57)</f>
        <v>0</v>
      </c>
      <c r="O58" s="611">
        <f t="shared" ca="1" si="35"/>
        <v>0</v>
      </c>
      <c r="P58" s="611">
        <f t="shared" ca="1" si="35"/>
        <v>0</v>
      </c>
      <c r="Q58" s="611">
        <f t="shared" ca="1" si="35"/>
        <v>0</v>
      </c>
      <c r="R58" s="611">
        <f t="shared" ca="1" si="35"/>
        <v>7936195.4229425564</v>
      </c>
    </row>
    <row r="59" spans="2:18" s="150" customFormat="1">
      <c r="G59" s="593"/>
      <c r="H59" s="593"/>
      <c r="I59" s="593"/>
      <c r="J59" s="593"/>
      <c r="K59" s="593"/>
      <c r="L59" s="593"/>
      <c r="M59" s="593"/>
      <c r="N59" s="593"/>
      <c r="O59" s="593"/>
      <c r="P59" s="593"/>
      <c r="Q59" s="593"/>
      <c r="R59" s="593"/>
    </row>
    <row r="60" spans="2:18" s="150" customFormat="1">
      <c r="B60" s="150" t="s">
        <v>569</v>
      </c>
      <c r="G60" s="593">
        <f ca="1">G33-G58</f>
        <v>0</v>
      </c>
      <c r="H60" s="593">
        <f t="shared" ref="H60:R60" ca="1" si="36">H33-H58</f>
        <v>0</v>
      </c>
      <c r="I60" s="593">
        <f t="shared" ca="1" si="36"/>
        <v>0</v>
      </c>
      <c r="J60" s="593">
        <f t="shared" ca="1" si="36"/>
        <v>0</v>
      </c>
      <c r="K60" s="593">
        <f t="shared" ca="1" si="36"/>
        <v>0</v>
      </c>
      <c r="L60" s="593">
        <f t="shared" ca="1" si="36"/>
        <v>0</v>
      </c>
      <c r="M60" s="593">
        <f t="shared" ca="1" si="36"/>
        <v>0</v>
      </c>
      <c r="N60" s="593">
        <f t="shared" ca="1" si="36"/>
        <v>0</v>
      </c>
      <c r="O60" s="593">
        <f t="shared" ca="1" si="36"/>
        <v>0</v>
      </c>
      <c r="P60" s="593">
        <f ca="1">P33-P58</f>
        <v>0</v>
      </c>
      <c r="Q60" s="593">
        <f ca="1">Q33-Q58</f>
        <v>0</v>
      </c>
      <c r="R60" s="593">
        <f t="shared" ca="1" si="36"/>
        <v>29809377.164704017</v>
      </c>
    </row>
    <row r="61" spans="2:18" s="150" customFormat="1">
      <c r="G61" s="593"/>
      <c r="H61" s="593"/>
      <c r="I61" s="593"/>
      <c r="J61" s="593"/>
      <c r="K61" s="593"/>
      <c r="L61" s="593"/>
      <c r="M61" s="593"/>
      <c r="N61" s="593"/>
      <c r="O61" s="593"/>
      <c r="P61" s="593"/>
      <c r="Q61" s="593"/>
      <c r="R61" s="593"/>
    </row>
    <row r="62" spans="2:18" s="150" customFormat="1">
      <c r="B62" s="173" t="str">
        <f>B14</f>
        <v>Third Hurdle</v>
      </c>
      <c r="G62" s="593"/>
      <c r="H62" s="593"/>
      <c r="I62" s="593"/>
      <c r="J62" s="593"/>
      <c r="K62" s="593"/>
      <c r="L62" s="593"/>
      <c r="M62" s="593"/>
      <c r="N62" s="593"/>
      <c r="O62" s="593"/>
      <c r="P62" s="593"/>
      <c r="Q62" s="593"/>
      <c r="R62" s="593"/>
    </row>
    <row r="63" spans="2:18" s="150" customFormat="1">
      <c r="B63" s="150" t="s">
        <v>570</v>
      </c>
      <c r="D63" s="612"/>
      <c r="G63" s="593">
        <v>0</v>
      </c>
      <c r="H63" s="593">
        <f ca="1">G69</f>
        <v>11205193.769999996</v>
      </c>
      <c r="I63" s="593">
        <f t="shared" ref="I63:R63" ca="1" si="37">H69</f>
        <v>13850455.539151894</v>
      </c>
      <c r="J63" s="593">
        <f t="shared" ca="1" si="37"/>
        <v>15479577.079716966</v>
      </c>
      <c r="K63" s="593">
        <f t="shared" ca="1" si="37"/>
        <v>17252431.001102019</v>
      </c>
      <c r="L63" s="593">
        <f t="shared" ca="1" si="37"/>
        <v>19187536.291548647</v>
      </c>
      <c r="M63" s="593">
        <f t="shared" ca="1" si="37"/>
        <v>21306097.446477897</v>
      </c>
      <c r="N63" s="593">
        <f t="shared" ca="1" si="37"/>
        <v>23632404.467290454</v>
      </c>
      <c r="O63" s="593">
        <f t="shared" ca="1" si="37"/>
        <v>26194292.772250019</v>
      </c>
      <c r="P63" s="593">
        <f t="shared" ca="1" si="37"/>
        <v>29023672.003480982</v>
      </c>
      <c r="Q63" s="593">
        <f t="shared" ca="1" si="37"/>
        <v>32157134.061624907</v>
      </c>
      <c r="R63" s="593">
        <f t="shared" ca="1" si="37"/>
        <v>35636652.24933809</v>
      </c>
    </row>
    <row r="64" spans="2:18" s="150" customFormat="1">
      <c r="B64" s="608" t="s">
        <v>571</v>
      </c>
      <c r="D64" s="454">
        <f>C14</f>
        <v>0.15</v>
      </c>
      <c r="G64" s="593">
        <f>$D$64*G47</f>
        <v>0</v>
      </c>
      <c r="H64" s="593">
        <f ca="1">$D$64*H63</f>
        <v>1680779.0654999993</v>
      </c>
      <c r="I64" s="593">
        <f t="shared" ref="I64:R64" ca="1" si="38">$D$64*I63</f>
        <v>2077568.3308727839</v>
      </c>
      <c r="J64" s="593">
        <f t="shared" ca="1" si="38"/>
        <v>2321936.5619575446</v>
      </c>
      <c r="K64" s="593">
        <f t="shared" ca="1" si="38"/>
        <v>2587864.6501653027</v>
      </c>
      <c r="L64" s="593">
        <f t="shared" ca="1" si="38"/>
        <v>2878130.443732297</v>
      </c>
      <c r="M64" s="593">
        <f t="shared" ca="1" si="38"/>
        <v>3195914.6169716846</v>
      </c>
      <c r="N64" s="593">
        <f t="shared" ca="1" si="38"/>
        <v>3544860.670093568</v>
      </c>
      <c r="O64" s="593">
        <f t="shared" ca="1" si="38"/>
        <v>3929143.9158375026</v>
      </c>
      <c r="P64" s="593">
        <f t="shared" ca="1" si="38"/>
        <v>4353550.8005221467</v>
      </c>
      <c r="Q64" s="593">
        <f t="shared" ca="1" si="38"/>
        <v>4823570.1092437357</v>
      </c>
      <c r="R64" s="593">
        <f t="shared" ca="1" si="38"/>
        <v>5345497.837400713</v>
      </c>
    </row>
    <row r="65" spans="2:18" s="150" customFormat="1">
      <c r="B65" s="608" t="s">
        <v>565</v>
      </c>
      <c r="G65" s="593">
        <f ca="1">-G$41</f>
        <v>11205193.769999996</v>
      </c>
      <c r="H65" s="593">
        <f t="shared" ref="H65:R65" ca="1" si="39">-H$41</f>
        <v>964482.70365189936</v>
      </c>
      <c r="I65" s="593">
        <f t="shared" ca="1" si="39"/>
        <v>0</v>
      </c>
      <c r="J65" s="593">
        <f t="shared" ca="1" si="39"/>
        <v>0</v>
      </c>
      <c r="K65" s="593">
        <f t="shared" ca="1" si="39"/>
        <v>0</v>
      </c>
      <c r="L65" s="593">
        <f t="shared" ca="1" si="39"/>
        <v>0</v>
      </c>
      <c r="M65" s="593">
        <f t="shared" ca="1" si="39"/>
        <v>0</v>
      </c>
      <c r="N65" s="593">
        <f t="shared" ca="1" si="39"/>
        <v>0</v>
      </c>
      <c r="O65" s="593">
        <f t="shared" ca="1" si="39"/>
        <v>0</v>
      </c>
      <c r="P65" s="593">
        <f t="shared" ca="1" si="39"/>
        <v>0</v>
      </c>
      <c r="Q65" s="593">
        <f t="shared" ca="1" si="39"/>
        <v>0</v>
      </c>
      <c r="R65" s="593">
        <f t="shared" ca="1" si="39"/>
        <v>0</v>
      </c>
    </row>
    <row r="66" spans="2:18" s="150" customFormat="1">
      <c r="B66" s="608" t="str">
        <f>"Distributions: "&amp;$B$12</f>
        <v>Distributions: Preferred Return (First Hurdle)</v>
      </c>
      <c r="G66" s="593">
        <f ca="1">G$25</f>
        <v>0</v>
      </c>
      <c r="H66" s="593">
        <f t="shared" ref="H66:R66" ca="1" si="40">H$25</f>
        <v>0</v>
      </c>
      <c r="I66" s="593">
        <f t="shared" ca="1" si="40"/>
        <v>-448446.79030771181</v>
      </c>
      <c r="J66" s="593">
        <f t="shared" ca="1" si="40"/>
        <v>-549082.64057249122</v>
      </c>
      <c r="K66" s="593">
        <f t="shared" ca="1" si="40"/>
        <v>-652759.3597186741</v>
      </c>
      <c r="L66" s="593">
        <f t="shared" ca="1" si="40"/>
        <v>-759569.28880304913</v>
      </c>
      <c r="M66" s="593">
        <f t="shared" ca="1" si="40"/>
        <v>-869607.59615913138</v>
      </c>
      <c r="N66" s="593">
        <f t="shared" ca="1" si="40"/>
        <v>-982972.36513399996</v>
      </c>
      <c r="O66" s="593">
        <f t="shared" ca="1" si="40"/>
        <v>-1099764.6846065396</v>
      </c>
      <c r="P66" s="593">
        <f t="shared" ca="1" si="40"/>
        <v>-1220088.7423782181</v>
      </c>
      <c r="Q66" s="593">
        <f t="shared" ca="1" si="40"/>
        <v>-1344051.9215305522</v>
      </c>
      <c r="R66" s="593">
        <f t="shared" ca="1" si="40"/>
        <v>-14836162.451349854</v>
      </c>
    </row>
    <row r="67" spans="2:18" s="150" customFormat="1">
      <c r="B67" s="608" t="str">
        <f>"Distributions: "&amp;$B$13</f>
        <v>Distributions: Second Hurdle</v>
      </c>
      <c r="G67" s="593">
        <f ca="1">G$51</f>
        <v>0</v>
      </c>
      <c r="H67" s="593">
        <f t="shared" ref="H67:R67" ca="1" si="41">H$51</f>
        <v>0</v>
      </c>
      <c r="I67" s="593">
        <f t="shared" ca="1" si="41"/>
        <v>0</v>
      </c>
      <c r="J67" s="593">
        <f t="shared" ca="1" si="41"/>
        <v>0</v>
      </c>
      <c r="K67" s="593">
        <f t="shared" ca="1" si="41"/>
        <v>0</v>
      </c>
      <c r="L67" s="593">
        <f t="shared" ca="1" si="41"/>
        <v>0</v>
      </c>
      <c r="M67" s="593">
        <f t="shared" ca="1" si="41"/>
        <v>0</v>
      </c>
      <c r="N67" s="593">
        <f t="shared" ca="1" si="41"/>
        <v>0</v>
      </c>
      <c r="O67" s="593">
        <f t="shared" ca="1" si="41"/>
        <v>0</v>
      </c>
      <c r="P67" s="593">
        <f t="shared" ca="1" si="41"/>
        <v>0</v>
      </c>
      <c r="Q67" s="593">
        <f t="shared" ca="1" si="41"/>
        <v>0</v>
      </c>
      <c r="R67" s="593">
        <f t="shared" ca="1" si="41"/>
        <v>-4761717.2537655346</v>
      </c>
    </row>
    <row r="68" spans="2:18" s="150" customFormat="1">
      <c r="B68" s="608" t="str">
        <f>"Distributions: "&amp;$B$14</f>
        <v>Distributions: Third Hurdle</v>
      </c>
      <c r="G68" s="593">
        <f ca="1">-MIN($D$72*G60,SUM(G63:G67))</f>
        <v>0</v>
      </c>
      <c r="H68" s="593">
        <f ca="1">-MIN($D$72*H60,SUM(H63:H67))</f>
        <v>0</v>
      </c>
      <c r="I68" s="593">
        <f t="shared" ref="I68:R68" ca="1" si="42">-MIN($D$72*I60,SUM(I63:I67))</f>
        <v>0</v>
      </c>
      <c r="J68" s="593">
        <f t="shared" ca="1" si="42"/>
        <v>0</v>
      </c>
      <c r="K68" s="593">
        <f t="shared" ca="1" si="42"/>
        <v>0</v>
      </c>
      <c r="L68" s="593">
        <f t="shared" ca="1" si="42"/>
        <v>0</v>
      </c>
      <c r="M68" s="593">
        <f t="shared" ca="1" si="42"/>
        <v>0</v>
      </c>
      <c r="N68" s="593">
        <f t="shared" ca="1" si="42"/>
        <v>0</v>
      </c>
      <c r="O68" s="593">
        <f t="shared" ca="1" si="42"/>
        <v>0</v>
      </c>
      <c r="P68" s="593">
        <f t="shared" ca="1" si="42"/>
        <v>0</v>
      </c>
      <c r="Q68" s="593">
        <f t="shared" ca="1" si="42"/>
        <v>0</v>
      </c>
      <c r="R68" s="593">
        <f t="shared" ca="1" si="42"/>
        <v>-15649923.011469606</v>
      </c>
    </row>
    <row r="69" spans="2:18" s="150" customFormat="1">
      <c r="B69" s="150" t="s">
        <v>567</v>
      </c>
      <c r="G69" s="593">
        <f ca="1">SUM(G63:G68)</f>
        <v>11205193.769999996</v>
      </c>
      <c r="H69" s="593">
        <f t="shared" ref="H69:R69" ca="1" si="43">SUM(H63:H68)</f>
        <v>13850455.539151894</v>
      </c>
      <c r="I69" s="593">
        <f t="shared" ca="1" si="43"/>
        <v>15479577.079716966</v>
      </c>
      <c r="J69" s="593">
        <f t="shared" ca="1" si="43"/>
        <v>17252431.001102019</v>
      </c>
      <c r="K69" s="593">
        <f t="shared" ca="1" si="43"/>
        <v>19187536.291548647</v>
      </c>
      <c r="L69" s="593">
        <f t="shared" ca="1" si="43"/>
        <v>21306097.446477897</v>
      </c>
      <c r="M69" s="593">
        <f t="shared" ca="1" si="43"/>
        <v>23632404.467290454</v>
      </c>
      <c r="N69" s="593">
        <f t="shared" ca="1" si="43"/>
        <v>26194292.772250019</v>
      </c>
      <c r="O69" s="593">
        <f t="shared" ca="1" si="43"/>
        <v>29023672.003480982</v>
      </c>
      <c r="P69" s="593">
        <f t="shared" ca="1" si="43"/>
        <v>32157134.061624907</v>
      </c>
      <c r="Q69" s="593">
        <f t="shared" ca="1" si="43"/>
        <v>35636652.24933809</v>
      </c>
      <c r="R69" s="593">
        <f t="shared" ca="1" si="43"/>
        <v>5734347.3701538071</v>
      </c>
    </row>
    <row r="70" spans="2:18" s="150" customFormat="1">
      <c r="G70" s="593"/>
      <c r="H70" s="593"/>
      <c r="I70" s="593"/>
      <c r="J70" s="593"/>
      <c r="K70" s="593"/>
      <c r="L70" s="593"/>
      <c r="M70" s="593"/>
      <c r="N70" s="593"/>
      <c r="O70" s="593"/>
      <c r="P70" s="593"/>
      <c r="Q70" s="593"/>
      <c r="R70" s="593"/>
    </row>
    <row r="71" spans="2:18" s="150" customFormat="1">
      <c r="B71" s="173" t="str">
        <f>"Cash Flow - "&amp;B14</f>
        <v>Cash Flow - Third Hurdle</v>
      </c>
      <c r="G71" s="593"/>
      <c r="H71" s="593"/>
      <c r="I71" s="593"/>
      <c r="J71" s="593"/>
      <c r="K71" s="593"/>
      <c r="L71" s="593"/>
      <c r="M71" s="593"/>
      <c r="N71" s="593"/>
      <c r="O71" s="593"/>
      <c r="P71" s="593"/>
      <c r="Q71" s="593"/>
      <c r="R71" s="593"/>
    </row>
    <row r="72" spans="2:18" s="150" customFormat="1">
      <c r="B72" s="609" t="str">
        <f>$B$8</f>
        <v>Investor</v>
      </c>
      <c r="D72" s="454">
        <f>$D$8*(1-$D$74)</f>
        <v>0.52499999999999991</v>
      </c>
      <c r="G72" s="593">
        <f ca="1">-G$68</f>
        <v>0</v>
      </c>
      <c r="H72" s="593">
        <f t="shared" ref="H72:R72" ca="1" si="44">-H$68</f>
        <v>0</v>
      </c>
      <c r="I72" s="593">
        <f t="shared" ca="1" si="44"/>
        <v>0</v>
      </c>
      <c r="J72" s="593">
        <f t="shared" ca="1" si="44"/>
        <v>0</v>
      </c>
      <c r="K72" s="593">
        <f t="shared" ca="1" si="44"/>
        <v>0</v>
      </c>
      <c r="L72" s="593">
        <f t="shared" ca="1" si="44"/>
        <v>0</v>
      </c>
      <c r="M72" s="593">
        <f t="shared" ca="1" si="44"/>
        <v>0</v>
      </c>
      <c r="N72" s="593">
        <f t="shared" ca="1" si="44"/>
        <v>0</v>
      </c>
      <c r="O72" s="593">
        <f t="shared" ca="1" si="44"/>
        <v>0</v>
      </c>
      <c r="P72" s="593">
        <f t="shared" ca="1" si="44"/>
        <v>0</v>
      </c>
      <c r="Q72" s="593">
        <f t="shared" ca="1" si="44"/>
        <v>0</v>
      </c>
      <c r="R72" s="593">
        <f t="shared" ca="1" si="44"/>
        <v>15649923.011469606</v>
      </c>
    </row>
    <row r="73" spans="2:18" s="150" customFormat="1">
      <c r="B73" s="609" t="str">
        <f>$B$7</f>
        <v>Sponsor</v>
      </c>
      <c r="D73" s="454">
        <f>$D$7*(1-$D$74)</f>
        <v>0.17499999999999999</v>
      </c>
      <c r="G73" s="593">
        <f ca="1">(G$72/$D$72)*$D$73</f>
        <v>0</v>
      </c>
      <c r="H73" s="593">
        <f t="shared" ref="H73:R73" ca="1" si="45">(H$72/$D$72)*$D$73</f>
        <v>0</v>
      </c>
      <c r="I73" s="593">
        <f t="shared" ca="1" si="45"/>
        <v>0</v>
      </c>
      <c r="J73" s="593">
        <f t="shared" ca="1" si="45"/>
        <v>0</v>
      </c>
      <c r="K73" s="593">
        <f t="shared" ca="1" si="45"/>
        <v>0</v>
      </c>
      <c r="L73" s="593">
        <f t="shared" ca="1" si="45"/>
        <v>0</v>
      </c>
      <c r="M73" s="593">
        <f t="shared" ca="1" si="45"/>
        <v>0</v>
      </c>
      <c r="N73" s="593">
        <f t="shared" ca="1" si="45"/>
        <v>0</v>
      </c>
      <c r="O73" s="593">
        <f t="shared" ca="1" si="45"/>
        <v>0</v>
      </c>
      <c r="P73" s="593">
        <f t="shared" ca="1" si="45"/>
        <v>0</v>
      </c>
      <c r="Q73" s="593">
        <f t="shared" ca="1" si="45"/>
        <v>0</v>
      </c>
      <c r="R73" s="593">
        <f t="shared" ca="1" si="45"/>
        <v>5216641.003823203</v>
      </c>
    </row>
    <row r="74" spans="2:18" s="150" customFormat="1">
      <c r="B74" s="150" t="str">
        <f>$B$7&amp;" Promote"</f>
        <v>Sponsor Promote</v>
      </c>
      <c r="D74" s="613">
        <f>$D$13</f>
        <v>0.3</v>
      </c>
      <c r="G74" s="593">
        <f ca="1">(G$72/$D$72)*$D$74</f>
        <v>0</v>
      </c>
      <c r="H74" s="593">
        <f t="shared" ref="H74:R74" ca="1" si="46">(H$72/$D$72)*$D$74</f>
        <v>0</v>
      </c>
      <c r="I74" s="593">
        <f t="shared" ca="1" si="46"/>
        <v>0</v>
      </c>
      <c r="J74" s="593">
        <f t="shared" ca="1" si="46"/>
        <v>0</v>
      </c>
      <c r="K74" s="593">
        <f t="shared" ca="1" si="46"/>
        <v>0</v>
      </c>
      <c r="L74" s="593">
        <f t="shared" ca="1" si="46"/>
        <v>0</v>
      </c>
      <c r="M74" s="593">
        <f t="shared" ca="1" si="46"/>
        <v>0</v>
      </c>
      <c r="N74" s="593">
        <f t="shared" ca="1" si="46"/>
        <v>0</v>
      </c>
      <c r="O74" s="593">
        <f t="shared" ca="1" si="46"/>
        <v>0</v>
      </c>
      <c r="P74" s="593">
        <f t="shared" ca="1" si="46"/>
        <v>0</v>
      </c>
      <c r="Q74" s="593">
        <f t="shared" ca="1" si="46"/>
        <v>0</v>
      </c>
      <c r="R74" s="593">
        <f t="shared" ca="1" si="46"/>
        <v>8942813.1494112052</v>
      </c>
    </row>
    <row r="75" spans="2:18" s="150" customFormat="1">
      <c r="B75" s="610" t="str">
        <f>"Total Cash Flow - "&amp;$B$14</f>
        <v>Total Cash Flow - Third Hurdle</v>
      </c>
      <c r="C75" s="610"/>
      <c r="D75" s="610"/>
      <c r="E75" s="610"/>
      <c r="F75" s="610"/>
      <c r="G75" s="611">
        <f ca="1">SUM(G72:G74)</f>
        <v>0</v>
      </c>
      <c r="H75" s="611">
        <f t="shared" ref="H75:R75" ca="1" si="47">SUM(H72:H74)</f>
        <v>0</v>
      </c>
      <c r="I75" s="611">
        <f t="shared" ca="1" si="47"/>
        <v>0</v>
      </c>
      <c r="J75" s="611">
        <f t="shared" ca="1" si="47"/>
        <v>0</v>
      </c>
      <c r="K75" s="611">
        <f t="shared" ca="1" si="47"/>
        <v>0</v>
      </c>
      <c r="L75" s="611">
        <f t="shared" ca="1" si="47"/>
        <v>0</v>
      </c>
      <c r="M75" s="611">
        <f t="shared" ca="1" si="47"/>
        <v>0</v>
      </c>
      <c r="N75" s="611">
        <f t="shared" ca="1" si="47"/>
        <v>0</v>
      </c>
      <c r="O75" s="611">
        <f t="shared" ca="1" si="47"/>
        <v>0</v>
      </c>
      <c r="P75" s="611">
        <f t="shared" ca="1" si="47"/>
        <v>0</v>
      </c>
      <c r="Q75" s="611">
        <f t="shared" ca="1" si="47"/>
        <v>0</v>
      </c>
      <c r="R75" s="611">
        <f t="shared" ca="1" si="47"/>
        <v>29809377.164704014</v>
      </c>
    </row>
    <row r="76" spans="2:18" s="150" customFormat="1">
      <c r="G76" s="593"/>
      <c r="H76" s="593"/>
      <c r="I76" s="593"/>
      <c r="J76" s="593"/>
      <c r="K76" s="593"/>
      <c r="L76" s="593"/>
      <c r="M76" s="593"/>
      <c r="N76" s="593"/>
      <c r="O76" s="593"/>
      <c r="P76" s="593"/>
      <c r="Q76" s="593"/>
      <c r="R76" s="593"/>
    </row>
    <row r="77" spans="2:18" s="150" customFormat="1">
      <c r="B77" s="150" t="s">
        <v>569</v>
      </c>
      <c r="G77" s="593">
        <f ca="1">G60-G75</f>
        <v>0</v>
      </c>
      <c r="H77" s="593">
        <f t="shared" ref="H77:R77" ca="1" si="48">H60-H75</f>
        <v>0</v>
      </c>
      <c r="I77" s="593">
        <f t="shared" ca="1" si="48"/>
        <v>0</v>
      </c>
      <c r="J77" s="593">
        <f t="shared" ca="1" si="48"/>
        <v>0</v>
      </c>
      <c r="K77" s="593">
        <f t="shared" ca="1" si="48"/>
        <v>0</v>
      </c>
      <c r="L77" s="593">
        <f t="shared" ca="1" si="48"/>
        <v>0</v>
      </c>
      <c r="M77" s="593">
        <f t="shared" ca="1" si="48"/>
        <v>0</v>
      </c>
      <c r="N77" s="593">
        <f t="shared" ca="1" si="48"/>
        <v>0</v>
      </c>
      <c r="O77" s="593">
        <f t="shared" ca="1" si="48"/>
        <v>0</v>
      </c>
      <c r="P77" s="593">
        <f t="shared" ca="1" si="48"/>
        <v>0</v>
      </c>
      <c r="Q77" s="593">
        <f ca="1">Q60-Q75</f>
        <v>0</v>
      </c>
      <c r="R77" s="593">
        <f t="shared" ca="1" si="48"/>
        <v>0</v>
      </c>
    </row>
    <row r="78" spans="2:18" s="150" customFormat="1">
      <c r="G78" s="593"/>
      <c r="H78" s="593"/>
      <c r="I78" s="593"/>
      <c r="J78" s="593"/>
      <c r="K78" s="593"/>
      <c r="L78" s="593"/>
      <c r="M78" s="593"/>
      <c r="N78" s="593"/>
      <c r="O78" s="593"/>
      <c r="P78" s="593"/>
      <c r="Q78" s="593"/>
      <c r="R78" s="593"/>
    </row>
    <row r="79" spans="2:18" s="150" customFormat="1">
      <c r="B79" s="173" t="s">
        <v>572</v>
      </c>
      <c r="G79" s="593"/>
      <c r="H79" s="593"/>
      <c r="I79" s="593"/>
      <c r="J79" s="593"/>
      <c r="K79" s="593"/>
      <c r="L79" s="593"/>
      <c r="M79" s="593"/>
      <c r="N79" s="593"/>
      <c r="O79" s="593"/>
      <c r="P79" s="593"/>
      <c r="Q79" s="593"/>
      <c r="R79" s="593"/>
    </row>
    <row r="80" spans="2:18" s="150" customFormat="1">
      <c r="B80" s="150" t="s">
        <v>573</v>
      </c>
      <c r="G80" s="593"/>
      <c r="H80" s="593"/>
      <c r="I80" s="593"/>
      <c r="J80" s="593"/>
      <c r="K80" s="593"/>
      <c r="L80" s="593"/>
      <c r="M80" s="593"/>
      <c r="N80" s="593"/>
      <c r="O80" s="593"/>
      <c r="P80" s="593"/>
      <c r="Q80" s="593"/>
      <c r="R80" s="593"/>
    </row>
    <row r="81" spans="2:18" s="150" customFormat="1">
      <c r="B81" s="609" t="str">
        <f>$B$8</f>
        <v>Investor</v>
      </c>
      <c r="D81" s="454">
        <f>$D$8*(1-$D$83)</f>
        <v>0.375</v>
      </c>
      <c r="G81" s="593">
        <f ca="1">$D$81*G77</f>
        <v>0</v>
      </c>
      <c r="H81" s="593">
        <f t="shared" ref="H81:Q81" ca="1" si="49">$D$81*H77</f>
        <v>0</v>
      </c>
      <c r="I81" s="593">
        <f t="shared" ca="1" si="49"/>
        <v>0</v>
      </c>
      <c r="J81" s="593">
        <f t="shared" ca="1" si="49"/>
        <v>0</v>
      </c>
      <c r="K81" s="593">
        <f t="shared" ca="1" si="49"/>
        <v>0</v>
      </c>
      <c r="L81" s="593">
        <f t="shared" ca="1" si="49"/>
        <v>0</v>
      </c>
      <c r="M81" s="593">
        <f t="shared" ca="1" si="49"/>
        <v>0</v>
      </c>
      <c r="N81" s="593">
        <f t="shared" ca="1" si="49"/>
        <v>0</v>
      </c>
      <c r="O81" s="593">
        <f t="shared" ca="1" si="49"/>
        <v>0</v>
      </c>
      <c r="P81" s="593">
        <f t="shared" ca="1" si="49"/>
        <v>0</v>
      </c>
      <c r="Q81" s="593">
        <f t="shared" ca="1" si="49"/>
        <v>0</v>
      </c>
      <c r="R81" s="593">
        <f ca="1">$D$81*R77</f>
        <v>0</v>
      </c>
    </row>
    <row r="82" spans="2:18" s="150" customFormat="1">
      <c r="B82" s="609" t="str">
        <f>$B$7</f>
        <v>Sponsor</v>
      </c>
      <c r="D82" s="454">
        <f>$D$7*(1-$D$83)</f>
        <v>0.125</v>
      </c>
      <c r="G82" s="593">
        <f ca="1">$D$82*G77</f>
        <v>0</v>
      </c>
      <c r="H82" s="593">
        <f t="shared" ref="H82:R82" ca="1" si="50">$D$82*H77</f>
        <v>0</v>
      </c>
      <c r="I82" s="593">
        <f t="shared" ca="1" si="50"/>
        <v>0</v>
      </c>
      <c r="J82" s="593">
        <f t="shared" ca="1" si="50"/>
        <v>0</v>
      </c>
      <c r="K82" s="593">
        <f t="shared" ca="1" si="50"/>
        <v>0</v>
      </c>
      <c r="L82" s="593">
        <f t="shared" ca="1" si="50"/>
        <v>0</v>
      </c>
      <c r="M82" s="593">
        <f t="shared" ca="1" si="50"/>
        <v>0</v>
      </c>
      <c r="N82" s="593">
        <f t="shared" ca="1" si="50"/>
        <v>0</v>
      </c>
      <c r="O82" s="593">
        <f t="shared" ca="1" si="50"/>
        <v>0</v>
      </c>
      <c r="P82" s="593">
        <f t="shared" ca="1" si="50"/>
        <v>0</v>
      </c>
      <c r="Q82" s="593">
        <f t="shared" ca="1" si="50"/>
        <v>0</v>
      </c>
      <c r="R82" s="593">
        <f t="shared" ca="1" si="50"/>
        <v>0</v>
      </c>
    </row>
    <row r="83" spans="2:18" s="150" customFormat="1">
      <c r="B83" s="150" t="str">
        <f>$B$7&amp;" Promote"</f>
        <v>Sponsor Promote</v>
      </c>
      <c r="D83" s="613">
        <f>$D$14</f>
        <v>0.5</v>
      </c>
      <c r="G83" s="593">
        <f ca="1">$D$83*G77</f>
        <v>0</v>
      </c>
      <c r="H83" s="593">
        <f t="shared" ref="H83:R83" ca="1" si="51">$D$83*H77</f>
        <v>0</v>
      </c>
      <c r="I83" s="593">
        <f t="shared" ca="1" si="51"/>
        <v>0</v>
      </c>
      <c r="J83" s="593">
        <f t="shared" ca="1" si="51"/>
        <v>0</v>
      </c>
      <c r="K83" s="593">
        <f t="shared" ca="1" si="51"/>
        <v>0</v>
      </c>
      <c r="L83" s="593">
        <f t="shared" ca="1" si="51"/>
        <v>0</v>
      </c>
      <c r="M83" s="593">
        <f t="shared" ca="1" si="51"/>
        <v>0</v>
      </c>
      <c r="N83" s="593">
        <f t="shared" ca="1" si="51"/>
        <v>0</v>
      </c>
      <c r="O83" s="593">
        <f t="shared" ca="1" si="51"/>
        <v>0</v>
      </c>
      <c r="P83" s="593">
        <f t="shared" ca="1" si="51"/>
        <v>0</v>
      </c>
      <c r="Q83" s="593">
        <f t="shared" ca="1" si="51"/>
        <v>0</v>
      </c>
      <c r="R83" s="593">
        <f t="shared" ca="1" si="51"/>
        <v>0</v>
      </c>
    </row>
    <row r="84" spans="2:18" s="150" customFormat="1">
      <c r="B84" s="610" t="s">
        <v>574</v>
      </c>
      <c r="C84" s="610"/>
      <c r="D84" s="610"/>
      <c r="E84" s="610"/>
      <c r="F84" s="610"/>
      <c r="G84" s="611">
        <f ca="1">SUM(G81:G83)</f>
        <v>0</v>
      </c>
      <c r="H84" s="611">
        <f t="shared" ref="H84:R84" ca="1" si="52">SUM(H81:H83)</f>
        <v>0</v>
      </c>
      <c r="I84" s="611">
        <f t="shared" ca="1" si="52"/>
        <v>0</v>
      </c>
      <c r="J84" s="611">
        <f t="shared" ca="1" si="52"/>
        <v>0</v>
      </c>
      <c r="K84" s="611">
        <f t="shared" ca="1" si="52"/>
        <v>0</v>
      </c>
      <c r="L84" s="611">
        <f t="shared" ca="1" si="52"/>
        <v>0</v>
      </c>
      <c r="M84" s="611">
        <f t="shared" ca="1" si="52"/>
        <v>0</v>
      </c>
      <c r="N84" s="611">
        <f t="shared" ca="1" si="52"/>
        <v>0</v>
      </c>
      <c r="O84" s="611">
        <f t="shared" ca="1" si="52"/>
        <v>0</v>
      </c>
      <c r="P84" s="611">
        <f t="shared" ca="1" si="52"/>
        <v>0</v>
      </c>
      <c r="Q84" s="611">
        <f t="shared" ca="1" si="52"/>
        <v>0</v>
      </c>
      <c r="R84" s="611">
        <f t="shared" ca="1" si="52"/>
        <v>0</v>
      </c>
    </row>
    <row r="85" spans="2:18" s="150" customFormat="1">
      <c r="G85" s="593"/>
      <c r="H85" s="593"/>
      <c r="I85" s="593"/>
      <c r="J85" s="593"/>
      <c r="K85" s="593"/>
      <c r="L85" s="593"/>
      <c r="M85" s="593"/>
      <c r="N85" s="593"/>
      <c r="O85" s="593"/>
      <c r="P85" s="593"/>
      <c r="Q85" s="593"/>
      <c r="R85" s="593"/>
    </row>
    <row r="86" spans="2:18" s="150" customFormat="1">
      <c r="B86" s="173" t="str">
        <f>$B$8&amp;" CF"</f>
        <v>Investor CF</v>
      </c>
      <c r="G86" s="593"/>
      <c r="H86" s="593"/>
      <c r="I86" s="593"/>
      <c r="J86" s="593"/>
      <c r="K86" s="593"/>
      <c r="L86" s="593"/>
      <c r="M86" s="593"/>
      <c r="N86" s="593"/>
      <c r="O86" s="593"/>
      <c r="P86" s="593"/>
      <c r="Q86" s="593"/>
      <c r="R86" s="593"/>
    </row>
    <row r="87" spans="2:18" s="150" customFormat="1">
      <c r="B87" s="173" t="str">
        <f>$B$8&amp;" Total CF"</f>
        <v>Investor Total CF</v>
      </c>
      <c r="C87" s="173"/>
      <c r="D87" s="173"/>
      <c r="E87" s="173"/>
      <c r="F87" s="173"/>
      <c r="G87" s="614">
        <f ca="1">G29+G41+G55+G72+G81</f>
        <v>-11205193.769999996</v>
      </c>
      <c r="H87" s="614">
        <f t="shared" ref="H87:R87" ca="1" si="53">H29+H41+H55+H72+H81</f>
        <v>-964482.70365189936</v>
      </c>
      <c r="I87" s="614">
        <f t="shared" ca="1" si="53"/>
        <v>448446.79030771181</v>
      </c>
      <c r="J87" s="614">
        <f t="shared" ca="1" si="53"/>
        <v>549082.64057249122</v>
      </c>
      <c r="K87" s="614">
        <f t="shared" ca="1" si="53"/>
        <v>652759.3597186741</v>
      </c>
      <c r="L87" s="614">
        <f t="shared" ca="1" si="53"/>
        <v>759569.28880304913</v>
      </c>
      <c r="M87" s="614">
        <f t="shared" ca="1" si="53"/>
        <v>869607.59615913138</v>
      </c>
      <c r="N87" s="614">
        <f t="shared" ca="1" si="53"/>
        <v>982972.36513399996</v>
      </c>
      <c r="O87" s="614">
        <f t="shared" ca="1" si="53"/>
        <v>1099764.6846065396</v>
      </c>
      <c r="P87" s="614">
        <f ca="1">P29+P41+P55+P72+P81</f>
        <v>1220088.7423782181</v>
      </c>
      <c r="Q87" s="614">
        <f t="shared" ca="1" si="53"/>
        <v>1344051.9215305522</v>
      </c>
      <c r="R87" s="614">
        <f t="shared" ca="1" si="53"/>
        <v>35247802.716584995</v>
      </c>
    </row>
    <row r="88" spans="2:18" s="150" customFormat="1">
      <c r="B88" s="150" t="str">
        <f>$B$8&amp;" Cumulative CF"</f>
        <v>Investor Cumulative CF</v>
      </c>
      <c r="G88" s="593">
        <f ca="1">SUM($G87:G$87)</f>
        <v>-11205193.769999996</v>
      </c>
      <c r="H88" s="593">
        <f ca="1">SUM($G87:H$87)</f>
        <v>-12169676.473651895</v>
      </c>
      <c r="I88" s="593">
        <f ca="1">SUM($G87:I$87)</f>
        <v>-11721229.683344183</v>
      </c>
      <c r="J88" s="593">
        <f ca="1">SUM($G87:J$87)</f>
        <v>-11172147.042771691</v>
      </c>
      <c r="K88" s="593">
        <f ca="1">SUM($G87:K$87)</f>
        <v>-10519387.683053017</v>
      </c>
      <c r="L88" s="593">
        <f ca="1">SUM($G87:L$87)</f>
        <v>-9759818.3942499682</v>
      </c>
      <c r="M88" s="593">
        <f ca="1">SUM($G87:M$87)</f>
        <v>-8890210.798090836</v>
      </c>
      <c r="N88" s="593">
        <f ca="1">SUM($G87:N$87)</f>
        <v>-7907238.4329568362</v>
      </c>
      <c r="O88" s="593">
        <f ca="1">SUM($G87:O$87)</f>
        <v>-6807473.7483502962</v>
      </c>
      <c r="P88" s="593">
        <f ca="1">SUM($G87:P$87)</f>
        <v>-5587385.0059720781</v>
      </c>
      <c r="Q88" s="593">
        <f ca="1">SUM($G87:Q$87)</f>
        <v>-4243333.0844415259</v>
      </c>
      <c r="R88" s="593">
        <f ca="1">SUM($G87:R$87)</f>
        <v>31004469.632143468</v>
      </c>
    </row>
    <row r="89" spans="2:18" s="150" customFormat="1">
      <c r="G89" s="593"/>
      <c r="H89" s="593"/>
      <c r="I89" s="593"/>
      <c r="J89" s="593"/>
      <c r="K89" s="593"/>
      <c r="L89" s="593"/>
      <c r="M89" s="593"/>
      <c r="N89" s="593"/>
      <c r="O89" s="593"/>
      <c r="P89" s="593"/>
      <c r="Q89" s="593"/>
      <c r="R89" s="593"/>
    </row>
    <row r="90" spans="2:18" s="150" customFormat="1">
      <c r="B90" s="615" t="str">
        <f>$B$8&amp; " IRR"</f>
        <v>Investor IRR</v>
      </c>
      <c r="C90" s="610"/>
      <c r="D90" s="616">
        <f ca="1">XIRR(G87:R87,$G$17:$R$17)</f>
        <v>0.13695657849311832</v>
      </c>
      <c r="G90" s="593"/>
      <c r="H90" s="593"/>
      <c r="I90" s="593"/>
      <c r="J90" s="593"/>
      <c r="K90" s="593"/>
      <c r="L90" s="593"/>
      <c r="M90" s="593"/>
      <c r="N90" s="593"/>
      <c r="O90" s="593"/>
      <c r="P90" s="593"/>
      <c r="Q90" s="593"/>
      <c r="R90" s="593"/>
    </row>
    <row r="91" spans="2:18" s="150" customFormat="1">
      <c r="B91" s="617" t="str">
        <f>$B$8&amp; " Equity Multiple"</f>
        <v>Investor Equity Multiple</v>
      </c>
      <c r="C91" s="173"/>
      <c r="D91" s="618">
        <f ca="1">D93/D92+1</f>
        <v>3.5476823232951236</v>
      </c>
      <c r="G91" s="593"/>
      <c r="H91" s="593"/>
      <c r="I91" s="593"/>
      <c r="J91" s="593"/>
      <c r="K91" s="593"/>
      <c r="L91" s="593"/>
      <c r="M91" s="593"/>
      <c r="N91" s="593"/>
      <c r="O91" s="593"/>
      <c r="P91" s="593"/>
      <c r="Q91" s="593"/>
      <c r="R91" s="593"/>
    </row>
    <row r="92" spans="2:18" s="150" customFormat="1">
      <c r="B92" s="617" t="str">
        <f>$B$8&amp; " Equity Invested"</f>
        <v>Investor Equity Invested</v>
      </c>
      <c r="C92" s="173"/>
      <c r="D92" s="619">
        <f ca="1">-MIN(G88:EL88)</f>
        <v>12169676.473651895</v>
      </c>
      <c r="G92" s="593"/>
      <c r="H92" s="593"/>
      <c r="I92" s="593"/>
      <c r="J92" s="593"/>
      <c r="K92" s="593"/>
      <c r="L92" s="593"/>
      <c r="M92" s="593"/>
      <c r="N92" s="593"/>
      <c r="O92" s="593"/>
      <c r="P92" s="593"/>
      <c r="Q92" s="593"/>
      <c r="R92" s="593"/>
    </row>
    <row r="93" spans="2:18" s="150" customFormat="1">
      <c r="B93" s="620" t="str">
        <f>$B$8&amp; " Profit"</f>
        <v>Investor Profit</v>
      </c>
      <c r="C93" s="621"/>
      <c r="D93" s="622">
        <f ca="1">SUM(G87:EL87)</f>
        <v>31004469.632143468</v>
      </c>
      <c r="G93" s="593"/>
      <c r="H93" s="593"/>
      <c r="I93" s="593"/>
      <c r="J93" s="593"/>
      <c r="K93" s="593"/>
      <c r="L93" s="593"/>
      <c r="M93" s="593"/>
      <c r="N93" s="593"/>
      <c r="O93" s="593"/>
      <c r="P93" s="593"/>
      <c r="Q93" s="593"/>
      <c r="R93" s="593"/>
    </row>
    <row r="94" spans="2:18" s="150" customFormat="1">
      <c r="G94" s="593"/>
      <c r="H94" s="593"/>
      <c r="I94" s="593"/>
      <c r="J94" s="593"/>
      <c r="K94" s="593"/>
      <c r="L94" s="593"/>
      <c r="M94" s="593"/>
      <c r="N94" s="593"/>
      <c r="O94" s="593"/>
      <c r="P94" s="593"/>
      <c r="Q94" s="593"/>
      <c r="R94" s="593"/>
    </row>
    <row r="95" spans="2:18" s="150" customFormat="1">
      <c r="B95" s="173" t="str">
        <f>$B$7&amp;" CF"</f>
        <v>Sponsor CF</v>
      </c>
      <c r="G95" s="593"/>
      <c r="H95" s="593"/>
      <c r="I95" s="593"/>
      <c r="J95" s="593"/>
      <c r="K95" s="593"/>
      <c r="L95" s="593"/>
      <c r="M95" s="593"/>
      <c r="N95" s="593"/>
      <c r="O95" s="593"/>
      <c r="P95" s="593"/>
      <c r="Q95" s="593"/>
      <c r="R95" s="593"/>
    </row>
    <row r="96" spans="2:18" s="150" customFormat="1">
      <c r="B96" s="173" t="str">
        <f>$B$7&amp;" Total CF"</f>
        <v>Sponsor Total CF</v>
      </c>
      <c r="C96" s="173"/>
      <c r="D96" s="173"/>
      <c r="E96" s="173"/>
      <c r="F96" s="173"/>
      <c r="G96" s="614">
        <f ca="1">G30+G42+G56+G57+G73+G74+G82+G83</f>
        <v>-3735064.5899999985</v>
      </c>
      <c r="H96" s="614">
        <f t="shared" ref="H96:R96" ca="1" si="54">H30+H42+H56+H57+H73+H74+H82+H83</f>
        <v>-321494.23455063312</v>
      </c>
      <c r="I96" s="614">
        <f t="shared" ca="1" si="54"/>
        <v>149482.26343590394</v>
      </c>
      <c r="J96" s="614">
        <f t="shared" ca="1" si="54"/>
        <v>183027.54685749707</v>
      </c>
      <c r="K96" s="614">
        <f t="shared" ca="1" si="54"/>
        <v>217586.45323955803</v>
      </c>
      <c r="L96" s="614">
        <f t="shared" ca="1" si="54"/>
        <v>253189.76293434971</v>
      </c>
      <c r="M96" s="614">
        <f t="shared" ca="1" si="54"/>
        <v>289869.19871971046</v>
      </c>
      <c r="N96" s="614">
        <f t="shared" ca="1" si="54"/>
        <v>327657.45504466665</v>
      </c>
      <c r="O96" s="614">
        <f t="shared" ca="1" si="54"/>
        <v>366588.22820217983</v>
      </c>
      <c r="P96" s="614">
        <f t="shared" ca="1" si="54"/>
        <v>406696.24745940603</v>
      </c>
      <c r="Q96" s="614">
        <f t="shared" ca="1" si="54"/>
        <v>448017.30717685074</v>
      </c>
      <c r="R96" s="614">
        <f t="shared" ca="1" si="54"/>
        <v>22279319.806194715</v>
      </c>
    </row>
    <row r="97" spans="2:142" s="150" customFormat="1">
      <c r="B97" s="150" t="str">
        <f>$B$7&amp;" Cumulative CF"</f>
        <v>Sponsor Cumulative CF</v>
      </c>
      <c r="G97" s="593">
        <f ca="1">SUM($G96:G$96)</f>
        <v>-3735064.5899999985</v>
      </c>
      <c r="H97" s="593">
        <f ca="1">SUM($G96:H$96)</f>
        <v>-4056558.8245506315</v>
      </c>
      <c r="I97" s="593">
        <f ca="1">SUM($G96:I$96)</f>
        <v>-3907076.5611147275</v>
      </c>
      <c r="J97" s="593">
        <f ca="1">SUM($G96:J$96)</f>
        <v>-3724049.0142572303</v>
      </c>
      <c r="K97" s="593">
        <f ca="1">SUM($G96:K$96)</f>
        <v>-3506462.5610176725</v>
      </c>
      <c r="L97" s="593">
        <f ca="1">SUM($G96:L$96)</f>
        <v>-3253272.7980833231</v>
      </c>
      <c r="M97" s="593">
        <f ca="1">SUM($G96:M$96)</f>
        <v>-2963403.5993636125</v>
      </c>
      <c r="N97" s="593">
        <f ca="1">SUM($G96:N$96)</f>
        <v>-2635746.1443189457</v>
      </c>
      <c r="O97" s="593">
        <f ca="1">SUM($G96:O$96)</f>
        <v>-2269157.9161167657</v>
      </c>
      <c r="P97" s="593">
        <f ca="1">SUM($G96:P$96)</f>
        <v>-1862461.6686573597</v>
      </c>
      <c r="Q97" s="593">
        <f ca="1">SUM($G96:Q$96)</f>
        <v>-1414444.3614805089</v>
      </c>
      <c r="R97" s="593">
        <f ca="1">SUM($G96:R$96)</f>
        <v>20864875.444714207</v>
      </c>
    </row>
    <row r="98" spans="2:142" s="150" customFormat="1">
      <c r="G98" s="593"/>
      <c r="H98" s="593"/>
      <c r="I98" s="593"/>
      <c r="J98" s="593"/>
      <c r="K98" s="593"/>
      <c r="L98" s="593"/>
      <c r="M98" s="593"/>
      <c r="N98" s="593"/>
      <c r="O98" s="593"/>
      <c r="P98" s="593"/>
      <c r="Q98" s="593"/>
      <c r="R98" s="593"/>
    </row>
    <row r="99" spans="2:142" s="150" customFormat="1">
      <c r="B99" s="615" t="str">
        <f>$B$7&amp; " IRR"</f>
        <v>Sponsor IRR</v>
      </c>
      <c r="C99" s="610"/>
      <c r="D99" s="616">
        <f ca="1">XIRR(G96:R96,$G$17:$R$17)</f>
        <v>0.19490916132926939</v>
      </c>
      <c r="G99" s="593"/>
      <c r="H99" s="593"/>
      <c r="I99" s="593"/>
      <c r="J99" s="593"/>
      <c r="K99" s="593"/>
      <c r="L99" s="593"/>
      <c r="M99" s="593"/>
      <c r="N99" s="593"/>
      <c r="O99" s="593"/>
      <c r="P99" s="593"/>
      <c r="Q99" s="593"/>
      <c r="R99" s="593"/>
    </row>
    <row r="100" spans="2:142" s="150" customFormat="1">
      <c r="B100" s="617" t="str">
        <f>$B$7&amp; " Equity Multiple"</f>
        <v>Sponsor Equity Multiple</v>
      </c>
      <c r="C100" s="173"/>
      <c r="D100" s="618">
        <f ca="1">D102/D101+1</f>
        <v>6.1434914042015727</v>
      </c>
    </row>
    <row r="101" spans="2:142" s="150" customFormat="1">
      <c r="B101" s="617" t="str">
        <f>$B$7&amp; " Equity Invested"</f>
        <v>Sponsor Equity Invested</v>
      </c>
      <c r="C101" s="173"/>
      <c r="D101" s="619">
        <f ca="1">-MIN(G97:EL97)</f>
        <v>4056558.8245506315</v>
      </c>
    </row>
    <row r="102" spans="2:142" s="150" customFormat="1">
      <c r="B102" s="617" t="str">
        <f>$B$7&amp; " Profit"</f>
        <v>Sponsor Profit</v>
      </c>
      <c r="C102" s="173"/>
      <c r="D102" s="619">
        <f ca="1">SUM(G96:EL96)</f>
        <v>20864875.444714207</v>
      </c>
      <c r="G102" s="593"/>
      <c r="H102" s="593"/>
      <c r="I102" s="593"/>
      <c r="J102" s="593"/>
      <c r="K102" s="593"/>
      <c r="L102" s="593"/>
      <c r="M102" s="593"/>
      <c r="N102" s="593"/>
      <c r="O102" s="593"/>
      <c r="P102" s="593"/>
      <c r="Q102" s="593"/>
      <c r="R102" s="593"/>
    </row>
    <row r="103" spans="2:142" s="150" customFormat="1">
      <c r="B103" s="620" t="str">
        <f>$B$7&amp; " Promote"</f>
        <v>Sponsor Promote</v>
      </c>
      <c r="C103" s="621"/>
      <c r="D103" s="622">
        <f ca="1">SUM(G57:EL57,G74:EL74,G83:EL83)</f>
        <v>10530052.233999716</v>
      </c>
      <c r="G103" s="593"/>
      <c r="H103" s="593"/>
      <c r="I103" s="593"/>
      <c r="J103" s="593"/>
      <c r="K103" s="593"/>
      <c r="L103" s="593"/>
      <c r="M103" s="593"/>
      <c r="N103" s="593"/>
      <c r="O103" s="593"/>
      <c r="P103" s="593"/>
      <c r="Q103" s="593"/>
      <c r="R103" s="593"/>
    </row>
    <row r="104" spans="2:142" s="150" customFormat="1">
      <c r="G104" s="593"/>
      <c r="H104" s="593"/>
      <c r="I104" s="593"/>
      <c r="J104" s="593"/>
      <c r="K104" s="593"/>
      <c r="L104" s="593"/>
      <c r="M104" s="593"/>
      <c r="N104" s="593"/>
      <c r="O104" s="593"/>
      <c r="P104" s="593"/>
      <c r="Q104" s="593"/>
      <c r="R104" s="593"/>
    </row>
    <row r="105" spans="2:142" s="150" customFormat="1">
      <c r="G105" s="593"/>
      <c r="H105" s="593"/>
      <c r="I105" s="593"/>
      <c r="J105" s="593"/>
      <c r="K105" s="593"/>
      <c r="L105" s="593"/>
      <c r="M105" s="593"/>
      <c r="N105" s="593"/>
      <c r="O105" s="593"/>
      <c r="P105" s="593"/>
      <c r="Q105" s="593"/>
      <c r="R105" s="593"/>
    </row>
    <row r="106" spans="2:142" s="150" customFormat="1">
      <c r="B106" s="623" t="s">
        <v>575</v>
      </c>
      <c r="C106" s="481"/>
      <c r="D106" s="481"/>
      <c r="E106" s="481"/>
      <c r="F106" s="481"/>
      <c r="G106" s="624">
        <f ca="1">G19</f>
        <v>-14940258.359999994</v>
      </c>
      <c r="H106" s="624">
        <f t="shared" ref="H106:Q106" ca="1" si="55">H19</f>
        <v>-1285976.9382025325</v>
      </c>
      <c r="I106" s="624">
        <f t="shared" ca="1" si="55"/>
        <v>597929.05374361575</v>
      </c>
      <c r="J106" s="624">
        <f t="shared" ca="1" si="55"/>
        <v>732110.18742998829</v>
      </c>
      <c r="K106" s="624">
        <f t="shared" ca="1" si="55"/>
        <v>870345.81295823213</v>
      </c>
      <c r="L106" s="624">
        <f t="shared" ca="1" si="55"/>
        <v>1012759.0517373988</v>
      </c>
      <c r="M106" s="624">
        <f t="shared" ca="1" si="55"/>
        <v>1159476.7948788418</v>
      </c>
      <c r="N106" s="624">
        <f t="shared" ca="1" si="55"/>
        <v>1310629.8201786666</v>
      </c>
      <c r="O106" s="624">
        <f t="shared" ca="1" si="55"/>
        <v>1466352.9128087196</v>
      </c>
      <c r="P106" s="624">
        <f t="shared" ca="1" si="55"/>
        <v>1626784.9898376241</v>
      </c>
      <c r="Q106" s="624">
        <f t="shared" ca="1" si="55"/>
        <v>1792069.2287074029</v>
      </c>
      <c r="R106" s="624">
        <f ca="1">R19</f>
        <v>57527122.522779718</v>
      </c>
    </row>
    <row r="107" spans="2:142" s="150" customFormat="1">
      <c r="B107" s="382" t="s">
        <v>576</v>
      </c>
      <c r="D107" s="625">
        <f ca="1">XIRR(G107:EL107,$G$17:$EL$17)</f>
        <v>0.15453898310661321</v>
      </c>
      <c r="G107" s="593">
        <f t="shared" ref="G107:Q107" ca="1" si="56">G96+G87</f>
        <v>-14940258.359999994</v>
      </c>
      <c r="H107" s="593">
        <f t="shared" ca="1" si="56"/>
        <v>-1285976.9382025325</v>
      </c>
      <c r="I107" s="593">
        <f t="shared" ca="1" si="56"/>
        <v>597929.05374361575</v>
      </c>
      <c r="J107" s="593">
        <f t="shared" ca="1" si="56"/>
        <v>732110.18742998829</v>
      </c>
      <c r="K107" s="593">
        <f t="shared" ca="1" si="56"/>
        <v>870345.81295823213</v>
      </c>
      <c r="L107" s="593">
        <f t="shared" ca="1" si="56"/>
        <v>1012759.0517373988</v>
      </c>
      <c r="M107" s="593">
        <f t="shared" ca="1" si="56"/>
        <v>1159476.7948788418</v>
      </c>
      <c r="N107" s="593">
        <f t="shared" ca="1" si="56"/>
        <v>1310629.8201786666</v>
      </c>
      <c r="O107" s="593">
        <f t="shared" ca="1" si="56"/>
        <v>1466352.9128087193</v>
      </c>
      <c r="P107" s="593">
        <f t="shared" ca="1" si="56"/>
        <v>1626784.9898376241</v>
      </c>
      <c r="Q107" s="593">
        <f t="shared" ca="1" si="56"/>
        <v>1792069.2287074029</v>
      </c>
      <c r="R107" s="593">
        <f ca="1">R96+R87</f>
        <v>57527122.522779711</v>
      </c>
    </row>
    <row r="108" spans="2:142" s="150" customFormat="1">
      <c r="B108" s="390" t="s">
        <v>577</v>
      </c>
      <c r="C108" s="404"/>
      <c r="D108" s="626" t="str">
        <f ca="1">IF(D107=D19,"OK","ERROR")</f>
        <v>OK</v>
      </c>
      <c r="E108" s="404"/>
      <c r="F108" s="404"/>
      <c r="G108" s="626" t="str">
        <f ca="1">IF(G107=G106,"OK","ERROR")</f>
        <v>OK</v>
      </c>
      <c r="H108" s="626" t="str">
        <f t="shared" ref="H108:Q108" ca="1" si="57">IF(H107=H106,"OK","ERROR")</f>
        <v>OK</v>
      </c>
      <c r="I108" s="626" t="str">
        <f t="shared" ca="1" si="57"/>
        <v>OK</v>
      </c>
      <c r="J108" s="626" t="str">
        <f t="shared" ca="1" si="57"/>
        <v>OK</v>
      </c>
      <c r="K108" s="626" t="str">
        <f t="shared" ca="1" si="57"/>
        <v>OK</v>
      </c>
      <c r="L108" s="626" t="str">
        <f t="shared" ca="1" si="57"/>
        <v>OK</v>
      </c>
      <c r="M108" s="626" t="str">
        <f t="shared" ca="1" si="57"/>
        <v>OK</v>
      </c>
      <c r="N108" s="626" t="str">
        <f t="shared" ca="1" si="57"/>
        <v>OK</v>
      </c>
      <c r="O108" s="626" t="str">
        <f t="shared" ca="1" si="57"/>
        <v>OK</v>
      </c>
      <c r="P108" s="626" t="str">
        <f t="shared" ca="1" si="57"/>
        <v>OK</v>
      </c>
      <c r="Q108" s="626" t="str">
        <f t="shared" ca="1" si="57"/>
        <v>OK</v>
      </c>
      <c r="R108" s="626" t="str">
        <f ca="1">IF(R107=R106,"OK","ERROR")</f>
        <v>OK</v>
      </c>
    </row>
    <row r="109" spans="2:142">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c r="DQ109" s="150"/>
      <c r="DR109" s="150"/>
      <c r="DS109" s="150"/>
      <c r="DT109" s="150"/>
      <c r="DU109" s="150"/>
      <c r="DV109" s="150"/>
      <c r="DW109" s="150"/>
      <c r="DX109" s="150"/>
      <c r="DY109" s="150"/>
      <c r="DZ109" s="150"/>
      <c r="EA109" s="150"/>
      <c r="EB109" s="150"/>
      <c r="EC109" s="150"/>
      <c r="ED109" s="150"/>
      <c r="EE109" s="150"/>
      <c r="EF109" s="150"/>
      <c r="EG109" s="150"/>
      <c r="EH109" s="150"/>
      <c r="EI109" s="150"/>
      <c r="EJ109" s="150"/>
      <c r="EK109" s="150"/>
      <c r="EL109" s="150"/>
    </row>
    <row r="110" spans="2:142">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c r="DQ110" s="150"/>
      <c r="DR110" s="150"/>
      <c r="DS110" s="150"/>
      <c r="DT110" s="150"/>
      <c r="DU110" s="150"/>
      <c r="DV110" s="150"/>
      <c r="DW110" s="150"/>
      <c r="DX110" s="150"/>
      <c r="DY110" s="150"/>
      <c r="DZ110" s="150"/>
      <c r="EA110" s="150"/>
      <c r="EB110" s="150"/>
      <c r="EC110" s="150"/>
      <c r="ED110" s="150"/>
      <c r="EE110" s="150"/>
      <c r="EF110" s="150"/>
      <c r="EG110" s="150"/>
      <c r="EH110" s="150"/>
      <c r="EI110" s="150"/>
      <c r="EJ110" s="150"/>
      <c r="EK110" s="150"/>
      <c r="EL110" s="150"/>
    </row>
    <row r="111" spans="2:142">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c r="DQ111" s="150"/>
      <c r="DR111" s="150"/>
      <c r="DS111" s="150"/>
      <c r="DT111" s="150"/>
      <c r="DU111" s="150"/>
      <c r="DV111" s="150"/>
      <c r="DW111" s="150"/>
      <c r="DX111" s="150"/>
      <c r="DY111" s="150"/>
      <c r="DZ111" s="150"/>
      <c r="EA111" s="150"/>
      <c r="EB111" s="150"/>
      <c r="EC111" s="150"/>
      <c r="ED111" s="150"/>
      <c r="EE111" s="150"/>
      <c r="EF111" s="150"/>
      <c r="EG111" s="150"/>
      <c r="EH111" s="150"/>
      <c r="EI111" s="150"/>
      <c r="EJ111" s="150"/>
      <c r="EK111" s="150"/>
      <c r="EL111" s="150"/>
    </row>
    <row r="112" spans="2:142">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c r="DQ112" s="150"/>
      <c r="DR112" s="150"/>
      <c r="DS112" s="150"/>
      <c r="DT112" s="150"/>
      <c r="DU112" s="150"/>
      <c r="DV112" s="150"/>
      <c r="DW112" s="150"/>
      <c r="DX112" s="150"/>
      <c r="DY112" s="150"/>
      <c r="DZ112" s="150"/>
      <c r="EA112" s="150"/>
      <c r="EB112" s="150"/>
      <c r="EC112" s="150"/>
      <c r="ED112" s="150"/>
      <c r="EE112" s="150"/>
      <c r="EF112" s="150"/>
      <c r="EG112" s="150"/>
      <c r="EH112" s="150"/>
      <c r="EI112" s="150"/>
      <c r="EJ112" s="150"/>
      <c r="EK112" s="150"/>
      <c r="EL112" s="150"/>
    </row>
    <row r="130" spans="7:16">
      <c r="G130" s="575"/>
      <c r="H130" s="575"/>
      <c r="I130" s="575"/>
      <c r="J130" s="575"/>
      <c r="K130" s="575"/>
      <c r="L130" s="575"/>
      <c r="M130" s="575"/>
      <c r="N130" s="575"/>
      <c r="O130" s="575"/>
      <c r="P130" s="575"/>
    </row>
    <row r="131" spans="7:16">
      <c r="G131" s="575"/>
      <c r="H131" s="575"/>
      <c r="I131" s="575"/>
      <c r="J131" s="575"/>
      <c r="K131" s="575"/>
      <c r="L131" s="575"/>
      <c r="M131" s="575"/>
      <c r="N131" s="575"/>
      <c r="O131" s="575"/>
      <c r="P131" s="575"/>
    </row>
    <row r="132" spans="7:16">
      <c r="G132" s="575"/>
      <c r="H132" s="575"/>
      <c r="I132" s="575"/>
      <c r="J132" s="575"/>
      <c r="K132" s="575"/>
      <c r="L132" s="575"/>
      <c r="M132" s="575"/>
      <c r="N132" s="575"/>
      <c r="O132" s="575"/>
      <c r="P132" s="575"/>
    </row>
    <row r="133" spans="7:16">
      <c r="G133" s="575"/>
      <c r="H133" s="575"/>
      <c r="I133" s="575"/>
      <c r="J133" s="575"/>
      <c r="K133" s="575"/>
      <c r="L133" s="575"/>
      <c r="M133" s="575"/>
      <c r="N133" s="575"/>
      <c r="O133" s="575"/>
      <c r="P133" s="575"/>
    </row>
    <row r="134" spans="7:16">
      <c r="G134" s="575"/>
      <c r="H134" s="575"/>
      <c r="I134" s="575"/>
      <c r="J134" s="575"/>
      <c r="K134" s="575"/>
      <c r="L134" s="575"/>
      <c r="M134" s="575"/>
      <c r="N134" s="575"/>
      <c r="O134" s="575"/>
      <c r="P134" s="575"/>
    </row>
    <row r="135" spans="7:16">
      <c r="G135" s="575"/>
      <c r="H135" s="575"/>
      <c r="I135" s="575"/>
      <c r="J135" s="575"/>
      <c r="K135" s="575"/>
      <c r="L135" s="575"/>
      <c r="M135" s="575"/>
      <c r="N135" s="575"/>
      <c r="O135" s="575"/>
      <c r="P135" s="575"/>
    </row>
    <row r="136" spans="7:16">
      <c r="G136" s="575"/>
      <c r="H136" s="575"/>
      <c r="I136" s="575"/>
      <c r="J136" s="575"/>
      <c r="K136" s="575"/>
      <c r="L136" s="575"/>
      <c r="M136" s="575"/>
      <c r="N136" s="575"/>
      <c r="O136" s="575"/>
      <c r="P136" s="575"/>
    </row>
    <row r="137" spans="7:16">
      <c r="G137" s="575"/>
      <c r="H137" s="575"/>
      <c r="I137" s="575"/>
      <c r="J137" s="575"/>
      <c r="K137" s="575"/>
      <c r="L137" s="575"/>
      <c r="M137" s="575"/>
      <c r="N137" s="575"/>
      <c r="O137" s="575"/>
      <c r="P137" s="575"/>
    </row>
    <row r="138" spans="7:16">
      <c r="G138" s="575"/>
      <c r="H138" s="575"/>
      <c r="I138" s="575"/>
      <c r="J138" s="575"/>
      <c r="K138" s="575"/>
      <c r="L138" s="575"/>
      <c r="M138" s="575"/>
      <c r="N138" s="575"/>
      <c r="O138" s="575"/>
      <c r="P138" s="575"/>
    </row>
    <row r="139" spans="7:16">
      <c r="G139" s="575"/>
      <c r="H139" s="575"/>
      <c r="I139" s="575"/>
      <c r="J139" s="575"/>
      <c r="K139" s="575"/>
      <c r="L139" s="575"/>
      <c r="M139" s="575"/>
      <c r="N139" s="575"/>
      <c r="O139" s="575"/>
      <c r="P139" s="575"/>
    </row>
    <row r="140" spans="7:16">
      <c r="G140" s="575"/>
      <c r="H140" s="575"/>
      <c r="I140" s="575"/>
      <c r="J140" s="575"/>
      <c r="K140" s="575"/>
      <c r="L140" s="575"/>
      <c r="M140" s="575"/>
      <c r="N140" s="575"/>
      <c r="O140" s="575"/>
      <c r="P140" s="575"/>
    </row>
    <row r="141" spans="7:16">
      <c r="G141" s="575"/>
      <c r="H141" s="575"/>
      <c r="I141" s="575"/>
      <c r="J141" s="575"/>
      <c r="K141" s="575"/>
      <c r="L141" s="575"/>
      <c r="M141" s="575"/>
      <c r="N141" s="575"/>
      <c r="O141" s="575"/>
      <c r="P141" s="575"/>
    </row>
    <row r="142" spans="7:16">
      <c r="G142" s="575"/>
      <c r="H142" s="575"/>
      <c r="I142" s="575"/>
      <c r="J142" s="575"/>
      <c r="K142" s="575"/>
      <c r="L142" s="575"/>
      <c r="M142" s="575"/>
      <c r="N142" s="575"/>
      <c r="O142" s="575"/>
      <c r="P142" s="575"/>
    </row>
    <row r="143" spans="7:16">
      <c r="G143" s="575"/>
      <c r="H143" s="575"/>
      <c r="I143" s="575"/>
      <c r="J143" s="575"/>
      <c r="K143" s="575"/>
      <c r="L143" s="575"/>
      <c r="M143" s="575"/>
      <c r="N143" s="575"/>
      <c r="O143" s="575"/>
      <c r="P143" s="575"/>
    </row>
    <row r="144" spans="7:16">
      <c r="G144" s="575"/>
      <c r="H144" s="575"/>
      <c r="I144" s="575"/>
      <c r="J144" s="575"/>
      <c r="K144" s="575"/>
      <c r="L144" s="575"/>
      <c r="M144" s="575"/>
      <c r="N144" s="575"/>
      <c r="O144" s="575"/>
      <c r="P144" s="575"/>
    </row>
    <row r="145" spans="7:16">
      <c r="G145" s="575"/>
      <c r="H145" s="575"/>
      <c r="I145" s="575"/>
      <c r="J145" s="575"/>
      <c r="K145" s="575"/>
      <c r="L145" s="575"/>
      <c r="M145" s="575"/>
      <c r="N145" s="575"/>
      <c r="O145" s="575"/>
      <c r="P145" s="575"/>
    </row>
    <row r="146" spans="7:16">
      <c r="G146" s="575"/>
      <c r="H146" s="575"/>
      <c r="I146" s="575"/>
      <c r="J146" s="575"/>
      <c r="K146" s="575"/>
      <c r="L146" s="575"/>
      <c r="M146" s="575"/>
      <c r="N146" s="575"/>
      <c r="O146" s="575"/>
      <c r="P146" s="575"/>
    </row>
    <row r="147" spans="7:16">
      <c r="G147" s="575"/>
      <c r="H147" s="575"/>
      <c r="I147" s="575"/>
      <c r="J147" s="575"/>
      <c r="K147" s="575"/>
      <c r="L147" s="575"/>
      <c r="M147" s="575"/>
      <c r="N147" s="575"/>
      <c r="O147" s="575"/>
      <c r="P147" s="575"/>
    </row>
    <row r="148" spans="7:16">
      <c r="G148" s="575"/>
      <c r="H148" s="575"/>
      <c r="I148" s="575"/>
      <c r="J148" s="575"/>
      <c r="K148" s="575"/>
      <c r="L148" s="575"/>
      <c r="M148" s="575"/>
      <c r="N148" s="575"/>
      <c r="O148" s="575"/>
      <c r="P148" s="575"/>
    </row>
    <row r="149" spans="7:16">
      <c r="G149" s="575"/>
      <c r="H149" s="575"/>
      <c r="I149" s="575"/>
      <c r="J149" s="575"/>
      <c r="K149" s="575"/>
      <c r="L149" s="575"/>
      <c r="M149" s="575"/>
      <c r="N149" s="575"/>
      <c r="O149" s="575"/>
      <c r="P149" s="575"/>
    </row>
    <row r="150" spans="7:16">
      <c r="G150" s="575"/>
      <c r="H150" s="575"/>
      <c r="I150" s="575"/>
      <c r="J150" s="575"/>
      <c r="K150" s="575"/>
      <c r="L150" s="575"/>
      <c r="M150" s="575"/>
      <c r="N150" s="575"/>
      <c r="O150" s="575"/>
      <c r="P150" s="575"/>
    </row>
    <row r="151" spans="7:16">
      <c r="G151" s="575"/>
      <c r="H151" s="575"/>
      <c r="I151" s="575"/>
      <c r="J151" s="575"/>
      <c r="K151" s="575"/>
      <c r="L151" s="575"/>
      <c r="M151" s="575"/>
      <c r="N151" s="575"/>
      <c r="O151" s="575"/>
      <c r="P151" s="575"/>
    </row>
    <row r="152" spans="7:16">
      <c r="G152" s="575"/>
      <c r="H152" s="575"/>
      <c r="I152" s="575"/>
      <c r="J152" s="575"/>
      <c r="K152" s="575"/>
      <c r="L152" s="575"/>
      <c r="M152" s="575"/>
      <c r="N152" s="575"/>
      <c r="O152" s="575"/>
      <c r="P152" s="575"/>
    </row>
    <row r="153" spans="7:16">
      <c r="G153" s="575"/>
      <c r="H153" s="575"/>
      <c r="I153" s="575"/>
      <c r="J153" s="575"/>
      <c r="K153" s="575"/>
      <c r="L153" s="575"/>
      <c r="M153" s="575"/>
      <c r="N153" s="575"/>
      <c r="O153" s="575"/>
      <c r="P153" s="575"/>
    </row>
    <row r="154" spans="7:16">
      <c r="G154" s="575"/>
      <c r="H154" s="575"/>
      <c r="I154" s="575"/>
      <c r="J154" s="575"/>
      <c r="K154" s="575"/>
      <c r="L154" s="575"/>
      <c r="M154" s="575"/>
      <c r="N154" s="575"/>
      <c r="O154" s="575"/>
      <c r="P154" s="575"/>
    </row>
    <row r="155" spans="7:16">
      <c r="G155" s="575"/>
      <c r="H155" s="575"/>
      <c r="I155" s="575"/>
      <c r="J155" s="575"/>
      <c r="K155" s="575"/>
      <c r="L155" s="575"/>
      <c r="M155" s="575"/>
      <c r="N155" s="575"/>
      <c r="O155" s="575"/>
      <c r="P155" s="575"/>
    </row>
    <row r="156" spans="7:16">
      <c r="G156" s="575"/>
      <c r="H156" s="575"/>
      <c r="I156" s="575"/>
      <c r="J156" s="575"/>
      <c r="K156" s="575"/>
      <c r="L156" s="575"/>
      <c r="M156" s="575"/>
      <c r="N156" s="575"/>
      <c r="O156" s="575"/>
      <c r="P156" s="575"/>
    </row>
    <row r="157" spans="7:16">
      <c r="G157" s="575"/>
      <c r="H157" s="575"/>
      <c r="I157" s="575"/>
      <c r="J157" s="575"/>
      <c r="K157" s="575"/>
      <c r="L157" s="575"/>
      <c r="M157" s="575"/>
      <c r="N157" s="575"/>
      <c r="O157" s="575"/>
      <c r="P157" s="575"/>
    </row>
    <row r="158" spans="7:16">
      <c r="G158" s="575"/>
      <c r="H158" s="575"/>
      <c r="I158" s="575"/>
      <c r="J158" s="575"/>
      <c r="K158" s="575"/>
      <c r="L158" s="575"/>
      <c r="M158" s="575"/>
      <c r="N158" s="575"/>
      <c r="O158" s="575"/>
      <c r="P158" s="575"/>
    </row>
    <row r="159" spans="7:16">
      <c r="G159" s="575"/>
      <c r="H159" s="575"/>
      <c r="I159" s="575"/>
      <c r="J159" s="575"/>
      <c r="K159" s="575"/>
      <c r="L159" s="575"/>
      <c r="M159" s="575"/>
      <c r="N159" s="575"/>
      <c r="O159" s="575"/>
      <c r="P159" s="575"/>
    </row>
    <row r="160" spans="7:16">
      <c r="G160" s="575"/>
      <c r="H160" s="575"/>
      <c r="I160" s="575"/>
      <c r="J160" s="575"/>
      <c r="K160" s="575"/>
      <c r="L160" s="575"/>
      <c r="M160" s="575"/>
      <c r="N160" s="575"/>
      <c r="O160" s="575"/>
      <c r="P160" s="575"/>
    </row>
    <row r="161" spans="7:16">
      <c r="G161" s="575"/>
      <c r="H161" s="575"/>
      <c r="I161" s="575"/>
      <c r="J161" s="575"/>
      <c r="K161" s="575"/>
      <c r="L161" s="575"/>
      <c r="M161" s="575"/>
      <c r="N161" s="575"/>
      <c r="O161" s="575"/>
      <c r="P161" s="575"/>
    </row>
    <row r="162" spans="7:16">
      <c r="G162" s="575"/>
      <c r="H162" s="575"/>
      <c r="I162" s="575"/>
      <c r="J162" s="575"/>
      <c r="K162" s="575"/>
      <c r="L162" s="575"/>
      <c r="M162" s="575"/>
      <c r="N162" s="575"/>
      <c r="O162" s="575"/>
      <c r="P162" s="575"/>
    </row>
    <row r="163" spans="7:16">
      <c r="G163" s="575"/>
      <c r="H163" s="575"/>
      <c r="I163" s="575"/>
      <c r="J163" s="575"/>
      <c r="K163" s="575"/>
      <c r="L163" s="575"/>
      <c r="M163" s="575"/>
      <c r="N163" s="575"/>
      <c r="O163" s="575"/>
      <c r="P163" s="575"/>
    </row>
    <row r="164" spans="7:16">
      <c r="G164" s="575"/>
      <c r="H164" s="575"/>
      <c r="I164" s="575"/>
      <c r="J164" s="575"/>
      <c r="K164" s="575"/>
      <c r="L164" s="575"/>
      <c r="M164" s="575"/>
      <c r="N164" s="575"/>
      <c r="O164" s="575"/>
      <c r="P164" s="575"/>
    </row>
    <row r="165" spans="7:16">
      <c r="G165" s="575"/>
      <c r="H165" s="575"/>
      <c r="I165" s="575"/>
      <c r="J165" s="575"/>
      <c r="K165" s="575"/>
      <c r="L165" s="575"/>
      <c r="M165" s="575"/>
      <c r="N165" s="575"/>
      <c r="O165" s="575"/>
      <c r="P165" s="575"/>
    </row>
    <row r="166" spans="7:16">
      <c r="G166" s="575"/>
      <c r="H166" s="575"/>
      <c r="I166" s="575"/>
      <c r="J166" s="575"/>
      <c r="K166" s="575"/>
      <c r="L166" s="575"/>
      <c r="M166" s="575"/>
      <c r="N166" s="575"/>
      <c r="O166" s="575"/>
      <c r="P166" s="575"/>
    </row>
    <row r="167" spans="7:16">
      <c r="G167" s="575"/>
      <c r="H167" s="575"/>
      <c r="I167" s="575"/>
      <c r="J167" s="575"/>
      <c r="K167" s="575"/>
      <c r="L167" s="575"/>
      <c r="M167" s="575"/>
      <c r="N167" s="575"/>
      <c r="O167" s="575"/>
      <c r="P167" s="575"/>
    </row>
    <row r="168" spans="7:16">
      <c r="G168" s="575"/>
      <c r="H168" s="575"/>
      <c r="I168" s="575"/>
      <c r="J168" s="575"/>
      <c r="K168" s="575"/>
      <c r="L168" s="575"/>
      <c r="M168" s="575"/>
      <c r="N168" s="575"/>
      <c r="O168" s="575"/>
      <c r="P168" s="575"/>
    </row>
    <row r="169" spans="7:16">
      <c r="G169" s="575"/>
      <c r="H169" s="575"/>
      <c r="I169" s="575"/>
      <c r="J169" s="575"/>
      <c r="K169" s="575"/>
      <c r="L169" s="575"/>
      <c r="M169" s="575"/>
      <c r="N169" s="575"/>
      <c r="O169" s="575"/>
      <c r="P169" s="575"/>
    </row>
    <row r="170" spans="7:16">
      <c r="G170" s="575"/>
      <c r="H170" s="575"/>
      <c r="I170" s="575"/>
      <c r="J170" s="575"/>
      <c r="K170" s="575"/>
      <c r="L170" s="575"/>
      <c r="M170" s="575"/>
      <c r="N170" s="575"/>
      <c r="O170" s="575"/>
      <c r="P170" s="575"/>
    </row>
    <row r="171" spans="7:16">
      <c r="G171" s="575"/>
      <c r="H171" s="575"/>
      <c r="I171" s="575"/>
      <c r="J171" s="575"/>
      <c r="K171" s="575"/>
      <c r="L171" s="575"/>
      <c r="M171" s="575"/>
      <c r="N171" s="575"/>
      <c r="O171" s="575"/>
      <c r="P171" s="575"/>
    </row>
    <row r="172" spans="7:16">
      <c r="G172" s="575"/>
      <c r="H172" s="575"/>
      <c r="I172" s="575"/>
      <c r="J172" s="575"/>
      <c r="K172" s="575"/>
      <c r="L172" s="575"/>
      <c r="M172" s="575"/>
      <c r="N172" s="575"/>
      <c r="O172" s="575"/>
      <c r="P172" s="575"/>
    </row>
    <row r="173" spans="7:16">
      <c r="G173" s="575"/>
      <c r="H173" s="575"/>
      <c r="I173" s="575"/>
      <c r="J173" s="575"/>
      <c r="K173" s="575"/>
      <c r="L173" s="575"/>
      <c r="M173" s="575"/>
      <c r="N173" s="575"/>
      <c r="O173" s="575"/>
      <c r="P173" s="575"/>
    </row>
    <row r="174" spans="7:16">
      <c r="G174" s="575"/>
      <c r="H174" s="575"/>
      <c r="I174" s="575"/>
      <c r="J174" s="575"/>
      <c r="K174" s="575"/>
      <c r="L174" s="575"/>
      <c r="M174" s="575"/>
      <c r="N174" s="575"/>
      <c r="O174" s="575"/>
      <c r="P174" s="575"/>
    </row>
    <row r="175" spans="7:16">
      <c r="G175" s="575"/>
      <c r="H175" s="575"/>
      <c r="I175" s="575"/>
      <c r="J175" s="575"/>
      <c r="K175" s="575"/>
      <c r="L175" s="575"/>
      <c r="M175" s="575"/>
      <c r="N175" s="575"/>
      <c r="O175" s="575"/>
      <c r="P175" s="575"/>
    </row>
    <row r="176" spans="7:16">
      <c r="G176" s="575"/>
      <c r="H176" s="575"/>
      <c r="I176" s="575"/>
      <c r="J176" s="575"/>
      <c r="K176" s="575"/>
      <c r="L176" s="575"/>
      <c r="M176" s="575"/>
      <c r="N176" s="575"/>
      <c r="O176" s="575"/>
      <c r="P176" s="575"/>
    </row>
    <row r="177" spans="7:16">
      <c r="G177" s="575"/>
      <c r="H177" s="575"/>
      <c r="I177" s="575"/>
      <c r="J177" s="575"/>
      <c r="K177" s="575"/>
      <c r="L177" s="575"/>
      <c r="M177" s="575"/>
      <c r="N177" s="575"/>
      <c r="O177" s="575"/>
      <c r="P177" s="575"/>
    </row>
    <row r="178" spans="7:16">
      <c r="G178" s="575"/>
      <c r="H178" s="575"/>
      <c r="I178" s="575"/>
      <c r="J178" s="575"/>
      <c r="K178" s="575"/>
      <c r="L178" s="575"/>
      <c r="M178" s="575"/>
      <c r="N178" s="575"/>
      <c r="O178" s="575"/>
      <c r="P178" s="575"/>
    </row>
    <row r="179" spans="7:16">
      <c r="G179" s="575"/>
      <c r="H179" s="575"/>
      <c r="I179" s="575"/>
      <c r="J179" s="575"/>
      <c r="K179" s="575"/>
      <c r="L179" s="575"/>
      <c r="M179" s="575"/>
      <c r="N179" s="575"/>
      <c r="O179" s="575"/>
      <c r="P179" s="575"/>
    </row>
    <row r="180" spans="7:16">
      <c r="G180" s="575"/>
      <c r="H180" s="575"/>
      <c r="I180" s="575"/>
      <c r="J180" s="575"/>
      <c r="K180" s="575"/>
      <c r="L180" s="575"/>
      <c r="M180" s="575"/>
      <c r="N180" s="575"/>
      <c r="O180" s="575"/>
      <c r="P180" s="575"/>
    </row>
    <row r="181" spans="7:16">
      <c r="G181" s="575"/>
      <c r="H181" s="575"/>
      <c r="I181" s="575"/>
      <c r="J181" s="575"/>
      <c r="K181" s="575"/>
      <c r="L181" s="575"/>
      <c r="M181" s="575"/>
      <c r="N181" s="575"/>
      <c r="O181" s="575"/>
      <c r="P181" s="575"/>
    </row>
    <row r="182" spans="7:16">
      <c r="G182" s="575"/>
      <c r="H182" s="575"/>
      <c r="I182" s="575"/>
      <c r="J182" s="575"/>
      <c r="K182" s="575"/>
      <c r="L182" s="575"/>
      <c r="M182" s="575"/>
      <c r="N182" s="575"/>
      <c r="O182" s="575"/>
      <c r="P182" s="575"/>
    </row>
    <row r="183" spans="7:16">
      <c r="G183" s="575"/>
      <c r="H183" s="575"/>
      <c r="I183" s="575"/>
      <c r="J183" s="575"/>
      <c r="K183" s="575"/>
      <c r="L183" s="575"/>
      <c r="M183" s="575"/>
      <c r="N183" s="575"/>
      <c r="O183" s="575"/>
      <c r="P183" s="575"/>
    </row>
    <row r="184" spans="7:16">
      <c r="G184" s="575"/>
      <c r="H184" s="575"/>
      <c r="I184" s="575"/>
      <c r="J184" s="575"/>
      <c r="K184" s="575"/>
      <c r="L184" s="575"/>
      <c r="M184" s="575"/>
      <c r="N184" s="575"/>
      <c r="O184" s="575"/>
      <c r="P184" s="575"/>
    </row>
    <row r="185" spans="7:16">
      <c r="G185" s="575"/>
      <c r="H185" s="575"/>
      <c r="I185" s="575"/>
      <c r="J185" s="575"/>
      <c r="K185" s="575"/>
      <c r="L185" s="575"/>
      <c r="M185" s="575"/>
      <c r="N185" s="575"/>
      <c r="O185" s="575"/>
      <c r="P185" s="575"/>
    </row>
    <row r="186" spans="7:16">
      <c r="G186" s="575"/>
      <c r="H186" s="575"/>
      <c r="I186" s="575"/>
      <c r="J186" s="575"/>
      <c r="K186" s="575"/>
      <c r="L186" s="575"/>
      <c r="M186" s="575"/>
      <c r="N186" s="575"/>
      <c r="O186" s="575"/>
      <c r="P186" s="575"/>
    </row>
    <row r="187" spans="7:16">
      <c r="G187" s="575"/>
      <c r="H187" s="575"/>
      <c r="I187" s="575"/>
      <c r="J187" s="575"/>
      <c r="K187" s="575"/>
      <c r="L187" s="575"/>
      <c r="M187" s="575"/>
      <c r="N187" s="575"/>
      <c r="O187" s="575"/>
      <c r="P187" s="575"/>
    </row>
    <row r="188" spans="7:16">
      <c r="G188" s="575"/>
      <c r="H188" s="575"/>
      <c r="I188" s="575"/>
      <c r="J188" s="575"/>
      <c r="K188" s="575"/>
      <c r="L188" s="575"/>
      <c r="M188" s="575"/>
      <c r="N188" s="575"/>
      <c r="O188" s="575"/>
      <c r="P188" s="575"/>
    </row>
    <row r="189" spans="7:16">
      <c r="G189" s="575"/>
      <c r="H189" s="575"/>
      <c r="I189" s="575"/>
      <c r="J189" s="575"/>
      <c r="K189" s="575"/>
      <c r="L189" s="575"/>
      <c r="M189" s="575"/>
      <c r="N189" s="575"/>
      <c r="O189" s="575"/>
      <c r="P189" s="575"/>
    </row>
    <row r="190" spans="7:16">
      <c r="G190" s="575"/>
      <c r="H190" s="575"/>
      <c r="I190" s="575"/>
      <c r="J190" s="575"/>
      <c r="K190" s="575"/>
      <c r="L190" s="575"/>
      <c r="M190" s="575"/>
      <c r="N190" s="575"/>
      <c r="O190" s="575"/>
      <c r="P190" s="575"/>
    </row>
    <row r="191" spans="7:16">
      <c r="G191" s="575"/>
      <c r="H191" s="575"/>
      <c r="I191" s="575"/>
      <c r="J191" s="575"/>
      <c r="K191" s="575"/>
      <c r="L191" s="575"/>
      <c r="M191" s="575"/>
      <c r="N191" s="575"/>
      <c r="O191" s="575"/>
      <c r="P191" s="575"/>
    </row>
    <row r="192" spans="7:16">
      <c r="G192" s="575"/>
      <c r="H192" s="575"/>
      <c r="I192" s="575"/>
      <c r="J192" s="575"/>
      <c r="K192" s="575"/>
      <c r="L192" s="575"/>
      <c r="M192" s="575"/>
      <c r="N192" s="575"/>
      <c r="O192" s="575"/>
      <c r="P192" s="575"/>
    </row>
    <row r="193" spans="7:16">
      <c r="G193" s="575"/>
      <c r="H193" s="575"/>
      <c r="I193" s="575"/>
      <c r="J193" s="575"/>
      <c r="K193" s="575"/>
      <c r="L193" s="575"/>
      <c r="M193" s="575"/>
      <c r="N193" s="575"/>
      <c r="O193" s="575"/>
      <c r="P193" s="575"/>
    </row>
    <row r="194" spans="7:16">
      <c r="G194" s="575"/>
      <c r="H194" s="575"/>
      <c r="I194" s="575"/>
      <c r="J194" s="575"/>
      <c r="K194" s="575"/>
      <c r="L194" s="575"/>
      <c r="M194" s="575"/>
      <c r="N194" s="575"/>
      <c r="O194" s="575"/>
      <c r="P194" s="575"/>
    </row>
    <row r="195" spans="7:16">
      <c r="G195" s="575"/>
      <c r="H195" s="575"/>
      <c r="I195" s="575"/>
      <c r="J195" s="575"/>
      <c r="K195" s="575"/>
      <c r="L195" s="575"/>
      <c r="M195" s="575"/>
      <c r="N195" s="575"/>
      <c r="O195" s="575"/>
      <c r="P195" s="575"/>
    </row>
    <row r="196" spans="7:16">
      <c r="G196" s="575"/>
      <c r="H196" s="575"/>
      <c r="I196" s="575"/>
      <c r="J196" s="575"/>
      <c r="K196" s="575"/>
      <c r="L196" s="575"/>
      <c r="M196" s="575"/>
      <c r="N196" s="575"/>
      <c r="O196" s="575"/>
      <c r="P196" s="575"/>
    </row>
    <row r="197" spans="7:16">
      <c r="G197" s="575"/>
      <c r="H197" s="575"/>
      <c r="I197" s="575"/>
      <c r="J197" s="575"/>
      <c r="K197" s="575"/>
      <c r="L197" s="575"/>
      <c r="M197" s="575"/>
      <c r="N197" s="575"/>
      <c r="O197" s="575"/>
      <c r="P197" s="575"/>
    </row>
    <row r="198" spans="7:16">
      <c r="G198" s="575"/>
      <c r="H198" s="575"/>
      <c r="I198" s="575"/>
      <c r="J198" s="575"/>
      <c r="K198" s="575"/>
      <c r="L198" s="575"/>
      <c r="M198" s="575"/>
      <c r="N198" s="575"/>
      <c r="O198" s="575"/>
      <c r="P198" s="575"/>
    </row>
    <row r="199" spans="7:16">
      <c r="G199" s="575"/>
      <c r="H199" s="575"/>
      <c r="I199" s="575"/>
      <c r="J199" s="575"/>
      <c r="K199" s="575"/>
      <c r="L199" s="575"/>
      <c r="M199" s="575"/>
      <c r="N199" s="575"/>
      <c r="O199" s="575"/>
      <c r="P199" s="575"/>
    </row>
    <row r="200" spans="7:16">
      <c r="G200" s="575"/>
      <c r="H200" s="575"/>
      <c r="I200" s="575"/>
      <c r="J200" s="575"/>
      <c r="K200" s="575"/>
      <c r="L200" s="575"/>
      <c r="M200" s="575"/>
      <c r="N200" s="575"/>
      <c r="O200" s="575"/>
      <c r="P200" s="575"/>
    </row>
  </sheetData>
  <pageMargins left="0.75" right="0.75" top="1" bottom="1" header="0.5" footer="0.5"/>
  <pageSetup paperSize="3" orientation="landscape" horizontalDpi="0" verticalDpi="0" copies="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Cash to Close</vt:lpstr>
      <vt:lpstr>Cover</vt:lpstr>
      <vt:lpstr>New Snapshot</vt:lpstr>
      <vt:lpstr>New CashFlow</vt:lpstr>
      <vt:lpstr>HUD - Snapshot</vt:lpstr>
      <vt:lpstr>HUD - CashFlow</vt:lpstr>
      <vt:lpstr>AmSch</vt:lpstr>
      <vt:lpstr>Sales Comps</vt:lpstr>
      <vt:lpstr>Rent Comps</vt:lpstr>
      <vt:lpstr>Appraisal</vt:lpstr>
      <vt:lpstr>RE Taxes</vt:lpstr>
      <vt:lpstr>Dev Budget</vt:lpstr>
      <vt:lpstr>Parking &amp; Detention</vt:lpstr>
      <vt:lpstr>Tracker &amp; Directory</vt:lpstr>
      <vt:lpstr>BUDGET TRACKER</vt:lpstr>
      <vt:lpstr>Waterfall</vt:lpstr>
      <vt:lpstr>Cover!Print_Area</vt:lpstr>
      <vt:lpstr>'HUD - CashFlow'!Print_Area</vt:lpstr>
      <vt:lpstr>'HUD - Snapshot'!Print_Area</vt:lpstr>
      <vt:lpstr>'New CashFlow'!Print_Area</vt:lpstr>
      <vt:lpstr>'New Snapshot'!Print_Area</vt:lpstr>
      <vt:lpstr>'RE Taxes'!Print_Area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19172</dc:creator>
  <cp:lastModifiedBy>Microsoft Office User</cp:lastModifiedBy>
  <cp:lastPrinted>2022-01-28T16:41:25Z</cp:lastPrinted>
  <dcterms:created xsi:type="dcterms:W3CDTF">2019-07-16T19:11:36Z</dcterms:created>
  <dcterms:modified xsi:type="dcterms:W3CDTF">2022-10-04T18:09:25Z</dcterms:modified>
</cp:coreProperties>
</file>