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kalani/Downloads/Grant Jiao Modeling/UWS Mixed use/"/>
    </mc:Choice>
  </mc:AlternateContent>
  <xr:revisionPtr revIDLastSave="0" documentId="13_ncr:1_{050469FC-1960-3E41-BA96-A3EDCD6A4ADA}" xr6:coauthVersionLast="47" xr6:coauthVersionMax="47" xr10:uidLastSave="{00000000-0000-0000-0000-000000000000}"/>
  <bookViews>
    <workbookView xWindow="8440" yWindow="2000" windowWidth="32120" windowHeight="20180" activeTab="1" xr2:uid="{F9849E66-4B37-DE48-BFF1-7E7EBD856DC5}"/>
  </bookViews>
  <sheets>
    <sheet name="Cover" sheetId="1" r:id="rId1"/>
    <sheet name="Summary" sheetId="2" r:id="rId2"/>
    <sheet name="Debt" sheetId="3" r:id="rId3"/>
    <sheet name="Construction Schedule" sheetId="4" r:id="rId4"/>
    <sheet name="Rental - Annual Proforma" sheetId="9" r:id="rId5"/>
    <sheet name="Rental - Returns" sheetId="6" r:id="rId6"/>
    <sheet name="Condo - Annual Proforma" sheetId="10" r:id="rId7"/>
    <sheet name="Condo - Returns" sheetId="11" r:id="rId8"/>
    <sheet name="Rental - Comparables" sheetId="7" r:id="rId9"/>
    <sheet name="Condo - Comparables" sheetId="12" r:id="rId10"/>
    <sheet name="Unit Mix" sheetId="8" r:id="rId11"/>
    <sheet name="421a" sheetId="13" r:id="rId12"/>
  </sheets>
  <definedNames>
    <definedName name="liborpreviousmonth" localSheetId="2">Debt!$B$111</definedName>
    <definedName name="_xlnm.Print_Area" localSheetId="3">'Construction Schedule'!$B$2:$DE$105</definedName>
    <definedName name="_xlnm.Print_Titles" localSheetId="3">'Construction Schedule'!$B:$B,'Construction Schedule'!$5:$9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2" l="1"/>
  <c r="K49" i="2"/>
  <c r="K52" i="10"/>
  <c r="K43" i="9"/>
  <c r="T43" i="9"/>
  <c r="S43" i="9"/>
  <c r="R43" i="9"/>
  <c r="Q43" i="9"/>
  <c r="P43" i="9"/>
  <c r="O43" i="9"/>
  <c r="N43" i="9"/>
  <c r="M43" i="9"/>
  <c r="L43" i="9"/>
  <c r="C12" i="2"/>
  <c r="K25" i="2" s="1" a="1"/>
  <c r="K25" i="2" s="1"/>
  <c r="G6" i="9"/>
  <c r="E8" i="10"/>
  <c r="E8" i="9"/>
  <c r="H93" i="10" l="1"/>
  <c r="E94" i="10"/>
  <c r="I94" i="10"/>
  <c r="G94" i="10"/>
  <c r="E93" i="10"/>
  <c r="I93" i="10"/>
  <c r="F94" i="10"/>
  <c r="H94" i="10"/>
  <c r="F93" i="10"/>
  <c r="G93" i="10"/>
  <c r="L52" i="10"/>
  <c r="M52" i="10" s="1"/>
  <c r="N52" i="10" s="1"/>
  <c r="O52" i="10" s="1"/>
  <c r="P52" i="10" s="1"/>
  <c r="Q52" i="10" s="1"/>
  <c r="R52" i="10" s="1"/>
  <c r="S52" i="10" s="1"/>
  <c r="T52" i="10" s="1"/>
  <c r="G26" i="3" l="1"/>
  <c r="G25" i="3"/>
  <c r="D142" i="3"/>
  <c r="D154" i="3"/>
  <c r="G85" i="9" l="1"/>
  <c r="I85" i="9"/>
  <c r="I16" i="9"/>
  <c r="G84" i="9"/>
  <c r="F84" i="9"/>
  <c r="I84" i="9"/>
  <c r="E85" i="9"/>
  <c r="E84" i="9"/>
  <c r="H85" i="9"/>
  <c r="F85" i="9"/>
  <c r="H84" i="9"/>
  <c r="V12" i="11"/>
  <c r="U12" i="11"/>
  <c r="T12" i="11"/>
  <c r="S12" i="11"/>
  <c r="R12" i="11"/>
  <c r="Q12" i="11"/>
  <c r="P12" i="11"/>
  <c r="O12" i="11"/>
  <c r="I12" i="11"/>
  <c r="H12" i="11"/>
  <c r="G12" i="11"/>
  <c r="V7" i="11"/>
  <c r="U7" i="11"/>
  <c r="T7" i="11"/>
  <c r="S7" i="11"/>
  <c r="R7" i="11"/>
  <c r="Q7" i="11"/>
  <c r="P7" i="11"/>
  <c r="O7" i="11"/>
  <c r="J7" i="11"/>
  <c r="I7" i="11"/>
  <c r="H7" i="11"/>
  <c r="G7" i="11"/>
  <c r="G6" i="11"/>
  <c r="V6" i="11"/>
  <c r="U6" i="11"/>
  <c r="T6" i="11"/>
  <c r="S6" i="11"/>
  <c r="H6" i="11"/>
  <c r="E98" i="10"/>
  <c r="T22" i="10"/>
  <c r="S22" i="10"/>
  <c r="R22" i="10"/>
  <c r="Q22" i="10"/>
  <c r="T21" i="10"/>
  <c r="S21" i="10"/>
  <c r="R21" i="10"/>
  <c r="Q21" i="10"/>
  <c r="T20" i="10"/>
  <c r="S20" i="10"/>
  <c r="R20" i="10"/>
  <c r="Q20" i="10"/>
  <c r="F22" i="10"/>
  <c r="E22" i="10"/>
  <c r="F21" i="10"/>
  <c r="E21" i="10"/>
  <c r="F20" i="10"/>
  <c r="E20" i="10"/>
  <c r="G15" i="10"/>
  <c r="F15" i="10"/>
  <c r="G14" i="10"/>
  <c r="F14" i="10"/>
  <c r="G13" i="10"/>
  <c r="F13" i="10"/>
  <c r="E15" i="10"/>
  <c r="E14" i="10"/>
  <c r="E13" i="10"/>
  <c r="CC72" i="4" l="1"/>
  <c r="CC51" i="4" s="1"/>
  <c r="CD72" i="4"/>
  <c r="CD51" i="4" s="1"/>
  <c r="CE72" i="4"/>
  <c r="CE51" i="4" s="1"/>
  <c r="CF72" i="4"/>
  <c r="CF51" i="4" s="1"/>
  <c r="CG72" i="4"/>
  <c r="CG51" i="4" s="1"/>
  <c r="CH72" i="4"/>
  <c r="CH51" i="4" s="1"/>
  <c r="CI72" i="4"/>
  <c r="CI51" i="4" s="1"/>
  <c r="CJ72" i="4"/>
  <c r="CJ51" i="4" s="1"/>
  <c r="CK72" i="4"/>
  <c r="CK51" i="4" s="1"/>
  <c r="CL72" i="4"/>
  <c r="CL51" i="4" s="1"/>
  <c r="CM72" i="4"/>
  <c r="CM51" i="4" s="1"/>
  <c r="CN72" i="4"/>
  <c r="CN51" i="4" s="1"/>
  <c r="CO72" i="4"/>
  <c r="CO51" i="4" s="1"/>
  <c r="CP72" i="4"/>
  <c r="CP51" i="4" s="1"/>
  <c r="CQ72" i="4"/>
  <c r="CQ51" i="4" s="1"/>
  <c r="CR72" i="4"/>
  <c r="CR51" i="4" s="1"/>
  <c r="CS72" i="4"/>
  <c r="CS51" i="4" s="1"/>
  <c r="CT72" i="4"/>
  <c r="CT51" i="4" s="1"/>
  <c r="CU72" i="4"/>
  <c r="CU51" i="4" s="1"/>
  <c r="CV72" i="4"/>
  <c r="CV51" i="4" s="1"/>
  <c r="CW72" i="4"/>
  <c r="CW51" i="4" s="1"/>
  <c r="CX72" i="4"/>
  <c r="CX51" i="4" s="1"/>
  <c r="CY72" i="4"/>
  <c r="CY51" i="4" s="1"/>
  <c r="CZ72" i="4"/>
  <c r="CZ51" i="4" s="1"/>
  <c r="DA72" i="4"/>
  <c r="DA51" i="4" s="1"/>
  <c r="DB72" i="4"/>
  <c r="DB51" i="4" s="1"/>
  <c r="DC72" i="4"/>
  <c r="DC51" i="4" s="1"/>
  <c r="DD72" i="4"/>
  <c r="DD51" i="4" s="1"/>
  <c r="DE72" i="4"/>
  <c r="DE51" i="4" s="1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V73" i="4"/>
  <c r="CW73" i="4"/>
  <c r="CX73" i="4"/>
  <c r="CY73" i="4"/>
  <c r="CZ73" i="4"/>
  <c r="DA73" i="4"/>
  <c r="DB73" i="4"/>
  <c r="DC73" i="4"/>
  <c r="DD73" i="4"/>
  <c r="DE7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D5" i="4"/>
  <c r="DE5" i="4" s="1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 s="1"/>
  <c r="CC5" i="4"/>
  <c r="CD5" i="4"/>
  <c r="CE5" i="4"/>
  <c r="CF5" i="4"/>
  <c r="CG5" i="4"/>
  <c r="CH5" i="4"/>
  <c r="CI5" i="4"/>
  <c r="CJ5" i="4"/>
  <c r="CK5" i="4"/>
  <c r="CL5" i="4"/>
  <c r="CM5" i="4"/>
  <c r="CN5" i="4"/>
  <c r="CB72" i="4"/>
  <c r="CB51" i="4" s="1"/>
  <c r="CB73" i="4"/>
  <c r="BO53" i="4"/>
  <c r="BP53" i="4"/>
  <c r="BR53" i="4"/>
  <c r="BS53" i="4"/>
  <c r="BT53" i="4"/>
  <c r="BU53" i="4"/>
  <c r="BV53" i="4"/>
  <c r="BW53" i="4"/>
  <c r="BX53" i="4"/>
  <c r="BY53" i="4"/>
  <c r="BZ53" i="4"/>
  <c r="CA53" i="4"/>
  <c r="CB53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BO64" i="4"/>
  <c r="BP64" i="4"/>
  <c r="BR64" i="4"/>
  <c r="BS64" i="4"/>
  <c r="BT64" i="4"/>
  <c r="BU64" i="4"/>
  <c r="BV64" i="4"/>
  <c r="BW64" i="4"/>
  <c r="BX64" i="4"/>
  <c r="BY64" i="4"/>
  <c r="BZ64" i="4"/>
  <c r="CA64" i="4"/>
  <c r="CB64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D21" i="13"/>
  <c r="G17" i="13"/>
  <c r="D8" i="13"/>
  <c r="D9" i="13" s="1"/>
  <c r="D10" i="13" s="1"/>
  <c r="D11" i="13" s="1"/>
  <c r="D12" i="13" s="1"/>
  <c r="D13" i="13" s="1"/>
  <c r="D14" i="13" s="1"/>
  <c r="D15" i="13" s="1"/>
  <c r="D7" i="13"/>
  <c r="J6" i="13"/>
  <c r="J7" i="13" s="1"/>
  <c r="D6" i="13"/>
  <c r="J8" i="13" l="1"/>
  <c r="D16" i="13"/>
  <c r="D17" i="13" s="1"/>
  <c r="C6" i="13"/>
  <c r="J9" i="13" l="1"/>
  <c r="C7" i="13"/>
  <c r="C8" i="13" l="1"/>
  <c r="J10" i="13"/>
  <c r="J11" i="13" l="1"/>
  <c r="C9" i="13"/>
  <c r="J12" i="13" l="1"/>
  <c r="C10" i="13"/>
  <c r="C11" i="13" l="1"/>
  <c r="J13" i="13"/>
  <c r="C12" i="13" l="1"/>
  <c r="J14" i="13"/>
  <c r="J15" i="13" l="1"/>
  <c r="C13" i="13"/>
  <c r="C14" i="13" l="1"/>
  <c r="J16" i="13"/>
  <c r="J17" i="13" l="1"/>
  <c r="C15" i="13"/>
  <c r="C16" i="13" l="1"/>
  <c r="K15" i="2" l="1"/>
  <c r="K18" i="2"/>
  <c r="K29" i="2"/>
  <c r="K24" i="2"/>
  <c r="K32" i="2"/>
  <c r="K20" i="2"/>
  <c r="K17" i="2" l="1"/>
  <c r="BN64" i="4"/>
  <c r="BM64" i="4"/>
  <c r="BL64" i="4"/>
  <c r="BK64" i="4"/>
  <c r="BJ64" i="4"/>
  <c r="BI64" i="4"/>
  <c r="BH64" i="4"/>
  <c r="BG64" i="4"/>
  <c r="BF64" i="4"/>
  <c r="BD64" i="4"/>
  <c r="BC64" i="4"/>
  <c r="BB64" i="4"/>
  <c r="BA64" i="4"/>
  <c r="AZ64" i="4"/>
  <c r="AY64" i="4"/>
  <c r="AX64" i="4"/>
  <c r="AW64" i="4"/>
  <c r="AV64" i="4"/>
  <c r="AU64" i="4"/>
  <c r="AT64" i="4"/>
  <c r="AR64" i="4"/>
  <c r="AQ64" i="4"/>
  <c r="AP64" i="4"/>
  <c r="AO64" i="4"/>
  <c r="AN64" i="4"/>
  <c r="AM64" i="4"/>
  <c r="AL64" i="4"/>
  <c r="AK64" i="4"/>
  <c r="AJ64" i="4"/>
  <c r="AI64" i="4"/>
  <c r="AH64" i="4"/>
  <c r="AF64" i="4"/>
  <c r="AE64" i="4"/>
  <c r="AD64" i="4"/>
  <c r="AC64" i="4"/>
  <c r="AB64" i="4"/>
  <c r="AA64" i="4"/>
  <c r="Z64" i="4"/>
  <c r="Y64" i="4"/>
  <c r="X64" i="4"/>
  <c r="W64" i="4"/>
  <c r="V64" i="4"/>
  <c r="T64" i="4"/>
  <c r="S64" i="4"/>
  <c r="R64" i="4"/>
  <c r="Q64" i="4"/>
  <c r="P64" i="4"/>
  <c r="O64" i="4"/>
  <c r="N64" i="4"/>
  <c r="M64" i="4"/>
  <c r="L64" i="4"/>
  <c r="K64" i="4"/>
  <c r="J64" i="4"/>
  <c r="I23" i="4"/>
  <c r="I22" i="4"/>
  <c r="I21" i="4" l="1"/>
  <c r="H12" i="4"/>
  <c r="H13" i="4" s="1"/>
  <c r="I13" i="4" l="1"/>
  <c r="J13" i="4" s="1"/>
  <c r="F23" i="10" l="1"/>
  <c r="E23" i="10"/>
  <c r="C22" i="10"/>
  <c r="F64" i="12" l="1"/>
  <c r="F63" i="12"/>
  <c r="F62" i="12"/>
  <c r="F61" i="12"/>
  <c r="G61" i="12"/>
  <c r="E61" i="12" s="1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39" i="12"/>
  <c r="G38" i="12"/>
  <c r="G37" i="12"/>
  <c r="G36" i="12"/>
  <c r="G35" i="12"/>
  <c r="G34" i="12"/>
  <c r="G33" i="12"/>
  <c r="G30" i="12"/>
  <c r="G29" i="12"/>
  <c r="G28" i="12"/>
  <c r="G27" i="12"/>
  <c r="G26" i="12"/>
  <c r="G25" i="12"/>
  <c r="G24" i="12"/>
  <c r="G64" i="12" s="1"/>
  <c r="E64" i="12" s="1"/>
  <c r="G23" i="12"/>
  <c r="G22" i="12"/>
  <c r="G21" i="12"/>
  <c r="G18" i="12"/>
  <c r="G62" i="12" s="1"/>
  <c r="E62" i="12" s="1"/>
  <c r="G17" i="12"/>
  <c r="G16" i="12"/>
  <c r="G15" i="12"/>
  <c r="G14" i="12"/>
  <c r="G13" i="12"/>
  <c r="G12" i="12"/>
  <c r="G9" i="12"/>
  <c r="G8" i="12"/>
  <c r="G7" i="12"/>
  <c r="G6" i="12"/>
  <c r="G5" i="12"/>
  <c r="G63" i="12" s="1"/>
  <c r="E63" i="12" s="1"/>
  <c r="AE21" i="3"/>
  <c r="AP20" i="3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O20" i="3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N20" i="3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M20" i="3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E20" i="3"/>
  <c r="AE22" i="3" l="1"/>
  <c r="AE23" i="3" l="1"/>
  <c r="AE24" i="3" l="1"/>
  <c r="AE25" i="3" l="1"/>
  <c r="AE26" i="3" l="1"/>
  <c r="AE27" i="3" l="1"/>
  <c r="AE28" i="3" l="1"/>
  <c r="AE29" i="3" l="1"/>
  <c r="AE30" i="3" l="1"/>
  <c r="AE31" i="3" l="1"/>
  <c r="AE32" i="3" l="1"/>
  <c r="AE33" i="3" l="1"/>
  <c r="AE34" i="3" l="1"/>
  <c r="AE35" i="3" l="1"/>
  <c r="AE36" i="3" l="1"/>
  <c r="AE37" i="3" l="1"/>
  <c r="AE38" i="3" l="1"/>
  <c r="AE39" i="3" l="1"/>
  <c r="AE40" i="3" l="1"/>
  <c r="AE41" i="3" l="1"/>
  <c r="AE42" i="3" l="1"/>
  <c r="AE43" i="3" l="1"/>
  <c r="AE44" i="3" l="1"/>
  <c r="AE45" i="3" l="1"/>
  <c r="AE46" i="3" l="1"/>
  <c r="AE47" i="3" l="1"/>
  <c r="AE48" i="3" l="1"/>
  <c r="AE49" i="3" l="1"/>
  <c r="AE50" i="3" l="1"/>
  <c r="AE51" i="3" l="1"/>
  <c r="AE52" i="3" l="1"/>
  <c r="AE53" i="3" l="1"/>
  <c r="AE54" i="3" l="1"/>
  <c r="AE55" i="3" l="1"/>
  <c r="AE56" i="3" l="1"/>
  <c r="AE57" i="3" l="1"/>
  <c r="AE58" i="3" l="1"/>
  <c r="V9" i="11" l="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E95" i="10"/>
  <c r="G85" i="10"/>
  <c r="F85" i="10"/>
  <c r="E85" i="10"/>
  <c r="G80" i="10"/>
  <c r="F80" i="10"/>
  <c r="E80" i="10"/>
  <c r="G79" i="10"/>
  <c r="G82" i="10" s="1"/>
  <c r="F79" i="10"/>
  <c r="E79" i="10"/>
  <c r="G74" i="10"/>
  <c r="F74" i="10"/>
  <c r="E74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0" i="10"/>
  <c r="F60" i="10"/>
  <c r="E60" i="10"/>
  <c r="G59" i="10"/>
  <c r="F59" i="10"/>
  <c r="E59" i="10"/>
  <c r="G58" i="10"/>
  <c r="F58" i="10"/>
  <c r="E58" i="10"/>
  <c r="F9" i="10"/>
  <c r="F82" i="10" l="1"/>
  <c r="G9" i="10"/>
  <c r="G70" i="10"/>
  <c r="E82" i="10"/>
  <c r="F70" i="10"/>
  <c r="F61" i="10"/>
  <c r="F63" i="10" s="1"/>
  <c r="G61" i="10"/>
  <c r="G63" i="10" s="1"/>
  <c r="G72" i="10" s="1"/>
  <c r="G76" i="10" s="1"/>
  <c r="G84" i="10" s="1"/>
  <c r="G87" i="10" s="1"/>
  <c r="G88" i="10" s="1"/>
  <c r="E70" i="10"/>
  <c r="E61" i="10"/>
  <c r="E63" i="10" s="1"/>
  <c r="F8" i="10"/>
  <c r="F72" i="10" l="1"/>
  <c r="F76" i="10" s="1"/>
  <c r="F84" i="10" s="1"/>
  <c r="F87" i="10" s="1"/>
  <c r="F88" i="10" s="1"/>
  <c r="H9" i="10"/>
  <c r="E72" i="10"/>
  <c r="E76" i="10" s="1"/>
  <c r="E84" i="10" s="1"/>
  <c r="E87" i="10" s="1"/>
  <c r="F95" i="10"/>
  <c r="G8" i="10"/>
  <c r="I9" i="10"/>
  <c r="E88" i="10"/>
  <c r="C34" i="2"/>
  <c r="C28" i="2"/>
  <c r="H17" i="4"/>
  <c r="H15" i="4"/>
  <c r="K23" i="2"/>
  <c r="K35" i="2"/>
  <c r="CC24" i="4" l="1"/>
  <c r="CS24" i="4"/>
  <c r="CF26" i="4"/>
  <c r="CV26" i="4"/>
  <c r="CY26" i="4"/>
  <c r="CG24" i="4"/>
  <c r="CH24" i="4"/>
  <c r="CI24" i="4"/>
  <c r="CZ24" i="4"/>
  <c r="DE26" i="4"/>
  <c r="CO24" i="4"/>
  <c r="CR24" i="4"/>
  <c r="CD24" i="4"/>
  <c r="CT24" i="4"/>
  <c r="CG26" i="4"/>
  <c r="CW26" i="4"/>
  <c r="CW24" i="4"/>
  <c r="CX24" i="4"/>
  <c r="CL26" i="4"/>
  <c r="CJ24" i="4"/>
  <c r="DD26" i="4"/>
  <c r="DB24" i="4"/>
  <c r="CP24" i="4"/>
  <c r="CE24" i="4"/>
  <c r="CU24" i="4"/>
  <c r="CH26" i="4"/>
  <c r="CX26" i="4"/>
  <c r="CJ26" i="4"/>
  <c r="DA26" i="4"/>
  <c r="CY24" i="4"/>
  <c r="CM26" i="4"/>
  <c r="CN26" i="4"/>
  <c r="CS26" i="4"/>
  <c r="CF24" i="4"/>
  <c r="CV24" i="4"/>
  <c r="CI26" i="4"/>
  <c r="CZ26" i="4"/>
  <c r="CK26" i="4"/>
  <c r="DB26" i="4"/>
  <c r="DC26" i="4"/>
  <c r="CO26" i="4"/>
  <c r="CP26" i="4"/>
  <c r="DE24" i="4"/>
  <c r="CR26" i="4"/>
  <c r="CK24" i="4"/>
  <c r="DC24" i="4"/>
  <c r="CQ24" i="4"/>
  <c r="DA24" i="4"/>
  <c r="CQ26" i="4"/>
  <c r="CB24" i="4"/>
  <c r="DD24" i="4"/>
  <c r="CD26" i="4"/>
  <c r="CE26" i="4"/>
  <c r="CL24" i="4"/>
  <c r="CM24" i="4"/>
  <c r="CB26" i="4"/>
  <c r="CT26" i="4"/>
  <c r="CU26" i="4"/>
  <c r="CN24" i="4"/>
  <c r="CC26" i="4"/>
  <c r="I24" i="4"/>
  <c r="AH26" i="4"/>
  <c r="R26" i="4"/>
  <c r="AD26" i="4"/>
  <c r="M26" i="4"/>
  <c r="K26" i="4"/>
  <c r="X26" i="4"/>
  <c r="AG26" i="4"/>
  <c r="Q26" i="4"/>
  <c r="N26" i="4"/>
  <c r="AC26" i="4"/>
  <c r="AB26" i="4"/>
  <c r="AA26" i="4"/>
  <c r="Z26" i="4"/>
  <c r="Y26" i="4"/>
  <c r="AJ26" i="4"/>
  <c r="S26" i="4"/>
  <c r="AF26" i="4"/>
  <c r="P26" i="4"/>
  <c r="L26" i="4"/>
  <c r="J26" i="4"/>
  <c r="AE26" i="4"/>
  <c r="O26" i="4"/>
  <c r="I26" i="4"/>
  <c r="W26" i="4"/>
  <c r="V26" i="4"/>
  <c r="U26" i="4"/>
  <c r="T26" i="4"/>
  <c r="AI26" i="4"/>
  <c r="G95" i="10"/>
  <c r="H8" i="10"/>
  <c r="H95" i="10"/>
  <c r="J9" i="10"/>
  <c r="I8" i="10" l="1"/>
  <c r="K9" i="10"/>
  <c r="J8" i="10" l="1"/>
  <c r="J7" i="10" s="1"/>
  <c r="L7" i="11" s="1"/>
  <c r="L9" i="10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I54" i="4"/>
  <c r="G79" i="9"/>
  <c r="F79" i="9"/>
  <c r="E79" i="9"/>
  <c r="K8" i="10" l="1"/>
  <c r="K7" i="10" s="1"/>
  <c r="M7" i="11" s="1"/>
  <c r="L8" i="10"/>
  <c r="L7" i="10" s="1"/>
  <c r="N7" i="11" s="1"/>
  <c r="M9" i="10"/>
  <c r="T12" i="6"/>
  <c r="U12" i="6"/>
  <c r="V12" i="6"/>
  <c r="R9" i="6"/>
  <c r="S9" i="6"/>
  <c r="T9" i="6"/>
  <c r="U9" i="6"/>
  <c r="V9" i="6"/>
  <c r="R12" i="6"/>
  <c r="S12" i="6"/>
  <c r="G7" i="6"/>
  <c r="H7" i="6"/>
  <c r="I7" i="6"/>
  <c r="J7" i="6"/>
  <c r="G9" i="6"/>
  <c r="H9" i="6"/>
  <c r="I9" i="6"/>
  <c r="J9" i="6"/>
  <c r="K9" i="6"/>
  <c r="L9" i="6"/>
  <c r="M9" i="6"/>
  <c r="N9" i="6"/>
  <c r="O9" i="6"/>
  <c r="P9" i="6"/>
  <c r="Q9" i="6"/>
  <c r="H12" i="6"/>
  <c r="I12" i="6"/>
  <c r="O12" i="6"/>
  <c r="P12" i="6"/>
  <c r="Q12" i="6"/>
  <c r="G12" i="6"/>
  <c r="E70" i="9"/>
  <c r="E73" i="9" s="1"/>
  <c r="F70" i="9"/>
  <c r="F73" i="9" s="1"/>
  <c r="G70" i="9"/>
  <c r="G73" i="9" s="1"/>
  <c r="U10" i="3"/>
  <c r="AI10" i="3" s="1"/>
  <c r="U8" i="3"/>
  <c r="AI8" i="3" s="1"/>
  <c r="S33" i="2"/>
  <c r="E49" i="9"/>
  <c r="F49" i="9"/>
  <c r="G49" i="9"/>
  <c r="E50" i="9"/>
  <c r="F50" i="9"/>
  <c r="G50" i="9"/>
  <c r="E51" i="9"/>
  <c r="F51" i="9"/>
  <c r="G51" i="9"/>
  <c r="E52" i="9"/>
  <c r="F52" i="9"/>
  <c r="G52" i="9"/>
  <c r="E54" i="9"/>
  <c r="F54" i="9"/>
  <c r="G54" i="9"/>
  <c r="G63" i="9" s="1"/>
  <c r="G67" i="9" s="1"/>
  <c r="E57" i="9"/>
  <c r="E61" i="9" s="1"/>
  <c r="E63" i="9" s="1"/>
  <c r="E67" i="9" s="1"/>
  <c r="F57" i="9"/>
  <c r="G57" i="9"/>
  <c r="E58" i="9"/>
  <c r="F58" i="9"/>
  <c r="G58" i="9"/>
  <c r="E59" i="9"/>
  <c r="F59" i="9"/>
  <c r="G59" i="9"/>
  <c r="E60" i="9"/>
  <c r="F60" i="9"/>
  <c r="G60" i="9"/>
  <c r="F61" i="9"/>
  <c r="G61" i="9"/>
  <c r="F63" i="9"/>
  <c r="E65" i="9"/>
  <c r="F65" i="9"/>
  <c r="G65" i="9"/>
  <c r="E71" i="9"/>
  <c r="F71" i="9"/>
  <c r="G71" i="9"/>
  <c r="E76" i="9"/>
  <c r="F76" i="9"/>
  <c r="G76" i="9"/>
  <c r="G17" i="9"/>
  <c r="G36" i="9" s="1"/>
  <c r="F17" i="9"/>
  <c r="F29" i="9" s="1"/>
  <c r="E17" i="9"/>
  <c r="E36" i="9" s="1"/>
  <c r="G11" i="9"/>
  <c r="F11" i="9"/>
  <c r="E11" i="9"/>
  <c r="S27" i="2"/>
  <c r="S29" i="2" s="1"/>
  <c r="S32" i="2"/>
  <c r="Q27" i="2"/>
  <c r="Q29" i="2" s="1"/>
  <c r="O29" i="2"/>
  <c r="P29" i="2"/>
  <c r="R29" i="2"/>
  <c r="F9" i="9"/>
  <c r="G9" i="9" s="1"/>
  <c r="H9" i="9" s="1"/>
  <c r="I9" i="9" s="1"/>
  <c r="M8" i="10" l="1"/>
  <c r="F8" i="9"/>
  <c r="G8" i="11"/>
  <c r="S36" i="2"/>
  <c r="N9" i="10"/>
  <c r="G8" i="6"/>
  <c r="F67" i="9"/>
  <c r="E75" i="9"/>
  <c r="E78" i="9" s="1"/>
  <c r="G75" i="9"/>
  <c r="G78" i="9" s="1"/>
  <c r="F75" i="9"/>
  <c r="F78" i="9" s="1"/>
  <c r="E29" i="9"/>
  <c r="F36" i="9"/>
  <c r="G29" i="9"/>
  <c r="J9" i="9"/>
  <c r="G8" i="9"/>
  <c r="I8" i="11" s="1"/>
  <c r="N8" i="10" l="1"/>
  <c r="H8" i="6"/>
  <c r="H8" i="11"/>
  <c r="O9" i="10"/>
  <c r="H8" i="9"/>
  <c r="J8" i="11" s="1"/>
  <c r="I8" i="6"/>
  <c r="K9" i="9"/>
  <c r="L9" i="9" s="1"/>
  <c r="M9" i="9" s="1"/>
  <c r="N9" i="9" s="1"/>
  <c r="O9" i="9" s="1"/>
  <c r="P9" i="9" s="1"/>
  <c r="Q9" i="9" s="1"/>
  <c r="R9" i="9" s="1"/>
  <c r="S9" i="9" s="1"/>
  <c r="T9" i="9" s="1"/>
  <c r="J13" i="9"/>
  <c r="K13" i="9" l="1"/>
  <c r="J13" i="10"/>
  <c r="I8" i="9"/>
  <c r="K8" i="11" s="1"/>
  <c r="O8" i="10"/>
  <c r="P9" i="10"/>
  <c r="K8" i="6"/>
  <c r="P39" i="2"/>
  <c r="O39" i="2"/>
  <c r="J8" i="6"/>
  <c r="J8" i="9"/>
  <c r="L8" i="11" s="1"/>
  <c r="L13" i="9" l="1"/>
  <c r="K13" i="10"/>
  <c r="P8" i="10"/>
  <c r="Q9" i="10"/>
  <c r="K8" i="9"/>
  <c r="M8" i="11" s="1"/>
  <c r="L8" i="6"/>
  <c r="Q39" i="2"/>
  <c r="M13" i="9" l="1"/>
  <c r="L13" i="10"/>
  <c r="Q8" i="10"/>
  <c r="R9" i="10"/>
  <c r="L8" i="9"/>
  <c r="N8" i="11" s="1"/>
  <c r="M8" i="6"/>
  <c r="R39" i="2"/>
  <c r="N13" i="9" l="1"/>
  <c r="M13" i="10"/>
  <c r="R8" i="10"/>
  <c r="S9" i="10"/>
  <c r="M8" i="9"/>
  <c r="O8" i="11" s="1"/>
  <c r="S39" i="2"/>
  <c r="N8" i="6"/>
  <c r="O13" i="9" l="1"/>
  <c r="N13" i="10"/>
  <c r="S8" i="10"/>
  <c r="T9" i="10"/>
  <c r="N8" i="9"/>
  <c r="P8" i="11" s="1"/>
  <c r="O8" i="6"/>
  <c r="P13" i="9" l="1"/>
  <c r="O13" i="10"/>
  <c r="T8" i="10"/>
  <c r="O8" i="9"/>
  <c r="Q8" i="11" s="1"/>
  <c r="P8" i="6"/>
  <c r="Q13" i="9" l="1"/>
  <c r="P13" i="10"/>
  <c r="P8" i="9"/>
  <c r="R8" i="11" s="1"/>
  <c r="Q8" i="6"/>
  <c r="R13" i="9" l="1"/>
  <c r="Q13" i="10"/>
  <c r="Q8" i="9"/>
  <c r="S8" i="11" s="1"/>
  <c r="R8" i="6"/>
  <c r="S13" i="9" l="1"/>
  <c r="R13" i="10"/>
  <c r="R8" i="9"/>
  <c r="T8" i="11" s="1"/>
  <c r="S8" i="6"/>
  <c r="T13" i="9" l="1"/>
  <c r="T13" i="10" s="1"/>
  <c r="S13" i="10"/>
  <c r="S8" i="9"/>
  <c r="U8" i="11" s="1"/>
  <c r="T8" i="6"/>
  <c r="T8" i="9" l="1"/>
  <c r="U8" i="6"/>
  <c r="V8" i="6" l="1"/>
  <c r="V8" i="11"/>
  <c r="E21" i="4"/>
  <c r="C13" i="2"/>
  <c r="I12" i="4"/>
  <c r="H16" i="4"/>
  <c r="H14" i="4"/>
  <c r="E38" i="4"/>
  <c r="L7" i="9" l="1"/>
  <c r="K7" i="9"/>
  <c r="J7" i="9"/>
  <c r="I7" i="10"/>
  <c r="K7" i="11" s="1"/>
  <c r="I7" i="9"/>
  <c r="J12" i="4"/>
  <c r="I30" i="4"/>
  <c r="I38" i="4"/>
  <c r="I62" i="4" s="1"/>
  <c r="I34" i="4"/>
  <c r="I28" i="4"/>
  <c r="E24" i="4"/>
  <c r="E25" i="4"/>
  <c r="E26" i="4"/>
  <c r="E28" i="4"/>
  <c r="E29" i="4"/>
  <c r="BQ53" i="4" s="1"/>
  <c r="E30" i="4"/>
  <c r="E31" i="4"/>
  <c r="E33" i="4"/>
  <c r="E34" i="4"/>
  <c r="E35" i="4"/>
  <c r="E36" i="4"/>
  <c r="E37" i="4"/>
  <c r="AS63" i="4"/>
  <c r="E40" i="4"/>
  <c r="BQ64" i="4" s="1"/>
  <c r="E20" i="4"/>
  <c r="K11" i="4"/>
  <c r="I7" i="4"/>
  <c r="I3" i="4" s="1"/>
  <c r="J5" i="4"/>
  <c r="CS44" i="4" l="1"/>
  <c r="CC44" i="4"/>
  <c r="CP44" i="4"/>
  <c r="DD44" i="4"/>
  <c r="DC44" i="4"/>
  <c r="DB44" i="4"/>
  <c r="CK44" i="4"/>
  <c r="CZ44" i="4"/>
  <c r="CI44" i="4"/>
  <c r="CH44" i="4"/>
  <c r="CW44" i="4"/>
  <c r="CF44" i="4"/>
  <c r="CU44" i="4"/>
  <c r="CD44" i="4"/>
  <c r="CR44" i="4"/>
  <c r="CQ44" i="4"/>
  <c r="DE44" i="4"/>
  <c r="CN44" i="4"/>
  <c r="CM44" i="4"/>
  <c r="CL44" i="4"/>
  <c r="DA44" i="4"/>
  <c r="CJ44" i="4"/>
  <c r="CY44" i="4"/>
  <c r="CX44" i="4"/>
  <c r="CG44" i="4"/>
  <c r="CV44" i="4"/>
  <c r="CE44" i="4"/>
  <c r="CT44" i="4"/>
  <c r="CO44" i="4"/>
  <c r="CJ60" i="4"/>
  <c r="CZ60" i="4"/>
  <c r="CA60" i="4"/>
  <c r="CK60" i="4"/>
  <c r="DA60" i="4"/>
  <c r="CB60" i="4"/>
  <c r="BO60" i="4"/>
  <c r="CL60" i="4"/>
  <c r="DB60" i="4"/>
  <c r="CM60" i="4"/>
  <c r="DC60" i="4"/>
  <c r="CN60" i="4"/>
  <c r="DD60" i="4"/>
  <c r="CO60" i="4"/>
  <c r="DE60" i="4"/>
  <c r="BP60" i="4"/>
  <c r="BR60" i="4"/>
  <c r="CP60" i="4"/>
  <c r="BQ60" i="4"/>
  <c r="CQ60" i="4"/>
  <c r="CR60" i="4"/>
  <c r="BS60" i="4"/>
  <c r="BT60" i="4"/>
  <c r="BX60" i="4"/>
  <c r="CC60" i="4"/>
  <c r="CS60" i="4"/>
  <c r="BY60" i="4"/>
  <c r="CD60" i="4"/>
  <c r="CT60" i="4"/>
  <c r="BU60" i="4"/>
  <c r="BW60" i="4"/>
  <c r="CE60" i="4"/>
  <c r="CU60" i="4"/>
  <c r="BV60" i="4"/>
  <c r="CF60" i="4"/>
  <c r="CV60" i="4"/>
  <c r="CG60" i="4"/>
  <c r="CW60" i="4"/>
  <c r="CH60" i="4"/>
  <c r="CX60" i="4"/>
  <c r="CI60" i="4"/>
  <c r="CY60" i="4"/>
  <c r="BZ60" i="4"/>
  <c r="L59" i="4"/>
  <c r="CG59" i="4"/>
  <c r="CW59" i="4"/>
  <c r="BY59" i="4"/>
  <c r="CH59" i="4"/>
  <c r="CX59" i="4"/>
  <c r="BZ59" i="4"/>
  <c r="CA59" i="4"/>
  <c r="CI59" i="4"/>
  <c r="CY59" i="4"/>
  <c r="DC59" i="4"/>
  <c r="CJ59" i="4"/>
  <c r="CZ59" i="4"/>
  <c r="CB59" i="4"/>
  <c r="CK59" i="4"/>
  <c r="DA59" i="4"/>
  <c r="BO59" i="4"/>
  <c r="CL59" i="4"/>
  <c r="DB59" i="4"/>
  <c r="CM59" i="4"/>
  <c r="BP59" i="4"/>
  <c r="BW59" i="4"/>
  <c r="CN59" i="4"/>
  <c r="DD59" i="4"/>
  <c r="CO59" i="4"/>
  <c r="DE59" i="4"/>
  <c r="BQ59" i="4"/>
  <c r="BU59" i="4"/>
  <c r="CP59" i="4"/>
  <c r="BR59" i="4"/>
  <c r="CQ59" i="4"/>
  <c r="BS59" i="4"/>
  <c r="CR59" i="4"/>
  <c r="BT59" i="4"/>
  <c r="CC59" i="4"/>
  <c r="CS59" i="4"/>
  <c r="BV59" i="4"/>
  <c r="CD59" i="4"/>
  <c r="CT59" i="4"/>
  <c r="CE59" i="4"/>
  <c r="CU59" i="4"/>
  <c r="CF59" i="4"/>
  <c r="CV59" i="4"/>
  <c r="BX59" i="4"/>
  <c r="CP50" i="4"/>
  <c r="CL50" i="4"/>
  <c r="CC50" i="4"/>
  <c r="CX50" i="4"/>
  <c r="CB50" i="4"/>
  <c r="CZ50" i="4"/>
  <c r="CU50" i="4"/>
  <c r="CJ50" i="4"/>
  <c r="CD50" i="4"/>
  <c r="CK50" i="4"/>
  <c r="DE50" i="4"/>
  <c r="CY50" i="4"/>
  <c r="DA50" i="4"/>
  <c r="DC50" i="4"/>
  <c r="CS50" i="4"/>
  <c r="CW50" i="4"/>
  <c r="CG50" i="4"/>
  <c r="CF50" i="4"/>
  <c r="DB50" i="4"/>
  <c r="CN50" i="4"/>
  <c r="CH50" i="4"/>
  <c r="CO50" i="4"/>
  <c r="CM50" i="4"/>
  <c r="CQ50" i="4"/>
  <c r="CT50" i="4"/>
  <c r="CI50" i="4"/>
  <c r="CV50" i="4"/>
  <c r="CE50" i="4"/>
  <c r="DD50" i="4"/>
  <c r="CR50" i="4"/>
  <c r="AA57" i="4"/>
  <c r="CD57" i="4"/>
  <c r="CT57" i="4"/>
  <c r="BW57" i="4"/>
  <c r="CE57" i="4"/>
  <c r="CU57" i="4"/>
  <c r="BX57" i="4"/>
  <c r="CF57" i="4"/>
  <c r="CV57" i="4"/>
  <c r="BY57" i="4"/>
  <c r="CG57" i="4"/>
  <c r="CW57" i="4"/>
  <c r="BZ57" i="4"/>
  <c r="CA57" i="4"/>
  <c r="CH57" i="4"/>
  <c r="CX57" i="4"/>
  <c r="CB57" i="4"/>
  <c r="BU57" i="4"/>
  <c r="CI57" i="4"/>
  <c r="CY57" i="4"/>
  <c r="CJ57" i="4"/>
  <c r="CZ57" i="4"/>
  <c r="CK57" i="4"/>
  <c r="DA57" i="4"/>
  <c r="CL57" i="4"/>
  <c r="DB57" i="4"/>
  <c r="BO57" i="4"/>
  <c r="BP57" i="4"/>
  <c r="CM57" i="4"/>
  <c r="DC57" i="4"/>
  <c r="CN57" i="4"/>
  <c r="DD57" i="4"/>
  <c r="BQ57" i="4"/>
  <c r="CO57" i="4"/>
  <c r="DE57" i="4"/>
  <c r="BR57" i="4"/>
  <c r="CP57" i="4"/>
  <c r="BS57" i="4"/>
  <c r="CQ57" i="4"/>
  <c r="BT57" i="4"/>
  <c r="CR57" i="4"/>
  <c r="CC57" i="4"/>
  <c r="CS57" i="4"/>
  <c r="BV57" i="4"/>
  <c r="M61" i="4"/>
  <c r="CM61" i="4"/>
  <c r="DC61" i="4"/>
  <c r="CN61" i="4"/>
  <c r="DD61" i="4"/>
  <c r="CS61" i="4"/>
  <c r="BR61" i="4"/>
  <c r="CO61" i="4"/>
  <c r="DE61" i="4"/>
  <c r="BO61" i="4"/>
  <c r="CP61" i="4"/>
  <c r="BP61" i="4"/>
  <c r="BT61" i="4"/>
  <c r="CQ61" i="4"/>
  <c r="BQ61" i="4"/>
  <c r="CR61" i="4"/>
  <c r="CC61" i="4"/>
  <c r="CD61" i="4"/>
  <c r="CT61" i="4"/>
  <c r="CA61" i="4"/>
  <c r="CE61" i="4"/>
  <c r="CU61" i="4"/>
  <c r="BU61" i="4"/>
  <c r="CF61" i="4"/>
  <c r="CV61" i="4"/>
  <c r="BV61" i="4"/>
  <c r="BY61" i="4"/>
  <c r="BZ61" i="4"/>
  <c r="CG61" i="4"/>
  <c r="CW61" i="4"/>
  <c r="BW61" i="4"/>
  <c r="CH61" i="4"/>
  <c r="CX61" i="4"/>
  <c r="BX61" i="4"/>
  <c r="CI61" i="4"/>
  <c r="CY61" i="4"/>
  <c r="CJ61" i="4"/>
  <c r="CZ61" i="4"/>
  <c r="CK61" i="4"/>
  <c r="DA61" i="4"/>
  <c r="CL61" i="4"/>
  <c r="DB61" i="4"/>
  <c r="CB61" i="4"/>
  <c r="BS61" i="4"/>
  <c r="AA55" i="4"/>
  <c r="CN55" i="4"/>
  <c r="DD55" i="4"/>
  <c r="BS55" i="4"/>
  <c r="BT55" i="4"/>
  <c r="BW55" i="4"/>
  <c r="CT55" i="4"/>
  <c r="CO55" i="4"/>
  <c r="DE55" i="4"/>
  <c r="CP55" i="4"/>
  <c r="BU55" i="4"/>
  <c r="CD55" i="4"/>
  <c r="CQ55" i="4"/>
  <c r="BV55" i="4"/>
  <c r="BZ55" i="4"/>
  <c r="BQ55" i="4"/>
  <c r="CR55" i="4"/>
  <c r="CC55" i="4"/>
  <c r="CS55" i="4"/>
  <c r="BX55" i="4"/>
  <c r="BY55" i="4"/>
  <c r="CE55" i="4"/>
  <c r="CU55" i="4"/>
  <c r="CF55" i="4"/>
  <c r="CV55" i="4"/>
  <c r="CA55" i="4"/>
  <c r="CG55" i="4"/>
  <c r="CW55" i="4"/>
  <c r="CB55" i="4"/>
  <c r="BO55" i="4"/>
  <c r="CH55" i="4"/>
  <c r="CX55" i="4"/>
  <c r="BP55" i="4"/>
  <c r="CI55" i="4"/>
  <c r="CY55" i="4"/>
  <c r="CJ55" i="4"/>
  <c r="CZ55" i="4"/>
  <c r="CK55" i="4"/>
  <c r="DA55" i="4"/>
  <c r="CL55" i="4"/>
  <c r="DB55" i="4"/>
  <c r="CM55" i="4"/>
  <c r="DC55" i="4"/>
  <c r="BR55" i="4"/>
  <c r="CT48" i="4"/>
  <c r="DA48" i="4"/>
  <c r="CI48" i="4"/>
  <c r="CH48" i="4"/>
  <c r="CS48" i="4"/>
  <c r="CY48" i="4"/>
  <c r="CV48" i="4"/>
  <c r="CD48" i="4"/>
  <c r="CW48" i="4"/>
  <c r="CL48" i="4"/>
  <c r="DB48" i="4"/>
  <c r="CU48" i="4"/>
  <c r="CB48" i="4"/>
  <c r="DC48" i="4"/>
  <c r="CK48" i="4"/>
  <c r="CR48" i="4"/>
  <c r="CJ48" i="4"/>
  <c r="CX48" i="4"/>
  <c r="CE48" i="4"/>
  <c r="CM48" i="4"/>
  <c r="DE48" i="4"/>
  <c r="CC48" i="4"/>
  <c r="CQ48" i="4"/>
  <c r="CN48" i="4"/>
  <c r="CG48" i="4"/>
  <c r="CZ48" i="4"/>
  <c r="CP48" i="4"/>
  <c r="DD48" i="4"/>
  <c r="CO48" i="4"/>
  <c r="CF48" i="4"/>
  <c r="M44" i="4"/>
  <c r="CB44" i="4"/>
  <c r="BR44" i="4"/>
  <c r="BO44" i="4"/>
  <c r="BP44" i="4"/>
  <c r="BS44" i="4"/>
  <c r="BQ44" i="4"/>
  <c r="BT44" i="4"/>
  <c r="BU44" i="4"/>
  <c r="BV44" i="4"/>
  <c r="BZ44" i="4"/>
  <c r="BW44" i="4"/>
  <c r="BX44" i="4"/>
  <c r="BY44" i="4"/>
  <c r="CA44" i="4"/>
  <c r="CD49" i="4"/>
  <c r="CT49" i="4"/>
  <c r="CE49" i="4"/>
  <c r="CU49" i="4"/>
  <c r="CF49" i="4"/>
  <c r="CV49" i="4"/>
  <c r="CG49" i="4"/>
  <c r="CW49" i="4"/>
  <c r="CH49" i="4"/>
  <c r="CX49" i="4"/>
  <c r="CI49" i="4"/>
  <c r="CY49" i="4"/>
  <c r="CJ49" i="4"/>
  <c r="CZ49" i="4"/>
  <c r="CK49" i="4"/>
  <c r="DA49" i="4"/>
  <c r="CL49" i="4"/>
  <c r="DB49" i="4"/>
  <c r="CM49" i="4"/>
  <c r="DC49" i="4"/>
  <c r="CN49" i="4"/>
  <c r="DD49" i="4"/>
  <c r="CO49" i="4"/>
  <c r="DE49" i="4"/>
  <c r="CP49" i="4"/>
  <c r="CQ49" i="4"/>
  <c r="CR49" i="4"/>
  <c r="CC49" i="4"/>
  <c r="CS49" i="4"/>
  <c r="BO49" i="4"/>
  <c r="BP49" i="4"/>
  <c r="BQ49" i="4"/>
  <c r="BR49" i="4"/>
  <c r="BS49" i="4"/>
  <c r="BT49" i="4"/>
  <c r="BU49" i="4"/>
  <c r="BV49" i="4"/>
  <c r="BW49" i="4"/>
  <c r="CA49" i="4"/>
  <c r="BX49" i="4"/>
  <c r="BY49" i="4"/>
  <c r="BZ49" i="4"/>
  <c r="CB49" i="4"/>
  <c r="AG64" i="4"/>
  <c r="U64" i="4"/>
  <c r="AS64" i="4"/>
  <c r="BE64" i="4"/>
  <c r="K12" i="4"/>
  <c r="J54" i="4"/>
  <c r="J24" i="4"/>
  <c r="K7" i="6"/>
  <c r="L11" i="4"/>
  <c r="K13" i="4"/>
  <c r="I6" i="4"/>
  <c r="E86" i="9"/>
  <c r="H86" i="9"/>
  <c r="O56" i="2" s="1"/>
  <c r="F86" i="9"/>
  <c r="G86" i="9"/>
  <c r="I48" i="4"/>
  <c r="R44" i="4"/>
  <c r="AC44" i="4"/>
  <c r="AS61" i="4"/>
  <c r="AR61" i="4"/>
  <c r="Q44" i="4"/>
  <c r="AC61" i="4"/>
  <c r="AR57" i="4"/>
  <c r="X55" i="4"/>
  <c r="M55" i="4"/>
  <c r="L55" i="4"/>
  <c r="P44" i="4"/>
  <c r="AB61" i="4"/>
  <c r="AN57" i="4"/>
  <c r="L61" i="4"/>
  <c r="Z59" i="4"/>
  <c r="AV44" i="4"/>
  <c r="AC57" i="4"/>
  <c r="AH44" i="4"/>
  <c r="AX44" i="4"/>
  <c r="AQ57" i="4"/>
  <c r="I44" i="4"/>
  <c r="AB55" i="4"/>
  <c r="AG44" i="4"/>
  <c r="AW44" i="4"/>
  <c r="AS44" i="4"/>
  <c r="AF44" i="4"/>
  <c r="N60" i="4"/>
  <c r="BG60" i="4"/>
  <c r="BH60" i="4"/>
  <c r="BI60" i="4"/>
  <c r="BK60" i="4"/>
  <c r="BM60" i="4"/>
  <c r="BJ60" i="4"/>
  <c r="BL60" i="4"/>
  <c r="BN60" i="4"/>
  <c r="BF60" i="4"/>
  <c r="BB59" i="4"/>
  <c r="AS59" i="4"/>
  <c r="X59" i="4"/>
  <c r="K60" i="4"/>
  <c r="M59" i="4"/>
  <c r="BD59" i="4"/>
  <c r="N57" i="4"/>
  <c r="BL57" i="4"/>
  <c r="BG57" i="4"/>
  <c r="BH57" i="4"/>
  <c r="BM57" i="4"/>
  <c r="BF57" i="4"/>
  <c r="BI57" i="4"/>
  <c r="BK57" i="4"/>
  <c r="BJ57" i="4"/>
  <c r="BN57" i="4"/>
  <c r="I50" i="4"/>
  <c r="AS60" i="4"/>
  <c r="AQ59" i="4"/>
  <c r="L57" i="4"/>
  <c r="U59" i="4"/>
  <c r="K5" i="4"/>
  <c r="J53" i="4"/>
  <c r="BD60" i="4"/>
  <c r="X57" i="4"/>
  <c r="I45" i="4"/>
  <c r="L60" i="4"/>
  <c r="AB57" i="4"/>
  <c r="N55" i="4"/>
  <c r="BH55" i="4"/>
  <c r="BM55" i="4"/>
  <c r="BF55" i="4"/>
  <c r="BG55" i="4"/>
  <c r="BN55" i="4"/>
  <c r="BI55" i="4"/>
  <c r="BJ55" i="4"/>
  <c r="BK55" i="4"/>
  <c r="BL55" i="4"/>
  <c r="K55" i="4"/>
  <c r="M57" i="4"/>
  <c r="AR60" i="4"/>
  <c r="K57" i="4"/>
  <c r="N59" i="4"/>
  <c r="BI59" i="4"/>
  <c r="BN59" i="4"/>
  <c r="BF59" i="4"/>
  <c r="BK59" i="4"/>
  <c r="BG59" i="4"/>
  <c r="BJ59" i="4"/>
  <c r="BH59" i="4"/>
  <c r="BL59" i="4"/>
  <c r="BM59" i="4"/>
  <c r="V59" i="4"/>
  <c r="AN59" i="4"/>
  <c r="I58" i="4"/>
  <c r="S49" i="4"/>
  <c r="BH49" i="4"/>
  <c r="BL49" i="4"/>
  <c r="BI49" i="4"/>
  <c r="BJ49" i="4"/>
  <c r="BK49" i="4"/>
  <c r="BG49" i="4"/>
  <c r="BM49" i="4"/>
  <c r="BN49" i="4"/>
  <c r="BF49" i="4"/>
  <c r="AC60" i="4"/>
  <c r="AK59" i="4"/>
  <c r="AR55" i="4"/>
  <c r="AB60" i="4"/>
  <c r="AC59" i="4"/>
  <c r="AQ55" i="4"/>
  <c r="M60" i="4"/>
  <c r="K59" i="4"/>
  <c r="AR59" i="4"/>
  <c r="AQ60" i="4"/>
  <c r="BD55" i="4"/>
  <c r="AL59" i="4"/>
  <c r="AS55" i="4"/>
  <c r="S44" i="4"/>
  <c r="BF44" i="4"/>
  <c r="BL44" i="4"/>
  <c r="BG44" i="4"/>
  <c r="BJ44" i="4"/>
  <c r="BK44" i="4"/>
  <c r="BH44" i="4"/>
  <c r="BI44" i="4"/>
  <c r="BM44" i="4"/>
  <c r="BN44" i="4"/>
  <c r="N63" i="4"/>
  <c r="BI63" i="4"/>
  <c r="BF63" i="4"/>
  <c r="BG63" i="4"/>
  <c r="BJ63" i="4"/>
  <c r="BH63" i="4"/>
  <c r="BK63" i="4"/>
  <c r="BM63" i="4"/>
  <c r="BL63" i="4"/>
  <c r="BN63" i="4"/>
  <c r="AC63" i="4"/>
  <c r="AA60" i="4"/>
  <c r="AB59" i="4"/>
  <c r="BD57" i="4"/>
  <c r="AN55" i="4"/>
  <c r="BA59" i="4"/>
  <c r="BA60" i="4"/>
  <c r="J59" i="4"/>
  <c r="AP59" i="4"/>
  <c r="I52" i="4"/>
  <c r="AN60" i="4"/>
  <c r="N61" i="4"/>
  <c r="BN61" i="4"/>
  <c r="BH61" i="4"/>
  <c r="BI61" i="4"/>
  <c r="BG61" i="4"/>
  <c r="BL61" i="4"/>
  <c r="BF61" i="4"/>
  <c r="BJ61" i="4"/>
  <c r="BK61" i="4"/>
  <c r="BM61" i="4"/>
  <c r="M63" i="4"/>
  <c r="X60" i="4"/>
  <c r="AA59" i="4"/>
  <c r="AS57" i="4"/>
  <c r="AC55" i="4"/>
  <c r="AQ63" i="4"/>
  <c r="K61" i="4"/>
  <c r="AV49" i="4"/>
  <c r="AF49" i="4"/>
  <c r="P49" i="4"/>
  <c r="AP63" i="4"/>
  <c r="J63" i="4"/>
  <c r="Z61" i="4"/>
  <c r="AP60" i="4"/>
  <c r="Z60" i="4"/>
  <c r="Z57" i="4"/>
  <c r="J57" i="4"/>
  <c r="AP55" i="4"/>
  <c r="Z55" i="4"/>
  <c r="J55" i="4"/>
  <c r="AU49" i="4"/>
  <c r="AE49" i="4"/>
  <c r="O49" i="4"/>
  <c r="AU44" i="4"/>
  <c r="AE44" i="4"/>
  <c r="O44" i="4"/>
  <c r="AB63" i="4"/>
  <c r="AW49" i="4"/>
  <c r="AG49" i="4"/>
  <c r="AQ61" i="4"/>
  <c r="Z63" i="4"/>
  <c r="AP61" i="4"/>
  <c r="J61" i="4"/>
  <c r="J60" i="4"/>
  <c r="AP57" i="4"/>
  <c r="BE63" i="4"/>
  <c r="AO63" i="4"/>
  <c r="Y63" i="4"/>
  <c r="BE61" i="4"/>
  <c r="AO61" i="4"/>
  <c r="Y61" i="4"/>
  <c r="BE60" i="4"/>
  <c r="AO60" i="4"/>
  <c r="Y60" i="4"/>
  <c r="BE59" i="4"/>
  <c r="AO59" i="4"/>
  <c r="Y59" i="4"/>
  <c r="BE57" i="4"/>
  <c r="AO57" i="4"/>
  <c r="Y57" i="4"/>
  <c r="BE55" i="4"/>
  <c r="AO55" i="4"/>
  <c r="Y55" i="4"/>
  <c r="AT49" i="4"/>
  <c r="AD49" i="4"/>
  <c r="N49" i="4"/>
  <c r="AT44" i="4"/>
  <c r="AD44" i="4"/>
  <c r="N44" i="4"/>
  <c r="AH49" i="4"/>
  <c r="X61" i="4"/>
  <c r="AS49" i="4"/>
  <c r="AC49" i="4"/>
  <c r="M49" i="4"/>
  <c r="I55" i="4"/>
  <c r="BC63" i="4"/>
  <c r="AM63" i="4"/>
  <c r="W63" i="4"/>
  <c r="BC61" i="4"/>
  <c r="AM61" i="4"/>
  <c r="W61" i="4"/>
  <c r="BC60" i="4"/>
  <c r="AM60" i="4"/>
  <c r="W60" i="4"/>
  <c r="BC59" i="4"/>
  <c r="AM59" i="4"/>
  <c r="W59" i="4"/>
  <c r="BC57" i="4"/>
  <c r="AM57" i="4"/>
  <c r="W57" i="4"/>
  <c r="BC55" i="4"/>
  <c r="AM55" i="4"/>
  <c r="W55" i="4"/>
  <c r="AR49" i="4"/>
  <c r="AB49" i="4"/>
  <c r="L49" i="4"/>
  <c r="AR44" i="4"/>
  <c r="AB44" i="4"/>
  <c r="L44" i="4"/>
  <c r="L63" i="4"/>
  <c r="BB63" i="4"/>
  <c r="AL63" i="4"/>
  <c r="V63" i="4"/>
  <c r="BB61" i="4"/>
  <c r="AL61" i="4"/>
  <c r="V61" i="4"/>
  <c r="BB60" i="4"/>
  <c r="AL60" i="4"/>
  <c r="V60" i="4"/>
  <c r="BB57" i="4"/>
  <c r="AL57" i="4"/>
  <c r="V57" i="4"/>
  <c r="BB55" i="4"/>
  <c r="AL55" i="4"/>
  <c r="V55" i="4"/>
  <c r="AQ49" i="4"/>
  <c r="AA49" i="4"/>
  <c r="K49" i="4"/>
  <c r="AQ44" i="4"/>
  <c r="AA44" i="4"/>
  <c r="K44" i="4"/>
  <c r="AP49" i="4"/>
  <c r="Z49" i="4"/>
  <c r="J49" i="4"/>
  <c r="AP44" i="4"/>
  <c r="Z44" i="4"/>
  <c r="J44" i="4"/>
  <c r="AZ63" i="4"/>
  <c r="AJ63" i="4"/>
  <c r="T63" i="4"/>
  <c r="AZ61" i="4"/>
  <c r="AJ61" i="4"/>
  <c r="T61" i="4"/>
  <c r="AZ60" i="4"/>
  <c r="AJ60" i="4"/>
  <c r="T60" i="4"/>
  <c r="AZ59" i="4"/>
  <c r="AJ59" i="4"/>
  <c r="T59" i="4"/>
  <c r="AZ57" i="4"/>
  <c r="AJ57" i="4"/>
  <c r="T57" i="4"/>
  <c r="AZ55" i="4"/>
  <c r="AJ55" i="4"/>
  <c r="T55" i="4"/>
  <c r="BE49" i="4"/>
  <c r="AO49" i="4"/>
  <c r="Y49" i="4"/>
  <c r="BE44" i="4"/>
  <c r="AO44" i="4"/>
  <c r="Y44" i="4"/>
  <c r="K63" i="4"/>
  <c r="BD63" i="4"/>
  <c r="AN61" i="4"/>
  <c r="I57" i="4"/>
  <c r="BA63" i="4"/>
  <c r="AK61" i="4"/>
  <c r="U57" i="4"/>
  <c r="U55" i="4"/>
  <c r="AY61" i="4"/>
  <c r="S61" i="4"/>
  <c r="AY60" i="4"/>
  <c r="AI60" i="4"/>
  <c r="S60" i="4"/>
  <c r="AY59" i="4"/>
  <c r="AI59" i="4"/>
  <c r="S59" i="4"/>
  <c r="AY57" i="4"/>
  <c r="AI57" i="4"/>
  <c r="S57" i="4"/>
  <c r="AY55" i="4"/>
  <c r="AI55" i="4"/>
  <c r="S55" i="4"/>
  <c r="BD49" i="4"/>
  <c r="AN49" i="4"/>
  <c r="X49" i="4"/>
  <c r="BD44" i="4"/>
  <c r="AN44" i="4"/>
  <c r="X44" i="4"/>
  <c r="R49" i="4"/>
  <c r="AR63" i="4"/>
  <c r="AA63" i="4"/>
  <c r="AN63" i="4"/>
  <c r="AK63" i="4"/>
  <c r="U60" i="4"/>
  <c r="I59" i="4"/>
  <c r="AX63" i="4"/>
  <c r="AH63" i="4"/>
  <c r="R63" i="4"/>
  <c r="AX61" i="4"/>
  <c r="AH61" i="4"/>
  <c r="R61" i="4"/>
  <c r="AX60" i="4"/>
  <c r="AH60" i="4"/>
  <c r="R60" i="4"/>
  <c r="AX59" i="4"/>
  <c r="AH59" i="4"/>
  <c r="R59" i="4"/>
  <c r="AX57" i="4"/>
  <c r="AH57" i="4"/>
  <c r="R57" i="4"/>
  <c r="AX55" i="4"/>
  <c r="AH55" i="4"/>
  <c r="R55" i="4"/>
  <c r="BC49" i="4"/>
  <c r="AM49" i="4"/>
  <c r="W49" i="4"/>
  <c r="BC44" i="4"/>
  <c r="AM44" i="4"/>
  <c r="W44" i="4"/>
  <c r="U63" i="4"/>
  <c r="AK57" i="4"/>
  <c r="BA55" i="4"/>
  <c r="AI61" i="4"/>
  <c r="I60" i="4"/>
  <c r="AW63" i="4"/>
  <c r="AG63" i="4"/>
  <c r="Q63" i="4"/>
  <c r="AW61" i="4"/>
  <c r="AG61" i="4"/>
  <c r="Q61" i="4"/>
  <c r="AW60" i="4"/>
  <c r="AG60" i="4"/>
  <c r="Q60" i="4"/>
  <c r="AW59" i="4"/>
  <c r="AG59" i="4"/>
  <c r="Q59" i="4"/>
  <c r="AW57" i="4"/>
  <c r="AG57" i="4"/>
  <c r="Q57" i="4"/>
  <c r="AW55" i="4"/>
  <c r="AG55" i="4"/>
  <c r="Q55" i="4"/>
  <c r="BB49" i="4"/>
  <c r="AL49" i="4"/>
  <c r="V49" i="4"/>
  <c r="BB44" i="4"/>
  <c r="AL44" i="4"/>
  <c r="V44" i="4"/>
  <c r="AX49" i="4"/>
  <c r="Q49" i="4"/>
  <c r="X63" i="4"/>
  <c r="AI63" i="4"/>
  <c r="I61" i="4"/>
  <c r="AV63" i="4"/>
  <c r="AF63" i="4"/>
  <c r="P63" i="4"/>
  <c r="AV61" i="4"/>
  <c r="AF61" i="4"/>
  <c r="P61" i="4"/>
  <c r="AV60" i="4"/>
  <c r="AF60" i="4"/>
  <c r="P60" i="4"/>
  <c r="AV59" i="4"/>
  <c r="AF59" i="4"/>
  <c r="P59" i="4"/>
  <c r="AV57" i="4"/>
  <c r="AF57" i="4"/>
  <c r="P57" i="4"/>
  <c r="AV55" i="4"/>
  <c r="AF55" i="4"/>
  <c r="P55" i="4"/>
  <c r="BA49" i="4"/>
  <c r="AK49" i="4"/>
  <c r="U49" i="4"/>
  <c r="BA44" i="4"/>
  <c r="AK44" i="4"/>
  <c r="U44" i="4"/>
  <c r="U61" i="4"/>
  <c r="AY63" i="4"/>
  <c r="I49" i="4"/>
  <c r="AU63" i="4"/>
  <c r="AE63" i="4"/>
  <c r="O63" i="4"/>
  <c r="AU61" i="4"/>
  <c r="AE61" i="4"/>
  <c r="O61" i="4"/>
  <c r="AU60" i="4"/>
  <c r="AE60" i="4"/>
  <c r="O60" i="4"/>
  <c r="AU59" i="4"/>
  <c r="AE59" i="4"/>
  <c r="O59" i="4"/>
  <c r="AU57" i="4"/>
  <c r="AE57" i="4"/>
  <c r="O57" i="4"/>
  <c r="AU55" i="4"/>
  <c r="AE55" i="4"/>
  <c r="O55" i="4"/>
  <c r="AZ49" i="4"/>
  <c r="AJ49" i="4"/>
  <c r="T49" i="4"/>
  <c r="AZ44" i="4"/>
  <c r="AJ44" i="4"/>
  <c r="T44" i="4"/>
  <c r="AA61" i="4"/>
  <c r="BD61" i="4"/>
  <c r="BA61" i="4"/>
  <c r="AK60" i="4"/>
  <c r="BA57" i="4"/>
  <c r="AK55" i="4"/>
  <c r="S63" i="4"/>
  <c r="I63" i="4"/>
  <c r="AT63" i="4"/>
  <c r="AD63" i="4"/>
  <c r="AT61" i="4"/>
  <c r="AD61" i="4"/>
  <c r="AT60" i="4"/>
  <c r="AD60" i="4"/>
  <c r="AT59" i="4"/>
  <c r="AD59" i="4"/>
  <c r="AT57" i="4"/>
  <c r="AD57" i="4"/>
  <c r="AT55" i="4"/>
  <c r="AD55" i="4"/>
  <c r="AY49" i="4"/>
  <c r="AI49" i="4"/>
  <c r="AY44" i="4"/>
  <c r="AI44" i="4"/>
  <c r="J30" i="4"/>
  <c r="J7" i="4"/>
  <c r="J3" i="4" s="1"/>
  <c r="L12" i="4" l="1"/>
  <c r="K54" i="4"/>
  <c r="K24" i="4"/>
  <c r="L13" i="4"/>
  <c r="M11" i="4"/>
  <c r="E44" i="4"/>
  <c r="E61" i="4"/>
  <c r="E55" i="4"/>
  <c r="E60" i="4"/>
  <c r="E49" i="4"/>
  <c r="L5" i="4"/>
  <c r="K53" i="4"/>
  <c r="K30" i="4"/>
  <c r="E59" i="4"/>
  <c r="E57" i="4"/>
  <c r="J6" i="4"/>
  <c r="K7" i="4"/>
  <c r="K3" i="4" s="1"/>
  <c r="L54" i="4" l="1"/>
  <c r="L24" i="4"/>
  <c r="M12" i="4"/>
  <c r="M13" i="4"/>
  <c r="N11" i="4"/>
  <c r="M5" i="4"/>
  <c r="L53" i="4"/>
  <c r="L30" i="4"/>
  <c r="K6" i="4"/>
  <c r="L7" i="4"/>
  <c r="L3" i="4" s="1"/>
  <c r="N12" i="4" l="1"/>
  <c r="M54" i="4"/>
  <c r="M24" i="4"/>
  <c r="O11" i="4"/>
  <c r="O13" i="4" s="1"/>
  <c r="N13" i="4"/>
  <c r="N5" i="4"/>
  <c r="M53" i="4"/>
  <c r="M30" i="4"/>
  <c r="P11" i="4"/>
  <c r="L6" i="4"/>
  <c r="M7" i="4"/>
  <c r="M3" i="4" s="1"/>
  <c r="N54" i="4" l="1"/>
  <c r="N24" i="4"/>
  <c r="O12" i="4"/>
  <c r="P12" i="4"/>
  <c r="P13" i="4"/>
  <c r="O5" i="4"/>
  <c r="N53" i="4"/>
  <c r="N30" i="4"/>
  <c r="Q11" i="4"/>
  <c r="M6" i="4"/>
  <c r="N7" i="4"/>
  <c r="N3" i="4" s="1"/>
  <c r="O54" i="4" l="1"/>
  <c r="O24" i="4"/>
  <c r="Q12" i="4"/>
  <c r="Q13" i="4"/>
  <c r="P5" i="4"/>
  <c r="O53" i="4"/>
  <c r="O30" i="4"/>
  <c r="R11" i="4"/>
  <c r="N6" i="4"/>
  <c r="O7" i="4"/>
  <c r="O3" i="4" s="1"/>
  <c r="P54" i="4" l="1"/>
  <c r="P24" i="4"/>
  <c r="R12" i="4"/>
  <c r="R13" i="4"/>
  <c r="Q5" i="4"/>
  <c r="P53" i="4"/>
  <c r="P30" i="4"/>
  <c r="S11" i="4"/>
  <c r="O6" i="4"/>
  <c r="P7" i="4"/>
  <c r="P3" i="4" s="1"/>
  <c r="S12" i="4" l="1"/>
  <c r="Q54" i="4"/>
  <c r="Q24" i="4"/>
  <c r="S13" i="4"/>
  <c r="R5" i="4"/>
  <c r="Q53" i="4"/>
  <c r="Q30" i="4"/>
  <c r="T11" i="4"/>
  <c r="P6" i="4"/>
  <c r="Q7" i="4"/>
  <c r="Q3" i="4" s="1"/>
  <c r="T12" i="4" l="1"/>
  <c r="R54" i="4"/>
  <c r="R24" i="4"/>
  <c r="T13" i="4"/>
  <c r="S5" i="4"/>
  <c r="R53" i="4"/>
  <c r="R30" i="4"/>
  <c r="U11" i="4"/>
  <c r="Q6" i="4"/>
  <c r="R7" i="4"/>
  <c r="R3" i="4" s="1"/>
  <c r="U12" i="4" l="1"/>
  <c r="S54" i="4"/>
  <c r="S24" i="4"/>
  <c r="U13" i="4"/>
  <c r="T5" i="4"/>
  <c r="S53" i="4"/>
  <c r="S30" i="4"/>
  <c r="V11" i="4"/>
  <c r="R6" i="4"/>
  <c r="S7" i="4"/>
  <c r="S3" i="4" s="1"/>
  <c r="V12" i="4" l="1"/>
  <c r="T54" i="4"/>
  <c r="T24" i="4"/>
  <c r="V13" i="4"/>
  <c r="U5" i="4"/>
  <c r="T53" i="4"/>
  <c r="T30" i="4"/>
  <c r="W11" i="4"/>
  <c r="T7" i="4"/>
  <c r="T3" i="4" s="1"/>
  <c r="S6" i="4"/>
  <c r="W12" i="4" l="1"/>
  <c r="U54" i="4"/>
  <c r="U24" i="4"/>
  <c r="W13" i="4"/>
  <c r="V5" i="4"/>
  <c r="U53" i="4"/>
  <c r="U30" i="4"/>
  <c r="X11" i="4"/>
  <c r="U7" i="4"/>
  <c r="U3" i="4" s="1"/>
  <c r="T6" i="4"/>
  <c r="X12" i="4" l="1"/>
  <c r="V54" i="4"/>
  <c r="V24" i="4"/>
  <c r="X13" i="4"/>
  <c r="W5" i="4"/>
  <c r="V53" i="4"/>
  <c r="V30" i="4"/>
  <c r="Y11" i="4"/>
  <c r="U6" i="4"/>
  <c r="V7" i="4"/>
  <c r="V3" i="4" s="1"/>
  <c r="Y12" i="4" l="1"/>
  <c r="W54" i="4"/>
  <c r="W24" i="4"/>
  <c r="Y13" i="4"/>
  <c r="X5" i="4"/>
  <c r="W53" i="4"/>
  <c r="W30" i="4"/>
  <c r="Z11" i="4"/>
  <c r="V6" i="4"/>
  <c r="W7" i="4"/>
  <c r="W3" i="4" s="1"/>
  <c r="Z12" i="4" l="1"/>
  <c r="X54" i="4"/>
  <c r="X24" i="4"/>
  <c r="Z13" i="4"/>
  <c r="Y5" i="4"/>
  <c r="X53" i="4"/>
  <c r="X30" i="4"/>
  <c r="AA11" i="4"/>
  <c r="X7" i="4"/>
  <c r="X3" i="4" s="1"/>
  <c r="W6" i="4"/>
  <c r="AA12" i="4" l="1"/>
  <c r="Y54" i="4"/>
  <c r="Y24" i="4"/>
  <c r="AA13" i="4"/>
  <c r="Z5" i="4"/>
  <c r="Y53" i="4"/>
  <c r="Y30" i="4"/>
  <c r="AB11" i="4"/>
  <c r="Y7" i="4"/>
  <c r="Y3" i="4" s="1"/>
  <c r="X6" i="4"/>
  <c r="AB12" i="4" l="1"/>
  <c r="Z54" i="4"/>
  <c r="Z24" i="4"/>
  <c r="AB13" i="4"/>
  <c r="AA5" i="4"/>
  <c r="Z53" i="4"/>
  <c r="Z30" i="4"/>
  <c r="AC11" i="4"/>
  <c r="Y6" i="4"/>
  <c r="Z7" i="4"/>
  <c r="Z3" i="4" s="1"/>
  <c r="AA54" i="4" l="1"/>
  <c r="AA24" i="4"/>
  <c r="AC12" i="4"/>
  <c r="AC13" i="4"/>
  <c r="AB5" i="4"/>
  <c r="AA53" i="4"/>
  <c r="AA30" i="4"/>
  <c r="AD11" i="4"/>
  <c r="AA7" i="4"/>
  <c r="AA3" i="4" s="1"/>
  <c r="Z6" i="4"/>
  <c r="AD12" i="4" l="1"/>
  <c r="AB54" i="4"/>
  <c r="AB24" i="4"/>
  <c r="AD13" i="4"/>
  <c r="AC5" i="4"/>
  <c r="AB53" i="4"/>
  <c r="AB30" i="4"/>
  <c r="AE11" i="4"/>
  <c r="AA6" i="4"/>
  <c r="AB7" i="4"/>
  <c r="AB3" i="4" s="1"/>
  <c r="AE12" i="4" l="1"/>
  <c r="AC54" i="4"/>
  <c r="AC24" i="4"/>
  <c r="AE13" i="4"/>
  <c r="AD5" i="4"/>
  <c r="AC53" i="4"/>
  <c r="AC30" i="4"/>
  <c r="AF11" i="4"/>
  <c r="AB6" i="4"/>
  <c r="AC7" i="4"/>
  <c r="AC3" i="4" s="1"/>
  <c r="K27" i="2"/>
  <c r="AF12" i="4" l="1"/>
  <c r="AD54" i="4"/>
  <c r="AD24" i="4"/>
  <c r="AF13" i="4"/>
  <c r="E32" i="4"/>
  <c r="AE5" i="4"/>
  <c r="AD53" i="4"/>
  <c r="AD30" i="4"/>
  <c r="E23" i="4"/>
  <c r="AG11" i="4"/>
  <c r="AC6" i="4"/>
  <c r="AD7" i="4"/>
  <c r="AD3" i="4" s="1"/>
  <c r="R56" i="4" l="1"/>
  <c r="CQ56" i="4"/>
  <c r="BU56" i="4"/>
  <c r="BV56" i="4"/>
  <c r="CR56" i="4"/>
  <c r="BY56" i="4"/>
  <c r="CC56" i="4"/>
  <c r="CS56" i="4"/>
  <c r="BW56" i="4"/>
  <c r="BZ56" i="4"/>
  <c r="CA56" i="4"/>
  <c r="CD56" i="4"/>
  <c r="CT56" i="4"/>
  <c r="BX56" i="4"/>
  <c r="CE56" i="4"/>
  <c r="CU56" i="4"/>
  <c r="CG56" i="4"/>
  <c r="CF56" i="4"/>
  <c r="CV56" i="4"/>
  <c r="CH56" i="4"/>
  <c r="CX56" i="4"/>
  <c r="CB56" i="4"/>
  <c r="CI56" i="4"/>
  <c r="CY56" i="4"/>
  <c r="CJ56" i="4"/>
  <c r="CZ56" i="4"/>
  <c r="BR56" i="4"/>
  <c r="CK56" i="4"/>
  <c r="DA56" i="4"/>
  <c r="BO56" i="4"/>
  <c r="CL56" i="4"/>
  <c r="DB56" i="4"/>
  <c r="BP56" i="4"/>
  <c r="CM56" i="4"/>
  <c r="DC56" i="4"/>
  <c r="BQ56" i="4"/>
  <c r="CN56" i="4"/>
  <c r="DD56" i="4"/>
  <c r="BS56" i="4"/>
  <c r="CO56" i="4"/>
  <c r="DE56" i="4"/>
  <c r="CP56" i="4"/>
  <c r="BT56" i="4"/>
  <c r="CW56" i="4"/>
  <c r="AU56" i="4"/>
  <c r="AE54" i="4"/>
  <c r="AE24" i="4"/>
  <c r="U56" i="4"/>
  <c r="BA56" i="4"/>
  <c r="AG12" i="4"/>
  <c r="AN56" i="4"/>
  <c r="AW56" i="4"/>
  <c r="BG56" i="4"/>
  <c r="K56" i="4"/>
  <c r="Z56" i="4"/>
  <c r="BH56" i="4"/>
  <c r="BE56" i="4"/>
  <c r="BF56" i="4"/>
  <c r="AO56" i="4"/>
  <c r="V56" i="4"/>
  <c r="AZ56" i="4"/>
  <c r="AJ56" i="4"/>
  <c r="S56" i="4"/>
  <c r="T56" i="4"/>
  <c r="AI56" i="4"/>
  <c r="L56" i="4"/>
  <c r="BJ56" i="4"/>
  <c r="AG56" i="4"/>
  <c r="Q56" i="4"/>
  <c r="AF56" i="4"/>
  <c r="Y56" i="4"/>
  <c r="BN56" i="4"/>
  <c r="AC56" i="4"/>
  <c r="BD56" i="4"/>
  <c r="AV56" i="4"/>
  <c r="BC56" i="4"/>
  <c r="AM56" i="4"/>
  <c r="P56" i="4"/>
  <c r="BM56" i="4"/>
  <c r="AL56" i="4"/>
  <c r="AK56" i="4"/>
  <c r="BI56" i="4"/>
  <c r="J56" i="4"/>
  <c r="AS56" i="4"/>
  <c r="AE56" i="4"/>
  <c r="AR56" i="4"/>
  <c r="X56" i="4"/>
  <c r="O56" i="4"/>
  <c r="AG13" i="4"/>
  <c r="AQ56" i="4"/>
  <c r="AY56" i="4"/>
  <c r="AB56" i="4"/>
  <c r="BL56" i="4"/>
  <c r="BK56" i="4"/>
  <c r="W56" i="4"/>
  <c r="AD56" i="4"/>
  <c r="AX56" i="4"/>
  <c r="AA56" i="4"/>
  <c r="I56" i="4"/>
  <c r="AH56" i="4"/>
  <c r="N56" i="4"/>
  <c r="AT56" i="4"/>
  <c r="M56" i="4"/>
  <c r="AP56" i="4"/>
  <c r="BB56" i="4"/>
  <c r="AF5" i="4"/>
  <c r="AE53" i="4"/>
  <c r="AE30" i="4"/>
  <c r="I47" i="4"/>
  <c r="E22" i="4"/>
  <c r="AH11" i="4"/>
  <c r="AD6" i="4"/>
  <c r="AE7" i="4"/>
  <c r="AE3" i="4" s="1"/>
  <c r="AH12" i="4" l="1"/>
  <c r="AF54" i="4"/>
  <c r="AF24" i="4"/>
  <c r="AH13" i="4"/>
  <c r="E56" i="4"/>
  <c r="AG5" i="4"/>
  <c r="AF53" i="4"/>
  <c r="AF30" i="4"/>
  <c r="I46" i="4"/>
  <c r="AI11" i="4"/>
  <c r="AE6" i="4"/>
  <c r="AF7" i="4"/>
  <c r="AF3" i="4" s="1"/>
  <c r="D129" i="3"/>
  <c r="G24" i="3" s="1"/>
  <c r="D116" i="3"/>
  <c r="G23" i="3" s="1"/>
  <c r="D103" i="3"/>
  <c r="G22" i="3" s="1"/>
  <c r="D90" i="3"/>
  <c r="G21" i="3" s="1"/>
  <c r="D77" i="3"/>
  <c r="G20" i="3" s="1"/>
  <c r="D64" i="3"/>
  <c r="G19" i="3" s="1"/>
  <c r="C19" i="3"/>
  <c r="F8" i="3"/>
  <c r="F7" i="3"/>
  <c r="AB20" i="3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A20" i="3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Z20" i="3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Y20" i="3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Q20" i="3"/>
  <c r="AI9" i="3"/>
  <c r="M20" i="3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L20" i="3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K20" i="3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J20" i="3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B20" i="3"/>
  <c r="AG54" i="4" l="1"/>
  <c r="AG24" i="4"/>
  <c r="AI12" i="4"/>
  <c r="AF49" i="3"/>
  <c r="AF57" i="3"/>
  <c r="AF58" i="3"/>
  <c r="AF56" i="3"/>
  <c r="AF54" i="3"/>
  <c r="AF55" i="3"/>
  <c r="AF52" i="3"/>
  <c r="AF50" i="3"/>
  <c r="AF53" i="3"/>
  <c r="AF51" i="3"/>
  <c r="AI13" i="4"/>
  <c r="F12" i="3"/>
  <c r="F13" i="3" s="1"/>
  <c r="M7" i="3"/>
  <c r="M8" i="3" s="1"/>
  <c r="Q21" i="3"/>
  <c r="AH5" i="4"/>
  <c r="AG53" i="4"/>
  <c r="AG30" i="4"/>
  <c r="C20" i="3"/>
  <c r="AJ11" i="4"/>
  <c r="AF6" i="4"/>
  <c r="AG7" i="4"/>
  <c r="AG3" i="4" s="1"/>
  <c r="B21" i="3"/>
  <c r="Q22" i="3"/>
  <c r="AJ12" i="4" l="1"/>
  <c r="AH54" i="4"/>
  <c r="AH24" i="4"/>
  <c r="AJ13" i="4"/>
  <c r="AI5" i="4"/>
  <c r="AH53" i="4"/>
  <c r="AH30" i="4"/>
  <c r="C21" i="3"/>
  <c r="AK11" i="4"/>
  <c r="AG6" i="4"/>
  <c r="AH7" i="4"/>
  <c r="AH3" i="4" s="1"/>
  <c r="B22" i="3"/>
  <c r="Q23" i="3"/>
  <c r="AK12" i="4" l="1"/>
  <c r="AI54" i="4"/>
  <c r="AI24" i="4"/>
  <c r="AK13" i="4"/>
  <c r="AJ5" i="4"/>
  <c r="AI53" i="4"/>
  <c r="AI30" i="4"/>
  <c r="C22" i="3"/>
  <c r="AL11" i="4"/>
  <c r="AH6" i="4"/>
  <c r="AI7" i="4"/>
  <c r="AI3" i="4" s="1"/>
  <c r="B23" i="3"/>
  <c r="Q24" i="3"/>
  <c r="AL12" i="4" l="1"/>
  <c r="AJ54" i="4"/>
  <c r="AJ24" i="4"/>
  <c r="AL13" i="4"/>
  <c r="AK5" i="4"/>
  <c r="AK54" i="4" s="1"/>
  <c r="AJ53" i="4"/>
  <c r="AJ30" i="4"/>
  <c r="C23" i="3"/>
  <c r="AM11" i="4"/>
  <c r="AJ7" i="4"/>
  <c r="AJ3" i="4" s="1"/>
  <c r="AI6" i="4"/>
  <c r="B24" i="3"/>
  <c r="Q25" i="3"/>
  <c r="AM12" i="4" l="1"/>
  <c r="AM13" i="4"/>
  <c r="AL5" i="4"/>
  <c r="AL54" i="4" s="1"/>
  <c r="AK53" i="4"/>
  <c r="AK30" i="4"/>
  <c r="C24" i="3"/>
  <c r="AN11" i="4"/>
  <c r="AK7" i="4"/>
  <c r="AK3" i="4" s="1"/>
  <c r="AJ6" i="4"/>
  <c r="B25" i="3"/>
  <c r="Q26" i="3"/>
  <c r="AN17" i="4" l="1"/>
  <c r="AN15" i="4"/>
  <c r="AN12" i="4"/>
  <c r="AN13" i="4"/>
  <c r="AM5" i="4"/>
  <c r="AM54" i="4" s="1"/>
  <c r="AL53" i="4"/>
  <c r="AL30" i="4"/>
  <c r="C25" i="3"/>
  <c r="AO11" i="4"/>
  <c r="AK6" i="4"/>
  <c r="AL7" i="4"/>
  <c r="AL3" i="4" s="1"/>
  <c r="B26" i="3"/>
  <c r="Q27" i="3"/>
  <c r="AO17" i="4" l="1"/>
  <c r="AO15" i="4"/>
  <c r="AO12" i="4"/>
  <c r="AO13" i="4"/>
  <c r="AN5" i="4"/>
  <c r="AN54" i="4" s="1"/>
  <c r="AM53" i="4"/>
  <c r="AM30" i="4"/>
  <c r="C26" i="3"/>
  <c r="AP11" i="4"/>
  <c r="AM7" i="4"/>
  <c r="AM3" i="4" s="1"/>
  <c r="AL6" i="4"/>
  <c r="B27" i="3"/>
  <c r="Q28" i="3"/>
  <c r="AP17" i="4" l="1"/>
  <c r="AP15" i="4"/>
  <c r="AP12" i="4"/>
  <c r="AP13" i="4"/>
  <c r="AO5" i="4"/>
  <c r="AO54" i="4" s="1"/>
  <c r="AN53" i="4"/>
  <c r="AN30" i="4"/>
  <c r="C27" i="3"/>
  <c r="AQ11" i="4"/>
  <c r="AM6" i="4"/>
  <c r="AN7" i="4"/>
  <c r="AN3" i="4" s="1"/>
  <c r="B28" i="3"/>
  <c r="Q29" i="3"/>
  <c r="AQ17" i="4" l="1"/>
  <c r="AQ15" i="4"/>
  <c r="AQ12" i="4"/>
  <c r="AQ13" i="4"/>
  <c r="AP5" i="4"/>
  <c r="AP54" i="4" s="1"/>
  <c r="AO53" i="4"/>
  <c r="AO30" i="4"/>
  <c r="C28" i="3"/>
  <c r="AR11" i="4"/>
  <c r="AN6" i="4"/>
  <c r="AO7" i="4"/>
  <c r="AO3" i="4" s="1"/>
  <c r="B29" i="3"/>
  <c r="Q30" i="3"/>
  <c r="AR17" i="4" l="1"/>
  <c r="AR15" i="4"/>
  <c r="AR12" i="4"/>
  <c r="AR13" i="4"/>
  <c r="AQ5" i="4"/>
  <c r="AQ54" i="4" s="1"/>
  <c r="AP53" i="4"/>
  <c r="AP30" i="4"/>
  <c r="C29" i="3"/>
  <c r="AS11" i="4"/>
  <c r="AO6" i="4"/>
  <c r="AP7" i="4"/>
  <c r="AP3" i="4" s="1"/>
  <c r="B30" i="3"/>
  <c r="Q31" i="3"/>
  <c r="AS17" i="4" l="1"/>
  <c r="AS15" i="4"/>
  <c r="AS12" i="4"/>
  <c r="AS13" i="4"/>
  <c r="AR5" i="4"/>
  <c r="AR54" i="4" s="1"/>
  <c r="AQ53" i="4"/>
  <c r="AQ30" i="4"/>
  <c r="C30" i="3"/>
  <c r="AT11" i="4"/>
  <c r="AP6" i="4"/>
  <c r="AQ7" i="4"/>
  <c r="AQ3" i="4" s="1"/>
  <c r="B31" i="3"/>
  <c r="Q32" i="3"/>
  <c r="AT17" i="4" l="1"/>
  <c r="AT15" i="4"/>
  <c r="AT12" i="4"/>
  <c r="AT13" i="4"/>
  <c r="AS5" i="4"/>
  <c r="AS54" i="4" s="1"/>
  <c r="AR53" i="4"/>
  <c r="AR30" i="4"/>
  <c r="C31" i="3"/>
  <c r="AU11" i="4"/>
  <c r="AQ6" i="4"/>
  <c r="AR7" i="4"/>
  <c r="AR3" i="4" s="1"/>
  <c r="B32" i="3"/>
  <c r="Q33" i="3"/>
  <c r="AU17" i="4" l="1"/>
  <c r="AU15" i="4"/>
  <c r="AU12" i="4"/>
  <c r="AU13" i="4"/>
  <c r="AT5" i="4"/>
  <c r="AT54" i="4" s="1"/>
  <c r="AS53" i="4"/>
  <c r="AS30" i="4"/>
  <c r="C32" i="3"/>
  <c r="AV11" i="4"/>
  <c r="AR6" i="4"/>
  <c r="AS7" i="4"/>
  <c r="AS3" i="4" s="1"/>
  <c r="B33" i="3"/>
  <c r="Q34" i="3"/>
  <c r="AV17" i="4" l="1"/>
  <c r="AV15" i="4"/>
  <c r="AV12" i="4"/>
  <c r="AV13" i="4"/>
  <c r="AU5" i="4"/>
  <c r="AU54" i="4" s="1"/>
  <c r="AT53" i="4"/>
  <c r="AT30" i="4"/>
  <c r="C33" i="3"/>
  <c r="AW11" i="4"/>
  <c r="AS6" i="4"/>
  <c r="AT7" i="4"/>
  <c r="AT3" i="4" s="1"/>
  <c r="B34" i="3"/>
  <c r="Q35" i="3"/>
  <c r="AW17" i="4" l="1"/>
  <c r="AW15" i="4"/>
  <c r="AW12" i="4"/>
  <c r="AW13" i="4"/>
  <c r="G13" i="4" s="1"/>
  <c r="AV5" i="4"/>
  <c r="AV54" i="4" s="1"/>
  <c r="AU53" i="4"/>
  <c r="AU30" i="4"/>
  <c r="C34" i="3"/>
  <c r="AX11" i="4"/>
  <c r="AT6" i="4"/>
  <c r="AU7" i="4"/>
  <c r="AU3" i="4" s="1"/>
  <c r="B35" i="3"/>
  <c r="Q36" i="3"/>
  <c r="AX17" i="4" l="1"/>
  <c r="AX15" i="4"/>
  <c r="AX12" i="4"/>
  <c r="AW5" i="4"/>
  <c r="AW54" i="4" s="1"/>
  <c r="AV53" i="4"/>
  <c r="AV30" i="4"/>
  <c r="C35" i="3"/>
  <c r="AY11" i="4"/>
  <c r="AU6" i="4"/>
  <c r="AV7" i="4"/>
  <c r="AV3" i="4" s="1"/>
  <c r="B36" i="3"/>
  <c r="Q37" i="3"/>
  <c r="AY17" i="4" l="1"/>
  <c r="AY15" i="4"/>
  <c r="AY12" i="4"/>
  <c r="AX5" i="4"/>
  <c r="AX54" i="4" s="1"/>
  <c r="AW53" i="4"/>
  <c r="AW30" i="4"/>
  <c r="C36" i="3"/>
  <c r="AZ11" i="4"/>
  <c r="AV6" i="4"/>
  <c r="AW7" i="4"/>
  <c r="B37" i="3"/>
  <c r="Q38" i="3"/>
  <c r="AW3" i="4" l="1"/>
  <c r="AW90" i="4"/>
  <c r="AW88" i="4" s="1"/>
  <c r="AW84" i="4"/>
  <c r="AW96" i="4"/>
  <c r="AZ17" i="4"/>
  <c r="AZ15" i="4"/>
  <c r="AZ12" i="4"/>
  <c r="AY5" i="4"/>
  <c r="AY54" i="4" s="1"/>
  <c r="AX53" i="4"/>
  <c r="AX30" i="4"/>
  <c r="C37" i="3"/>
  <c r="BA11" i="4"/>
  <c r="AW6" i="4"/>
  <c r="AX7" i="4"/>
  <c r="B38" i="3"/>
  <c r="Q39" i="3"/>
  <c r="AX3" i="4" l="1"/>
  <c r="AX96" i="4"/>
  <c r="AX84" i="4"/>
  <c r="AX90" i="4"/>
  <c r="AX88" i="4" s="1"/>
  <c r="AX89" i="4" s="1"/>
  <c r="AX91" i="4" s="1"/>
  <c r="BA17" i="4"/>
  <c r="BA15" i="4"/>
  <c r="BA12" i="4"/>
  <c r="AW89" i="4"/>
  <c r="AW91" i="4" s="1"/>
  <c r="AZ5" i="4"/>
  <c r="AZ54" i="4" s="1"/>
  <c r="AY53" i="4"/>
  <c r="AY30" i="4"/>
  <c r="C38" i="3"/>
  <c r="BB11" i="4"/>
  <c r="AX6" i="4"/>
  <c r="AY7" i="4"/>
  <c r="B39" i="3"/>
  <c r="Q40" i="3"/>
  <c r="AY3" i="4" l="1"/>
  <c r="AY90" i="4"/>
  <c r="AY88" i="4" s="1"/>
  <c r="AY84" i="4"/>
  <c r="AY96" i="4"/>
  <c r="BB17" i="4"/>
  <c r="BB15" i="4"/>
  <c r="BB12" i="4"/>
  <c r="BA5" i="4"/>
  <c r="BA54" i="4" s="1"/>
  <c r="AZ53" i="4"/>
  <c r="AZ30" i="4"/>
  <c r="C39" i="3"/>
  <c r="BC11" i="4"/>
  <c r="AZ7" i="4"/>
  <c r="AY6" i="4"/>
  <c r="B40" i="3"/>
  <c r="Q41" i="3"/>
  <c r="AZ3" i="4" l="1"/>
  <c r="AZ84" i="4"/>
  <c r="AZ96" i="4"/>
  <c r="AZ90" i="4"/>
  <c r="AZ88" i="4" s="1"/>
  <c r="BC17" i="4"/>
  <c r="BC15" i="4"/>
  <c r="BC12" i="4"/>
  <c r="AY89" i="4"/>
  <c r="AY91" i="4" s="1"/>
  <c r="BB5" i="4"/>
  <c r="BB54" i="4" s="1"/>
  <c r="BA53" i="4"/>
  <c r="BA30" i="4"/>
  <c r="C40" i="3"/>
  <c r="BD11" i="4"/>
  <c r="BA7" i="4"/>
  <c r="AZ6" i="4"/>
  <c r="B41" i="3"/>
  <c r="Q42" i="3"/>
  <c r="BA3" i="4" l="1"/>
  <c r="BA84" i="4"/>
  <c r="BA90" i="4"/>
  <c r="BA96" i="4"/>
  <c r="BD17" i="4"/>
  <c r="BD15" i="4"/>
  <c r="BD12" i="4"/>
  <c r="BA88" i="4"/>
  <c r="AZ89" i="4"/>
  <c r="AZ91" i="4" s="1"/>
  <c r="BC5" i="4"/>
  <c r="BC54" i="4" s="1"/>
  <c r="BB53" i="4"/>
  <c r="BB30" i="4"/>
  <c r="C41" i="3"/>
  <c r="BE11" i="4"/>
  <c r="BA6" i="4"/>
  <c r="BB7" i="4"/>
  <c r="B42" i="3"/>
  <c r="Q43" i="3"/>
  <c r="BB3" i="4" l="1"/>
  <c r="BB90" i="4"/>
  <c r="BB88" i="4" s="1"/>
  <c r="BB84" i="4"/>
  <c r="BB96" i="4"/>
  <c r="BA89" i="4"/>
  <c r="BA91" i="4" s="1"/>
  <c r="BE17" i="4"/>
  <c r="BE15" i="4"/>
  <c r="BE12" i="4"/>
  <c r="BF11" i="4"/>
  <c r="BD5" i="4"/>
  <c r="BD54" i="4" s="1"/>
  <c r="BC53" i="4"/>
  <c r="BC30" i="4"/>
  <c r="C42" i="3"/>
  <c r="BC7" i="4"/>
  <c r="BB6" i="4"/>
  <c r="B43" i="3"/>
  <c r="Q44" i="3"/>
  <c r="BC3" i="4" l="1"/>
  <c r="BC84" i="4"/>
  <c r="BC96" i="4"/>
  <c r="BC90" i="4"/>
  <c r="BC88" i="4" s="1"/>
  <c r="BC89" i="4" s="1"/>
  <c r="BC91" i="4" s="1"/>
  <c r="BF12" i="4"/>
  <c r="BF17" i="4"/>
  <c r="BB89" i="4"/>
  <c r="BB91" i="4" s="1"/>
  <c r="BE5" i="4"/>
  <c r="BE54" i="4" s="1"/>
  <c r="BD53" i="4"/>
  <c r="BD30" i="4"/>
  <c r="BG11" i="4"/>
  <c r="C43" i="3"/>
  <c r="BD7" i="4"/>
  <c r="BC6" i="4"/>
  <c r="B44" i="3"/>
  <c r="Q45" i="3"/>
  <c r="BD3" i="4" l="1"/>
  <c r="BD96" i="4"/>
  <c r="BD90" i="4"/>
  <c r="BD88" i="4" s="1"/>
  <c r="BD84" i="4"/>
  <c r="BG12" i="4"/>
  <c r="G12" i="4" s="1"/>
  <c r="BG17" i="4"/>
  <c r="BH11" i="4"/>
  <c r="BF5" i="4"/>
  <c r="BE53" i="4"/>
  <c r="BE30" i="4"/>
  <c r="C44" i="3"/>
  <c r="BE7" i="4"/>
  <c r="BD6" i="4"/>
  <c r="B45" i="3"/>
  <c r="Q46" i="3"/>
  <c r="BE3" i="4" l="1"/>
  <c r="BE96" i="4"/>
  <c r="BE84" i="4"/>
  <c r="BE90" i="4"/>
  <c r="BE88" i="4" s="1"/>
  <c r="BE89" i="4" s="1"/>
  <c r="BE91" i="4" s="1"/>
  <c r="AK15" i="4"/>
  <c r="AL15" i="4"/>
  <c r="AM15" i="4"/>
  <c r="AE15" i="4"/>
  <c r="AF15" i="4"/>
  <c r="AG15" i="4"/>
  <c r="AH15" i="4"/>
  <c r="AI15" i="4"/>
  <c r="AJ15" i="4"/>
  <c r="BH12" i="4"/>
  <c r="BH17" i="4"/>
  <c r="BF54" i="4"/>
  <c r="BD89" i="4"/>
  <c r="BD91" i="4" s="1"/>
  <c r="BG5" i="4"/>
  <c r="BF53" i="4"/>
  <c r="BF30" i="4"/>
  <c r="BI11" i="4"/>
  <c r="C45" i="3"/>
  <c r="BE6" i="4"/>
  <c r="BF7" i="4"/>
  <c r="B46" i="3"/>
  <c r="Q47" i="3"/>
  <c r="BF3" i="4" l="1"/>
  <c r="BF90" i="4"/>
  <c r="BF88" i="4" s="1"/>
  <c r="BF89" i="4" s="1"/>
  <c r="BF91" i="4" s="1"/>
  <c r="BF96" i="4"/>
  <c r="BF84" i="4"/>
  <c r="BI12" i="4"/>
  <c r="BI17" i="4"/>
  <c r="BG54" i="4"/>
  <c r="BJ11" i="4"/>
  <c r="BH5" i="4"/>
  <c r="BG30" i="4"/>
  <c r="BG53" i="4"/>
  <c r="C46" i="3"/>
  <c r="BG7" i="4"/>
  <c r="BF6" i="4"/>
  <c r="B47" i="3"/>
  <c r="Q48" i="3"/>
  <c r="BG3" i="4" l="1"/>
  <c r="BG90" i="4"/>
  <c r="BG88" i="4" s="1"/>
  <c r="BG89" i="4" s="1"/>
  <c r="BG91" i="4" s="1"/>
  <c r="BG96" i="4"/>
  <c r="BG84" i="4"/>
  <c r="BJ12" i="4"/>
  <c r="BJ17" i="4"/>
  <c r="BH54" i="4"/>
  <c r="BI5" i="4"/>
  <c r="BH53" i="4"/>
  <c r="BH30" i="4"/>
  <c r="BK11" i="4"/>
  <c r="C47" i="3"/>
  <c r="BH7" i="4"/>
  <c r="BG6" i="4"/>
  <c r="B48" i="3"/>
  <c r="Q49" i="3"/>
  <c r="R49" i="3" s="1"/>
  <c r="BH3" i="4" l="1"/>
  <c r="BH96" i="4"/>
  <c r="BH84" i="4"/>
  <c r="BH90" i="4"/>
  <c r="BH88" i="4" s="1"/>
  <c r="BH89" i="4" s="1"/>
  <c r="BH91" i="4" s="1"/>
  <c r="BK12" i="4"/>
  <c r="BK17" i="4"/>
  <c r="BI54" i="4"/>
  <c r="BJ5" i="4"/>
  <c r="BI53" i="4"/>
  <c r="BI30" i="4"/>
  <c r="BL11" i="4"/>
  <c r="C48" i="3"/>
  <c r="BH6" i="4"/>
  <c r="BI7" i="4"/>
  <c r="B49" i="3"/>
  <c r="C49" i="3" s="1"/>
  <c r="Q50" i="3"/>
  <c r="R50" i="3" s="1"/>
  <c r="BI3" i="4" l="1"/>
  <c r="BI96" i="4"/>
  <c r="BI90" i="4"/>
  <c r="BI88" i="4" s="1"/>
  <c r="BI89" i="4" s="1"/>
  <c r="BI91" i="4" s="1"/>
  <c r="BI84" i="4"/>
  <c r="BL12" i="4"/>
  <c r="BL17" i="4"/>
  <c r="BJ54" i="4"/>
  <c r="BK5" i="4"/>
  <c r="BJ53" i="4"/>
  <c r="BJ30" i="4"/>
  <c r="BM11" i="4"/>
  <c r="BI6" i="4"/>
  <c r="BJ7" i="4"/>
  <c r="B50" i="3"/>
  <c r="C50" i="3" s="1"/>
  <c r="Q51" i="3"/>
  <c r="R51" i="3" s="1"/>
  <c r="BJ3" i="4" l="1"/>
  <c r="BJ84" i="4"/>
  <c r="BJ90" i="4"/>
  <c r="BJ88" i="4" s="1"/>
  <c r="BJ89" i="4" s="1"/>
  <c r="BJ91" i="4" s="1"/>
  <c r="BJ96" i="4"/>
  <c r="BM17" i="4"/>
  <c r="BM12" i="4"/>
  <c r="BM14" i="4" s="1"/>
  <c r="BK54" i="4"/>
  <c r="BN11" i="4"/>
  <c r="BL5" i="4"/>
  <c r="BK30" i="4"/>
  <c r="BK53" i="4"/>
  <c r="BJ6" i="4"/>
  <c r="BK7" i="4"/>
  <c r="B51" i="3"/>
  <c r="C51" i="3" s="1"/>
  <c r="Q52" i="3"/>
  <c r="R52" i="3" s="1"/>
  <c r="BK3" i="4" l="1"/>
  <c r="BK90" i="4"/>
  <c r="BK88" i="4" s="1"/>
  <c r="BK89" i="4" s="1"/>
  <c r="BK91" i="4" s="1"/>
  <c r="BK96" i="4"/>
  <c r="BK84" i="4"/>
  <c r="BO11" i="4"/>
  <c r="BN17" i="4"/>
  <c r="BN12" i="4"/>
  <c r="BN14" i="4" s="1"/>
  <c r="BL54" i="4"/>
  <c r="BM5" i="4"/>
  <c r="BL30" i="4"/>
  <c r="BL53" i="4"/>
  <c r="BK6" i="4"/>
  <c r="BL7" i="4"/>
  <c r="B52" i="3"/>
  <c r="C52" i="3" s="1"/>
  <c r="Q53" i="3"/>
  <c r="R53" i="3" s="1"/>
  <c r="BL3" i="4" l="1"/>
  <c r="BL96" i="4"/>
  <c r="BL84" i="4"/>
  <c r="BL90" i="4"/>
  <c r="BL88" i="4" s="1"/>
  <c r="BL89" i="4" s="1"/>
  <c r="BL91" i="4" s="1"/>
  <c r="BP11" i="4"/>
  <c r="BO17" i="4"/>
  <c r="BO12" i="4"/>
  <c r="BO14" i="4"/>
  <c r="BM54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BJ14" i="4"/>
  <c r="AY14" i="4"/>
  <c r="BI14" i="4"/>
  <c r="BC14" i="4"/>
  <c r="BL14" i="4"/>
  <c r="BA14" i="4"/>
  <c r="BB14" i="4"/>
  <c r="AX14" i="4"/>
  <c r="BH14" i="4"/>
  <c r="BG14" i="4"/>
  <c r="BE14" i="4"/>
  <c r="AZ14" i="4"/>
  <c r="BD14" i="4"/>
  <c r="BK14" i="4"/>
  <c r="BF14" i="4"/>
  <c r="AG14" i="4"/>
  <c r="W14" i="4"/>
  <c r="AH14" i="4"/>
  <c r="V14" i="4"/>
  <c r="U14" i="4"/>
  <c r="S14" i="4"/>
  <c r="X14" i="4"/>
  <c r="AV14" i="4"/>
  <c r="AD14" i="4"/>
  <c r="AM14" i="4"/>
  <c r="AA14" i="4"/>
  <c r="J14" i="4"/>
  <c r="Q14" i="4"/>
  <c r="AO14" i="4"/>
  <c r="O14" i="4"/>
  <c r="K14" i="4"/>
  <c r="P14" i="4"/>
  <c r="L14" i="4"/>
  <c r="AW14" i="4"/>
  <c r="AC14" i="4"/>
  <c r="AK14" i="4"/>
  <c r="AI14" i="4"/>
  <c r="AP14" i="4"/>
  <c r="AN14" i="4"/>
  <c r="AB14" i="4"/>
  <c r="Z14" i="4"/>
  <c r="AR14" i="4"/>
  <c r="AE14" i="4"/>
  <c r="AF14" i="4"/>
  <c r="R14" i="4"/>
  <c r="AQ14" i="4"/>
  <c r="AL14" i="4"/>
  <c r="M14" i="4"/>
  <c r="T14" i="4"/>
  <c r="N14" i="4"/>
  <c r="Y14" i="4"/>
  <c r="AT14" i="4"/>
  <c r="AU14" i="4"/>
  <c r="AJ14" i="4"/>
  <c r="AS14" i="4"/>
  <c r="BN5" i="4"/>
  <c r="BM30" i="4"/>
  <c r="BM53" i="4"/>
  <c r="BL6" i="4"/>
  <c r="BM7" i="4"/>
  <c r="B53" i="3"/>
  <c r="C53" i="3" s="1"/>
  <c r="Q54" i="3"/>
  <c r="R54" i="3" s="1"/>
  <c r="BM3" i="4" l="1"/>
  <c r="BM90" i="4"/>
  <c r="BM88" i="4" s="1"/>
  <c r="BM89" i="4" s="1"/>
  <c r="BM91" i="4" s="1"/>
  <c r="BM96" i="4"/>
  <c r="BM84" i="4"/>
  <c r="BQ11" i="4"/>
  <c r="BP17" i="4"/>
  <c r="BP12" i="4"/>
  <c r="BP14" i="4" s="1"/>
  <c r="I14" i="4"/>
  <c r="O16" i="4" s="1"/>
  <c r="I15" i="4"/>
  <c r="BN54" i="4"/>
  <c r="E54" i="4" s="1"/>
  <c r="Y48" i="4"/>
  <c r="R48" i="4"/>
  <c r="T48" i="4"/>
  <c r="AA48" i="4"/>
  <c r="AH48" i="4"/>
  <c r="AF48" i="4"/>
  <c r="Q48" i="4"/>
  <c r="AI48" i="4"/>
  <c r="J48" i="4"/>
  <c r="O48" i="4"/>
  <c r="M48" i="4"/>
  <c r="AE48" i="4"/>
  <c r="Z48" i="4"/>
  <c r="AB48" i="4"/>
  <c r="U48" i="4"/>
  <c r="AD48" i="4"/>
  <c r="AC48" i="4"/>
  <c r="S48" i="4"/>
  <c r="BO5" i="4"/>
  <c r="BP5" i="4" s="1"/>
  <c r="BQ5" i="4" s="1"/>
  <c r="BR5" i="4" s="1"/>
  <c r="BS5" i="4" s="1"/>
  <c r="BT5" i="4" s="1"/>
  <c r="BU5" i="4" s="1"/>
  <c r="BV5" i="4" s="1"/>
  <c r="BW5" i="4" s="1"/>
  <c r="BX5" i="4" s="1"/>
  <c r="BY5" i="4" s="1"/>
  <c r="BZ5" i="4" s="1"/>
  <c r="CA5" i="4" s="1"/>
  <c r="CB5" i="4" s="1"/>
  <c r="BN30" i="4"/>
  <c r="BN53" i="4"/>
  <c r="E53" i="4" s="1"/>
  <c r="E64" i="4"/>
  <c r="W48" i="4"/>
  <c r="N48" i="4"/>
  <c r="K48" i="4"/>
  <c r="AJ48" i="4"/>
  <c r="V48" i="4"/>
  <c r="AG48" i="4"/>
  <c r="P48" i="4"/>
  <c r="BM6" i="4"/>
  <c r="BN7" i="4"/>
  <c r="B54" i="3"/>
  <c r="C54" i="3" s="1"/>
  <c r="Q55" i="3"/>
  <c r="R55" i="3" s="1"/>
  <c r="BN3" i="4" l="1"/>
  <c r="BN84" i="4"/>
  <c r="BN96" i="4"/>
  <c r="BN90" i="4"/>
  <c r="AM17" i="4"/>
  <c r="AK17" i="4"/>
  <c r="AL17" i="4"/>
  <c r="BR11" i="4"/>
  <c r="BQ17" i="4"/>
  <c r="BQ12" i="4"/>
  <c r="BQ14" i="4" s="1"/>
  <c r="BQ16" i="4" s="1"/>
  <c r="BQ9" i="4" s="1"/>
  <c r="AC17" i="4"/>
  <c r="AH17" i="4"/>
  <c r="AJ17" i="4"/>
  <c r="AF17" i="4"/>
  <c r="AI17" i="4"/>
  <c r="AE17" i="4"/>
  <c r="AG17" i="4"/>
  <c r="BX24" i="4"/>
  <c r="BX48" i="4" s="1"/>
  <c r="BX26" i="4"/>
  <c r="BX50" i="4" s="1"/>
  <c r="BF16" i="4"/>
  <c r="BF9" i="4" s="1"/>
  <c r="BF22" i="4" s="1"/>
  <c r="BP16" i="4"/>
  <c r="BP9" i="4" s="1"/>
  <c r="BO16" i="4"/>
  <c r="BO9" i="4" s="1"/>
  <c r="BM16" i="4"/>
  <c r="BM9" i="4" s="1"/>
  <c r="BN16" i="4"/>
  <c r="BN9" i="4" s="1"/>
  <c r="BK16" i="4"/>
  <c r="BK9" i="4" s="1"/>
  <c r="BL16" i="4"/>
  <c r="BL9" i="4" s="1"/>
  <c r="BL22" i="4" s="1"/>
  <c r="BL46" i="4" s="1"/>
  <c r="BJ16" i="4"/>
  <c r="BJ9" i="4" s="1"/>
  <c r="BJ22" i="4" s="1"/>
  <c r="BJ46" i="4" s="1"/>
  <c r="BL23" i="4"/>
  <c r="BL47" i="4" s="1"/>
  <c r="BI16" i="4"/>
  <c r="BI9" i="4" s="1"/>
  <c r="BH16" i="4"/>
  <c r="BH9" i="4" s="1"/>
  <c r="BG16" i="4"/>
  <c r="BG9" i="4" s="1"/>
  <c r="U16" i="4"/>
  <c r="U9" i="4" s="1"/>
  <c r="BC16" i="4"/>
  <c r="BC9" i="4" s="1"/>
  <c r="J16" i="4"/>
  <c r="AB17" i="4"/>
  <c r="AB16" i="4"/>
  <c r="AB9" i="4" s="1"/>
  <c r="U17" i="4"/>
  <c r="AM16" i="4"/>
  <c r="AM9" i="4" s="1"/>
  <c r="BA16" i="4"/>
  <c r="BA9" i="4" s="1"/>
  <c r="AZ16" i="4"/>
  <c r="AZ9" i="4" s="1"/>
  <c r="AA17" i="4"/>
  <c r="AQ16" i="4"/>
  <c r="AQ9" i="4" s="1"/>
  <c r="AV16" i="4"/>
  <c r="AV9" i="4" s="1"/>
  <c r="AD17" i="4"/>
  <c r="Z17" i="4"/>
  <c r="AE16" i="4"/>
  <c r="AE9" i="4" s="1"/>
  <c r="Q16" i="4"/>
  <c r="Q9" i="4" s="1"/>
  <c r="BD16" i="4"/>
  <c r="BD9" i="4" s="1"/>
  <c r="AF16" i="4"/>
  <c r="AF9" i="4" s="1"/>
  <c r="O17" i="4"/>
  <c r="M17" i="4"/>
  <c r="L17" i="4"/>
  <c r="T16" i="4"/>
  <c r="T9" i="4" s="1"/>
  <c r="K16" i="4"/>
  <c r="K9" i="4" s="1"/>
  <c r="BB16" i="4"/>
  <c r="BB9" i="4" s="1"/>
  <c r="AC16" i="4"/>
  <c r="AC9" i="4" s="1"/>
  <c r="BE16" i="4"/>
  <c r="BE9" i="4" s="1"/>
  <c r="S17" i="4"/>
  <c r="AG16" i="4"/>
  <c r="AG9" i="4" s="1"/>
  <c r="P16" i="4"/>
  <c r="P9" i="4" s="1"/>
  <c r="AK16" i="4"/>
  <c r="AK9" i="4" s="1"/>
  <c r="X16" i="4"/>
  <c r="X9" i="4" s="1"/>
  <c r="P17" i="4"/>
  <c r="W16" i="4"/>
  <c r="W9" i="4" s="1"/>
  <c r="AT16" i="4"/>
  <c r="AT9" i="4" s="1"/>
  <c r="AP16" i="4"/>
  <c r="AP9" i="4" s="1"/>
  <c r="W17" i="4"/>
  <c r="R17" i="4"/>
  <c r="AU16" i="4"/>
  <c r="AU9" i="4" s="1"/>
  <c r="AS16" i="4"/>
  <c r="AS9" i="4" s="1"/>
  <c r="AX16" i="4"/>
  <c r="AX9" i="4" s="1"/>
  <c r="V16" i="4"/>
  <c r="V9" i="4" s="1"/>
  <c r="AD16" i="4"/>
  <c r="AD9" i="4" s="1"/>
  <c r="Q17" i="4"/>
  <c r="Y16" i="4"/>
  <c r="Y9" i="4" s="1"/>
  <c r="R16" i="4"/>
  <c r="R9" i="4" s="1"/>
  <c r="AR16" i="4"/>
  <c r="AR9" i="4" s="1"/>
  <c r="X17" i="4"/>
  <c r="N17" i="4"/>
  <c r="K17" i="4"/>
  <c r="Y17" i="4"/>
  <c r="BM26" i="4" s="1"/>
  <c r="BM50" i="4" s="1"/>
  <c r="Z16" i="4"/>
  <c r="Z9" i="4" s="1"/>
  <c r="AI16" i="4"/>
  <c r="AI9" i="4" s="1"/>
  <c r="AH16" i="4"/>
  <c r="AH9" i="4" s="1"/>
  <c r="AJ16" i="4"/>
  <c r="AJ9" i="4" s="1"/>
  <c r="L16" i="4"/>
  <c r="L9" i="4" s="1"/>
  <c r="AO16" i="4"/>
  <c r="AO9" i="4" s="1"/>
  <c r="J17" i="4"/>
  <c r="V17" i="4"/>
  <c r="AY16" i="4"/>
  <c r="AY9" i="4" s="1"/>
  <c r="AW16" i="4"/>
  <c r="AW9" i="4" s="1"/>
  <c r="AN16" i="4"/>
  <c r="AN9" i="4" s="1"/>
  <c r="T17" i="4"/>
  <c r="AL16" i="4"/>
  <c r="AL9" i="4" s="1"/>
  <c r="N16" i="4"/>
  <c r="N9" i="4" s="1"/>
  <c r="AA16" i="4"/>
  <c r="AA9" i="4" s="1"/>
  <c r="S16" i="4"/>
  <c r="S9" i="4" s="1"/>
  <c r="M16" i="4"/>
  <c r="M9" i="4" s="1"/>
  <c r="O9" i="4"/>
  <c r="U10" i="11"/>
  <c r="L10" i="11"/>
  <c r="T10" i="11"/>
  <c r="O10" i="11"/>
  <c r="P10" i="11"/>
  <c r="S10" i="11"/>
  <c r="Q10" i="11"/>
  <c r="R10" i="11"/>
  <c r="N10" i="11"/>
  <c r="M10" i="11"/>
  <c r="V10" i="11"/>
  <c r="BN88" i="4"/>
  <c r="BN89" i="4" s="1"/>
  <c r="BN91" i="4" s="1"/>
  <c r="L10" i="6"/>
  <c r="T10" i="6"/>
  <c r="S10" i="6"/>
  <c r="Q10" i="6"/>
  <c r="O10" i="6"/>
  <c r="M10" i="6"/>
  <c r="U10" i="6"/>
  <c r="P10" i="6"/>
  <c r="R10" i="6"/>
  <c r="V10" i="6"/>
  <c r="N10" i="6"/>
  <c r="BN6" i="4"/>
  <c r="BO7" i="4"/>
  <c r="B55" i="3"/>
  <c r="C55" i="3" s="1"/>
  <c r="Q56" i="3"/>
  <c r="R56" i="3" s="1"/>
  <c r="BO3" i="4" l="1"/>
  <c r="BO90" i="4"/>
  <c r="BO96" i="4"/>
  <c r="BO84" i="4"/>
  <c r="BZ24" i="4"/>
  <c r="BZ48" i="4" s="1"/>
  <c r="BZ26" i="4"/>
  <c r="BZ50" i="4" s="1"/>
  <c r="BY24" i="4"/>
  <c r="BY48" i="4" s="1"/>
  <c r="BY26" i="4"/>
  <c r="BY50" i="4" s="1"/>
  <c r="CA24" i="4"/>
  <c r="CA48" i="4" s="1"/>
  <c r="CA26" i="4"/>
  <c r="CA50" i="4" s="1"/>
  <c r="BM24" i="4"/>
  <c r="BM48" i="4" s="1"/>
  <c r="BF23" i="4"/>
  <c r="BF47" i="4" s="1"/>
  <c r="BS11" i="4"/>
  <c r="BR17" i="4"/>
  <c r="BR12" i="4"/>
  <c r="BR14" i="4" s="1"/>
  <c r="BR16" i="4" s="1"/>
  <c r="BR9" i="4" s="1"/>
  <c r="BM23" i="4"/>
  <c r="BM47" i="4" s="1"/>
  <c r="BM22" i="4"/>
  <c r="BM46" i="4" s="1"/>
  <c r="BU24" i="4"/>
  <c r="BU48" i="4" s="1"/>
  <c r="BU26" i="4"/>
  <c r="BU50" i="4" s="1"/>
  <c r="BN26" i="4"/>
  <c r="BN50" i="4" s="1"/>
  <c r="BN24" i="4"/>
  <c r="BN48" i="4" s="1"/>
  <c r="BF26" i="4"/>
  <c r="BF50" i="4" s="1"/>
  <c r="BQ26" i="4"/>
  <c r="BQ50" i="4" s="1"/>
  <c r="BQ24" i="4"/>
  <c r="BQ48" i="4" s="1"/>
  <c r="BP28" i="4"/>
  <c r="BP52" i="4" s="1"/>
  <c r="BP22" i="4"/>
  <c r="BP46" i="4" s="1"/>
  <c r="BP21" i="4"/>
  <c r="BP45" i="4" s="1"/>
  <c r="BP23" i="4"/>
  <c r="BP47" i="4" s="1"/>
  <c r="BP38" i="4"/>
  <c r="BP62" i="4" s="1"/>
  <c r="BP34" i="4"/>
  <c r="BP58" i="4" s="1"/>
  <c r="BO26" i="4"/>
  <c r="BO50" i="4" s="1"/>
  <c r="BO24" i="4"/>
  <c r="BO48" i="4" s="1"/>
  <c r="BO22" i="4"/>
  <c r="BO46" i="4" s="1"/>
  <c r="BO28" i="4"/>
  <c r="BO52" i="4" s="1"/>
  <c r="BO21" i="4"/>
  <c r="BO45" i="4" s="1"/>
  <c r="BO23" i="4"/>
  <c r="BO47" i="4" s="1"/>
  <c r="BO38" i="4"/>
  <c r="BO62" i="4" s="1"/>
  <c r="BO34" i="4"/>
  <c r="BO58" i="4" s="1"/>
  <c r="BQ23" i="4"/>
  <c r="BQ47" i="4" s="1"/>
  <c r="BQ22" i="4"/>
  <c r="BQ46" i="4" s="1"/>
  <c r="BQ21" i="4"/>
  <c r="BQ45" i="4" s="1"/>
  <c r="BQ28" i="4"/>
  <c r="BQ52" i="4" s="1"/>
  <c r="BQ38" i="4"/>
  <c r="BQ62" i="4" s="1"/>
  <c r="BQ34" i="4"/>
  <c r="BQ58" i="4" s="1"/>
  <c r="BV24" i="4"/>
  <c r="BV48" i="4" s="1"/>
  <c r="BV26" i="4"/>
  <c r="BV50" i="4" s="1"/>
  <c r="BN21" i="4"/>
  <c r="BN45" i="4" s="1"/>
  <c r="BN22" i="4"/>
  <c r="BN46" i="4" s="1"/>
  <c r="BN23" i="4"/>
  <c r="BN47" i="4" s="1"/>
  <c r="BN34" i="4"/>
  <c r="BN58" i="4" s="1"/>
  <c r="BN38" i="4"/>
  <c r="BN62" i="4" s="1"/>
  <c r="BN28" i="4"/>
  <c r="BN52" i="4" s="1"/>
  <c r="BR26" i="4"/>
  <c r="BR50" i="4" s="1"/>
  <c r="BR24" i="4"/>
  <c r="BR48" i="4" s="1"/>
  <c r="BW24" i="4"/>
  <c r="BW48" i="4" s="1"/>
  <c r="BW26" i="4"/>
  <c r="BW50" i="4" s="1"/>
  <c r="BS24" i="4"/>
  <c r="BS48" i="4" s="1"/>
  <c r="BS26" i="4"/>
  <c r="BS50" i="4" s="1"/>
  <c r="BP26" i="4"/>
  <c r="BP50" i="4" s="1"/>
  <c r="BP24" i="4"/>
  <c r="BP48" i="4" s="1"/>
  <c r="BT24" i="4"/>
  <c r="BT48" i="4" s="1"/>
  <c r="BT26" i="4"/>
  <c r="BT50" i="4" s="1"/>
  <c r="BJ23" i="4"/>
  <c r="BJ47" i="4" s="1"/>
  <c r="BG26" i="4"/>
  <c r="BG50" i="4" s="1"/>
  <c r="BH26" i="4"/>
  <c r="BH50" i="4" s="1"/>
  <c r="BI26" i="4"/>
  <c r="BI50" i="4" s="1"/>
  <c r="AQ26" i="4"/>
  <c r="AQ50" i="4" s="1"/>
  <c r="BK26" i="4"/>
  <c r="BK50" i="4" s="1"/>
  <c r="BK24" i="4"/>
  <c r="BK48" i="4" s="1"/>
  <c r="BL26" i="4"/>
  <c r="BL50" i="4" s="1"/>
  <c r="BL24" i="4"/>
  <c r="BL48" i="4" s="1"/>
  <c r="BE26" i="4"/>
  <c r="BE50" i="4" s="1"/>
  <c r="BJ26" i="4"/>
  <c r="BJ50" i="4" s="1"/>
  <c r="BJ24" i="4"/>
  <c r="BJ48" i="4" s="1"/>
  <c r="BD26" i="4"/>
  <c r="BD50" i="4" s="1"/>
  <c r="AT26" i="4"/>
  <c r="AT50" i="4" s="1"/>
  <c r="BB26" i="4"/>
  <c r="BB50" i="4" s="1"/>
  <c r="AR26" i="4"/>
  <c r="AR50" i="4" s="1"/>
  <c r="AU26" i="4"/>
  <c r="AU50" i="4" s="1"/>
  <c r="AK26" i="4"/>
  <c r="AK50" i="4" s="1"/>
  <c r="AW26" i="4"/>
  <c r="AW50" i="4" s="1"/>
  <c r="AM26" i="4"/>
  <c r="AM50" i="4" s="1"/>
  <c r="BC26" i="4"/>
  <c r="BC50" i="4" s="1"/>
  <c r="AS26" i="4"/>
  <c r="AS50" i="4" s="1"/>
  <c r="AX26" i="4"/>
  <c r="AX50" i="4" s="1"/>
  <c r="AN26" i="4"/>
  <c r="AN50" i="4" s="1"/>
  <c r="AV26" i="4"/>
  <c r="AV50" i="4" s="1"/>
  <c r="AL26" i="4"/>
  <c r="AL50" i="4" s="1"/>
  <c r="AY26" i="4"/>
  <c r="AY50" i="4" s="1"/>
  <c r="AO26" i="4"/>
  <c r="AO50" i="4" s="1"/>
  <c r="AZ26" i="4"/>
  <c r="AZ50" i="4" s="1"/>
  <c r="AP26" i="4"/>
  <c r="AP50" i="4" s="1"/>
  <c r="BC24" i="4"/>
  <c r="BC48" i="4" s="1"/>
  <c r="BA26" i="4"/>
  <c r="BA50" i="4" s="1"/>
  <c r="Y23" i="4"/>
  <c r="Y47" i="4" s="1"/>
  <c r="Y22" i="4"/>
  <c r="Y46" i="4" s="1"/>
  <c r="Y50" i="4"/>
  <c r="BG23" i="4"/>
  <c r="BG47" i="4" s="1"/>
  <c r="BG22" i="4"/>
  <c r="BG46" i="4" s="1"/>
  <c r="AY23" i="4"/>
  <c r="AY47" i="4" s="1"/>
  <c r="AY22" i="4"/>
  <c r="AY46" i="4" s="1"/>
  <c r="AA23" i="4"/>
  <c r="AA47" i="4" s="1"/>
  <c r="AA22" i="4"/>
  <c r="AA46" i="4" s="1"/>
  <c r="AA50" i="4"/>
  <c r="AK23" i="4"/>
  <c r="AK47" i="4" s="1"/>
  <c r="AK22" i="4"/>
  <c r="AK46" i="4" s="1"/>
  <c r="BE23" i="4"/>
  <c r="BE47" i="4" s="1"/>
  <c r="BE22" i="4"/>
  <c r="BE46" i="4" s="1"/>
  <c r="AX22" i="4"/>
  <c r="AX46" i="4" s="1"/>
  <c r="AX23" i="4"/>
  <c r="AX47" i="4" s="1"/>
  <c r="BI22" i="4"/>
  <c r="BI46" i="4" s="1"/>
  <c r="BI23" i="4"/>
  <c r="BI47" i="4" s="1"/>
  <c r="V23" i="4"/>
  <c r="V47" i="4" s="1"/>
  <c r="V22" i="4"/>
  <c r="V46" i="4" s="1"/>
  <c r="V50" i="4"/>
  <c r="N22" i="4"/>
  <c r="N46" i="4" s="1"/>
  <c r="N50" i="4"/>
  <c r="N23" i="4"/>
  <c r="N47" i="4" s="1"/>
  <c r="AL22" i="4"/>
  <c r="AL46" i="4" s="1"/>
  <c r="AL23" i="4"/>
  <c r="AL47" i="4" s="1"/>
  <c r="AR23" i="4"/>
  <c r="AR47" i="4" s="1"/>
  <c r="AR22" i="4"/>
  <c r="AR46" i="4" s="1"/>
  <c r="AN23" i="4"/>
  <c r="AN47" i="4" s="1"/>
  <c r="AN22" i="4"/>
  <c r="AN46" i="4" s="1"/>
  <c r="AG22" i="4"/>
  <c r="AG46" i="4" s="1"/>
  <c r="AG50" i="4"/>
  <c r="AG23" i="4"/>
  <c r="AG47" i="4" s="1"/>
  <c r="AO23" i="4"/>
  <c r="AO47" i="4" s="1"/>
  <c r="AO22" i="4"/>
  <c r="AO46" i="4" s="1"/>
  <c r="L22" i="4"/>
  <c r="L46" i="4" s="1"/>
  <c r="L50" i="4"/>
  <c r="L23" i="4"/>
  <c r="L47" i="4" s="1"/>
  <c r="BK22" i="4"/>
  <c r="BK46" i="4" s="1"/>
  <c r="BK23" i="4"/>
  <c r="BK47" i="4" s="1"/>
  <c r="BD22" i="4"/>
  <c r="BD46" i="4" s="1"/>
  <c r="BD23" i="4"/>
  <c r="BD47" i="4" s="1"/>
  <c r="X23" i="4"/>
  <c r="X47" i="4" s="1"/>
  <c r="X22" i="4"/>
  <c r="X46" i="4" s="1"/>
  <c r="X50" i="4"/>
  <c r="P50" i="4"/>
  <c r="P22" i="4"/>
  <c r="P46" i="4" s="1"/>
  <c r="P23" i="4"/>
  <c r="P47" i="4" s="1"/>
  <c r="AC28" i="4"/>
  <c r="AC52" i="4" s="1"/>
  <c r="AC22" i="4"/>
  <c r="AC46" i="4" s="1"/>
  <c r="AC50" i="4"/>
  <c r="AC23" i="4"/>
  <c r="AC47" i="4" s="1"/>
  <c r="BA22" i="4"/>
  <c r="BA46" i="4" s="1"/>
  <c r="BA23" i="4"/>
  <c r="BA47" i="4" s="1"/>
  <c r="O22" i="4"/>
  <c r="O46" i="4" s="1"/>
  <c r="O23" i="4"/>
  <c r="O47" i="4" s="1"/>
  <c r="O50" i="4"/>
  <c r="AS22" i="4"/>
  <c r="AS46" i="4" s="1"/>
  <c r="AS23" i="4"/>
  <c r="AS47" i="4" s="1"/>
  <c r="AM23" i="4"/>
  <c r="AM47" i="4" s="1"/>
  <c r="AM22" i="4"/>
  <c r="AM46" i="4" s="1"/>
  <c r="AJ50" i="4"/>
  <c r="AJ23" i="4"/>
  <c r="AJ47" i="4" s="1"/>
  <c r="AJ22" i="4"/>
  <c r="AJ46" i="4" s="1"/>
  <c r="T22" i="4"/>
  <c r="T46" i="4" s="1"/>
  <c r="T50" i="4"/>
  <c r="T23" i="4"/>
  <c r="T47" i="4" s="1"/>
  <c r="AH22" i="4"/>
  <c r="AH46" i="4" s="1"/>
  <c r="AH50" i="4"/>
  <c r="AH23" i="4"/>
  <c r="AH47" i="4" s="1"/>
  <c r="AB22" i="4"/>
  <c r="AB46" i="4" s="1"/>
  <c r="AB50" i="4"/>
  <c r="AB23" i="4"/>
  <c r="AB47" i="4" s="1"/>
  <c r="W23" i="4"/>
  <c r="W47" i="4" s="1"/>
  <c r="W22" i="4"/>
  <c r="W46" i="4" s="1"/>
  <c r="W50" i="4"/>
  <c r="BH22" i="4"/>
  <c r="BH46" i="4" s="1"/>
  <c r="BH23" i="4"/>
  <c r="BH47" i="4" s="1"/>
  <c r="AQ23" i="4"/>
  <c r="AQ47" i="4" s="1"/>
  <c r="AQ22" i="4"/>
  <c r="AQ46" i="4" s="1"/>
  <c r="AI22" i="4"/>
  <c r="AI46" i="4" s="1"/>
  <c r="AI50" i="4"/>
  <c r="AI23" i="4"/>
  <c r="AI47" i="4" s="1"/>
  <c r="Q50" i="4"/>
  <c r="Q22" i="4"/>
  <c r="Q46" i="4" s="1"/>
  <c r="Q23" i="4"/>
  <c r="Q47" i="4" s="1"/>
  <c r="AW23" i="4"/>
  <c r="AW47" i="4" s="1"/>
  <c r="AW22" i="4"/>
  <c r="AW46" i="4" s="1"/>
  <c r="AD22" i="4"/>
  <c r="AD46" i="4" s="1"/>
  <c r="AD23" i="4"/>
  <c r="AD47" i="4" s="1"/>
  <c r="AD50" i="4"/>
  <c r="AZ22" i="4"/>
  <c r="AZ46" i="4" s="1"/>
  <c r="AZ23" i="4"/>
  <c r="AZ47" i="4" s="1"/>
  <c r="BB23" i="4"/>
  <c r="BB47" i="4" s="1"/>
  <c r="BB22" i="4"/>
  <c r="BB46" i="4" s="1"/>
  <c r="K23" i="4"/>
  <c r="K47" i="4" s="1"/>
  <c r="K22" i="4"/>
  <c r="K46" i="4" s="1"/>
  <c r="K50" i="4"/>
  <c r="AU22" i="4"/>
  <c r="AU46" i="4" s="1"/>
  <c r="AU23" i="4"/>
  <c r="AU47" i="4" s="1"/>
  <c r="M22" i="4"/>
  <c r="M46" i="4" s="1"/>
  <c r="M50" i="4"/>
  <c r="M23" i="4"/>
  <c r="M47" i="4" s="1"/>
  <c r="Z50" i="4"/>
  <c r="Z23" i="4"/>
  <c r="Z47" i="4" s="1"/>
  <c r="Z22" i="4"/>
  <c r="Z46" i="4" s="1"/>
  <c r="AP23" i="4"/>
  <c r="AP47" i="4" s="1"/>
  <c r="AP22" i="4"/>
  <c r="AP46" i="4" s="1"/>
  <c r="U50" i="4"/>
  <c r="U22" i="4"/>
  <c r="U46" i="4" s="1"/>
  <c r="U23" i="4"/>
  <c r="U47" i="4" s="1"/>
  <c r="AE22" i="4"/>
  <c r="AE46" i="4" s="1"/>
  <c r="AE50" i="4"/>
  <c r="AE23" i="4"/>
  <c r="AE47" i="4" s="1"/>
  <c r="R22" i="4"/>
  <c r="R46" i="4" s="1"/>
  <c r="R50" i="4"/>
  <c r="R23" i="4"/>
  <c r="R47" i="4" s="1"/>
  <c r="AV22" i="4"/>
  <c r="AV46" i="4" s="1"/>
  <c r="AV23" i="4"/>
  <c r="AV47" i="4" s="1"/>
  <c r="S50" i="4"/>
  <c r="S22" i="4"/>
  <c r="S46" i="4" s="1"/>
  <c r="S23" i="4"/>
  <c r="S47" i="4" s="1"/>
  <c r="BF24" i="4"/>
  <c r="BF48" i="4" s="1"/>
  <c r="AT22" i="4"/>
  <c r="AT46" i="4" s="1"/>
  <c r="AT23" i="4"/>
  <c r="AT47" i="4" s="1"/>
  <c r="AF23" i="4"/>
  <c r="AF47" i="4" s="1"/>
  <c r="AF22" i="4"/>
  <c r="AF46" i="4" s="1"/>
  <c r="AF50" i="4"/>
  <c r="BC23" i="4"/>
  <c r="BC47" i="4" s="1"/>
  <c r="BC22" i="4"/>
  <c r="BC46" i="4" s="1"/>
  <c r="BF46" i="4"/>
  <c r="BH24" i="4"/>
  <c r="BH48" i="4" s="1"/>
  <c r="BI24" i="4"/>
  <c r="BI48" i="4" s="1"/>
  <c r="BG24" i="4"/>
  <c r="BG48" i="4" s="1"/>
  <c r="I17" i="4"/>
  <c r="I16" i="4"/>
  <c r="J9" i="4"/>
  <c r="BA24" i="4"/>
  <c r="BA48" i="4" s="1"/>
  <c r="AX24" i="4"/>
  <c r="AX48" i="4" s="1"/>
  <c r="AY24" i="4"/>
  <c r="AY48" i="4" s="1"/>
  <c r="AU24" i="4"/>
  <c r="AU48" i="4" s="1"/>
  <c r="AK24" i="4"/>
  <c r="AK48" i="4" s="1"/>
  <c r="AT24" i="4"/>
  <c r="AT48" i="4" s="1"/>
  <c r="AN24" i="4"/>
  <c r="AN48" i="4" s="1"/>
  <c r="BE24" i="4"/>
  <c r="BE48" i="4" s="1"/>
  <c r="AC34" i="4"/>
  <c r="AC58" i="4" s="1"/>
  <c r="AC38" i="4"/>
  <c r="AC62" i="4" s="1"/>
  <c r="AS24" i="4"/>
  <c r="AS48" i="4" s="1"/>
  <c r="AC21" i="4"/>
  <c r="AC45" i="4" s="1"/>
  <c r="AQ24" i="4"/>
  <c r="AQ48" i="4" s="1"/>
  <c r="AM24" i="4"/>
  <c r="AM48" i="4" s="1"/>
  <c r="AR24" i="4"/>
  <c r="AR48" i="4" s="1"/>
  <c r="BD24" i="4"/>
  <c r="BD48" i="4" s="1"/>
  <c r="AP24" i="4"/>
  <c r="AP48" i="4" s="1"/>
  <c r="AW24" i="4"/>
  <c r="AW48" i="4" s="1"/>
  <c r="BB24" i="4"/>
  <c r="BB48" i="4" s="1"/>
  <c r="AZ24" i="4"/>
  <c r="AZ48" i="4" s="1"/>
  <c r="AL24" i="4"/>
  <c r="AL48" i="4" s="1"/>
  <c r="AV24" i="4"/>
  <c r="AV48" i="4" s="1"/>
  <c r="AO24" i="4"/>
  <c r="AO48" i="4" s="1"/>
  <c r="BP7" i="4"/>
  <c r="O28" i="4"/>
  <c r="O52" i="4" s="1"/>
  <c r="O21" i="4"/>
  <c r="O45" i="4" s="1"/>
  <c r="O38" i="4"/>
  <c r="O62" i="4" s="1"/>
  <c r="O34" i="4"/>
  <c r="O58" i="4" s="1"/>
  <c r="AE34" i="4"/>
  <c r="AE58" i="4" s="1"/>
  <c r="AE21" i="4"/>
  <c r="AE45" i="4" s="1"/>
  <c r="AE28" i="4"/>
  <c r="AE52" i="4" s="1"/>
  <c r="AE38" i="4"/>
  <c r="AE62" i="4" s="1"/>
  <c r="AI21" i="4"/>
  <c r="AI45" i="4" s="1"/>
  <c r="AI28" i="4"/>
  <c r="AI52" i="4" s="1"/>
  <c r="AI34" i="4"/>
  <c r="AI58" i="4" s="1"/>
  <c r="AI38" i="4"/>
  <c r="AI62" i="4" s="1"/>
  <c r="M34" i="4"/>
  <c r="M58" i="4" s="1"/>
  <c r="M21" i="4"/>
  <c r="M45" i="4" s="1"/>
  <c r="M28" i="4"/>
  <c r="M52" i="4" s="1"/>
  <c r="M38" i="4"/>
  <c r="M62" i="4" s="1"/>
  <c r="BD21" i="4"/>
  <c r="BD28" i="4"/>
  <c r="BD52" i="4" s="1"/>
  <c r="BD38" i="4"/>
  <c r="BD62" i="4" s="1"/>
  <c r="BD34" i="4"/>
  <c r="BD58" i="4" s="1"/>
  <c r="X48" i="4"/>
  <c r="X21" i="4"/>
  <c r="X45" i="4" s="1"/>
  <c r="X38" i="4"/>
  <c r="X62" i="4" s="1"/>
  <c r="X34" i="4"/>
  <c r="X58" i="4" s="1"/>
  <c r="X28" i="4"/>
  <c r="X52" i="4" s="1"/>
  <c r="BH28" i="4"/>
  <c r="BH52" i="4" s="1"/>
  <c r="BH34" i="4"/>
  <c r="BH58" i="4" s="1"/>
  <c r="BH38" i="4"/>
  <c r="BH62" i="4" s="1"/>
  <c r="BH21" i="4"/>
  <c r="S21" i="4"/>
  <c r="S45" i="4" s="1"/>
  <c r="S38" i="4"/>
  <c r="S62" i="4" s="1"/>
  <c r="S28" i="4"/>
  <c r="S52" i="4" s="1"/>
  <c r="S34" i="4"/>
  <c r="S58" i="4" s="1"/>
  <c r="AR34" i="4"/>
  <c r="AR58" i="4" s="1"/>
  <c r="AR21" i="4"/>
  <c r="AR45" i="4" s="1"/>
  <c r="AR28" i="4"/>
  <c r="AR52" i="4" s="1"/>
  <c r="AR38" i="4"/>
  <c r="AR62" i="4" s="1"/>
  <c r="AU21" i="4"/>
  <c r="AU45" i="4" s="1"/>
  <c r="AU38" i="4"/>
  <c r="AU62" i="4" s="1"/>
  <c r="AU28" i="4"/>
  <c r="AU52" i="4" s="1"/>
  <c r="AU34" i="4"/>
  <c r="AU58" i="4" s="1"/>
  <c r="BG21" i="4"/>
  <c r="BG28" i="4"/>
  <c r="BG52" i="4" s="1"/>
  <c r="BG34" i="4"/>
  <c r="BG58" i="4" s="1"/>
  <c r="BG38" i="4"/>
  <c r="BG62" i="4" s="1"/>
  <c r="BJ38" i="4"/>
  <c r="BJ62" i="4" s="1"/>
  <c r="BJ34" i="4"/>
  <c r="BJ58" i="4" s="1"/>
  <c r="BJ28" i="4"/>
  <c r="BJ52" i="4" s="1"/>
  <c r="BJ21" i="4"/>
  <c r="AZ28" i="4"/>
  <c r="AZ52" i="4" s="1"/>
  <c r="AZ21" i="4"/>
  <c r="AZ34" i="4"/>
  <c r="AZ58" i="4" s="1"/>
  <c r="AZ38" i="4"/>
  <c r="AZ62" i="4" s="1"/>
  <c r="R38" i="4"/>
  <c r="R62" i="4" s="1"/>
  <c r="R21" i="4"/>
  <c r="R45" i="4" s="1"/>
  <c r="R28" i="4"/>
  <c r="R52" i="4" s="1"/>
  <c r="R34" i="4"/>
  <c r="R58" i="4" s="1"/>
  <c r="N28" i="4"/>
  <c r="N52" i="4" s="1"/>
  <c r="N34" i="4"/>
  <c r="N58" i="4" s="1"/>
  <c r="N38" i="4"/>
  <c r="N62" i="4" s="1"/>
  <c r="N21" i="4"/>
  <c r="N45" i="4" s="1"/>
  <c r="W34" i="4"/>
  <c r="W58" i="4" s="1"/>
  <c r="W38" i="4"/>
  <c r="W62" i="4" s="1"/>
  <c r="W28" i="4"/>
  <c r="W52" i="4" s="1"/>
  <c r="W21" i="4"/>
  <c r="W45" i="4" s="1"/>
  <c r="Q21" i="4"/>
  <c r="Q45" i="4" s="1"/>
  <c r="Q38" i="4"/>
  <c r="Q62" i="4" s="1"/>
  <c r="Q28" i="4"/>
  <c r="Q52" i="4" s="1"/>
  <c r="Q34" i="4"/>
  <c r="Q58" i="4" s="1"/>
  <c r="AQ21" i="4"/>
  <c r="AQ45" i="4" s="1"/>
  <c r="AQ34" i="4"/>
  <c r="AQ58" i="4" s="1"/>
  <c r="AQ38" i="4"/>
  <c r="AQ62" i="4" s="1"/>
  <c r="AQ28" i="4"/>
  <c r="AQ52" i="4" s="1"/>
  <c r="BM38" i="4"/>
  <c r="BM62" i="4" s="1"/>
  <c r="BM21" i="4"/>
  <c r="BM34" i="4"/>
  <c r="BM58" i="4" s="1"/>
  <c r="BM28" i="4"/>
  <c r="BM52" i="4" s="1"/>
  <c r="AF28" i="4"/>
  <c r="AF52" i="4" s="1"/>
  <c r="AF38" i="4"/>
  <c r="AF62" i="4" s="1"/>
  <c r="AF21" i="4"/>
  <c r="AF45" i="4" s="1"/>
  <c r="AF34" i="4"/>
  <c r="AF58" i="4" s="1"/>
  <c r="BA21" i="4"/>
  <c r="BA38" i="4"/>
  <c r="BA62" i="4" s="1"/>
  <c r="BA34" i="4"/>
  <c r="BA58" i="4" s="1"/>
  <c r="BA28" i="4"/>
  <c r="BA52" i="4" s="1"/>
  <c r="V38" i="4"/>
  <c r="V62" i="4" s="1"/>
  <c r="V34" i="4"/>
  <c r="V58" i="4" s="1"/>
  <c r="V21" i="4"/>
  <c r="V45" i="4" s="1"/>
  <c r="V28" i="4"/>
  <c r="V52" i="4" s="1"/>
  <c r="AM38" i="4"/>
  <c r="AM62" i="4" s="1"/>
  <c r="AM21" i="4"/>
  <c r="AM45" i="4" s="1"/>
  <c r="AM34" i="4"/>
  <c r="AM58" i="4" s="1"/>
  <c r="AM28" i="4"/>
  <c r="AM52" i="4" s="1"/>
  <c r="BK21" i="4"/>
  <c r="BK38" i="4"/>
  <c r="BK62" i="4" s="1"/>
  <c r="BK28" i="4"/>
  <c r="BK52" i="4" s="1"/>
  <c r="BK34" i="4"/>
  <c r="BK58" i="4" s="1"/>
  <c r="BE34" i="4"/>
  <c r="BE58" i="4" s="1"/>
  <c r="BE21" i="4"/>
  <c r="BE38" i="4"/>
  <c r="BE62" i="4" s="1"/>
  <c r="BE28" i="4"/>
  <c r="BE52" i="4" s="1"/>
  <c r="BC21" i="4"/>
  <c r="BC28" i="4"/>
  <c r="BC52" i="4" s="1"/>
  <c r="BC34" i="4"/>
  <c r="BC58" i="4" s="1"/>
  <c r="BC38" i="4"/>
  <c r="BC62" i="4" s="1"/>
  <c r="AT21" i="4"/>
  <c r="AT45" i="4" s="1"/>
  <c r="AT34" i="4"/>
  <c r="AT58" i="4" s="1"/>
  <c r="AT38" i="4"/>
  <c r="AT62" i="4" s="1"/>
  <c r="AT28" i="4"/>
  <c r="AT52" i="4" s="1"/>
  <c r="AV21" i="4"/>
  <c r="AV45" i="4" s="1"/>
  <c r="AV38" i="4"/>
  <c r="AV62" i="4" s="1"/>
  <c r="AV28" i="4"/>
  <c r="AV52" i="4" s="1"/>
  <c r="AV34" i="4"/>
  <c r="AV58" i="4" s="1"/>
  <c r="AJ21" i="4"/>
  <c r="AJ45" i="4" s="1"/>
  <c r="AJ34" i="4"/>
  <c r="AJ58" i="4" s="1"/>
  <c r="AJ38" i="4"/>
  <c r="AJ62" i="4" s="1"/>
  <c r="AJ28" i="4"/>
  <c r="AJ52" i="4" s="1"/>
  <c r="T34" i="4"/>
  <c r="T58" i="4" s="1"/>
  <c r="T38" i="4"/>
  <c r="T62" i="4" s="1"/>
  <c r="T28" i="4"/>
  <c r="T52" i="4" s="1"/>
  <c r="T21" i="4"/>
  <c r="T45" i="4" s="1"/>
  <c r="AY38" i="4"/>
  <c r="AY62" i="4" s="1"/>
  <c r="AY34" i="4"/>
  <c r="AY58" i="4" s="1"/>
  <c r="AY28" i="4"/>
  <c r="AY52" i="4" s="1"/>
  <c r="AY21" i="4"/>
  <c r="AH28" i="4"/>
  <c r="AH52" i="4" s="1"/>
  <c r="AH34" i="4"/>
  <c r="AH58" i="4" s="1"/>
  <c r="AH38" i="4"/>
  <c r="AH62" i="4" s="1"/>
  <c r="AH21" i="4"/>
  <c r="AH45" i="4" s="1"/>
  <c r="BB21" i="4"/>
  <c r="BB38" i="4"/>
  <c r="BB62" i="4" s="1"/>
  <c r="BB28" i="4"/>
  <c r="BB52" i="4" s="1"/>
  <c r="BB34" i="4"/>
  <c r="BB58" i="4" s="1"/>
  <c r="Y38" i="4"/>
  <c r="Y62" i="4" s="1"/>
  <c r="Y34" i="4"/>
  <c r="Y58" i="4" s="1"/>
  <c r="Y28" i="4"/>
  <c r="Y52" i="4" s="1"/>
  <c r="Y21" i="4"/>
  <c r="Y45" i="4" s="1"/>
  <c r="AS21" i="4"/>
  <c r="AS45" i="4" s="1"/>
  <c r="AS34" i="4"/>
  <c r="AS58" i="4" s="1"/>
  <c r="AS38" i="4"/>
  <c r="AS62" i="4" s="1"/>
  <c r="AS28" i="4"/>
  <c r="AS52" i="4" s="1"/>
  <c r="AP38" i="4"/>
  <c r="AP62" i="4" s="1"/>
  <c r="AP21" i="4"/>
  <c r="AP45" i="4" s="1"/>
  <c r="AP34" i="4"/>
  <c r="AP58" i="4" s="1"/>
  <c r="AP28" i="4"/>
  <c r="AP52" i="4" s="1"/>
  <c r="Z21" i="4"/>
  <c r="Z45" i="4" s="1"/>
  <c r="Z38" i="4"/>
  <c r="Z62" i="4" s="1"/>
  <c r="Z28" i="4"/>
  <c r="Z52" i="4" s="1"/>
  <c r="Z34" i="4"/>
  <c r="Z58" i="4" s="1"/>
  <c r="K21" i="4"/>
  <c r="K45" i="4" s="1"/>
  <c r="K38" i="4"/>
  <c r="K62" i="4" s="1"/>
  <c r="K34" i="4"/>
  <c r="K58" i="4" s="1"/>
  <c r="K28" i="4"/>
  <c r="K52" i="4" s="1"/>
  <c r="AO34" i="4"/>
  <c r="AO58" i="4" s="1"/>
  <c r="AO38" i="4"/>
  <c r="AO62" i="4" s="1"/>
  <c r="AO21" i="4"/>
  <c r="AO45" i="4" s="1"/>
  <c r="AO28" i="4"/>
  <c r="AO52" i="4" s="1"/>
  <c r="BF21" i="4"/>
  <c r="BF38" i="4"/>
  <c r="BF62" i="4" s="1"/>
  <c r="BF34" i="4"/>
  <c r="BF58" i="4" s="1"/>
  <c r="BF28" i="4"/>
  <c r="BF52" i="4" s="1"/>
  <c r="BL28" i="4"/>
  <c r="BL52" i="4" s="1"/>
  <c r="BL21" i="4"/>
  <c r="BL38" i="4"/>
  <c r="BL62" i="4" s="1"/>
  <c r="BL34" i="4"/>
  <c r="BL58" i="4" s="1"/>
  <c r="AX34" i="4"/>
  <c r="AX58" i="4" s="1"/>
  <c r="AX21" i="4"/>
  <c r="AX28" i="4"/>
  <c r="AX52" i="4" s="1"/>
  <c r="AX38" i="4"/>
  <c r="AX62" i="4" s="1"/>
  <c r="AN28" i="4"/>
  <c r="AN52" i="4" s="1"/>
  <c r="AN21" i="4"/>
  <c r="AN45" i="4" s="1"/>
  <c r="AN34" i="4"/>
  <c r="AN58" i="4" s="1"/>
  <c r="AN38" i="4"/>
  <c r="AN62" i="4" s="1"/>
  <c r="AB34" i="4"/>
  <c r="AB58" i="4" s="1"/>
  <c r="AB28" i="4"/>
  <c r="AB52" i="4" s="1"/>
  <c r="AB38" i="4"/>
  <c r="AB62" i="4" s="1"/>
  <c r="AB21" i="4"/>
  <c r="AB45" i="4" s="1"/>
  <c r="BI28" i="4"/>
  <c r="BI52" i="4" s="1"/>
  <c r="BI34" i="4"/>
  <c r="BI58" i="4" s="1"/>
  <c r="BI21" i="4"/>
  <c r="BI38" i="4"/>
  <c r="BI62" i="4" s="1"/>
  <c r="AA21" i="4"/>
  <c r="AA45" i="4" s="1"/>
  <c r="AA34" i="4"/>
  <c r="AA58" i="4" s="1"/>
  <c r="AA28" i="4"/>
  <c r="AA52" i="4" s="1"/>
  <c r="AA38" i="4"/>
  <c r="AA62" i="4" s="1"/>
  <c r="L48" i="4"/>
  <c r="L38" i="4"/>
  <c r="L62" i="4" s="1"/>
  <c r="L34" i="4"/>
  <c r="L58" i="4" s="1"/>
  <c r="L21" i="4"/>
  <c r="L45" i="4" s="1"/>
  <c r="L28" i="4"/>
  <c r="L52" i="4" s="1"/>
  <c r="AD34" i="4"/>
  <c r="AD58" i="4" s="1"/>
  <c r="AD28" i="4"/>
  <c r="AD52" i="4" s="1"/>
  <c r="AD38" i="4"/>
  <c r="AD62" i="4" s="1"/>
  <c r="AD21" i="4"/>
  <c r="AD45" i="4" s="1"/>
  <c r="P21" i="4"/>
  <c r="P45" i="4" s="1"/>
  <c r="P28" i="4"/>
  <c r="P52" i="4" s="1"/>
  <c r="P38" i="4"/>
  <c r="P62" i="4" s="1"/>
  <c r="P34" i="4"/>
  <c r="P58" i="4" s="1"/>
  <c r="AW21" i="4"/>
  <c r="AW38" i="4"/>
  <c r="AW62" i="4" s="1"/>
  <c r="AW28" i="4"/>
  <c r="AW52" i="4" s="1"/>
  <c r="AW34" i="4"/>
  <c r="AW58" i="4" s="1"/>
  <c r="AL21" i="4"/>
  <c r="AL45" i="4" s="1"/>
  <c r="AL34" i="4"/>
  <c r="AL58" i="4" s="1"/>
  <c r="AL28" i="4"/>
  <c r="AL52" i="4" s="1"/>
  <c r="AL38" i="4"/>
  <c r="AL62" i="4" s="1"/>
  <c r="AG34" i="4"/>
  <c r="AG58" i="4" s="1"/>
  <c r="AG28" i="4"/>
  <c r="AG52" i="4" s="1"/>
  <c r="AG21" i="4"/>
  <c r="AG45" i="4" s="1"/>
  <c r="AG38" i="4"/>
  <c r="AG62" i="4" s="1"/>
  <c r="AK21" i="4"/>
  <c r="AK45" i="4" s="1"/>
  <c r="AK28" i="4"/>
  <c r="AK52" i="4" s="1"/>
  <c r="AK34" i="4"/>
  <c r="AK58" i="4" s="1"/>
  <c r="AK38" i="4"/>
  <c r="AK62" i="4" s="1"/>
  <c r="U21" i="4"/>
  <c r="U45" i="4" s="1"/>
  <c r="U28" i="4"/>
  <c r="U52" i="4" s="1"/>
  <c r="U34" i="4"/>
  <c r="U58" i="4" s="1"/>
  <c r="U38" i="4"/>
  <c r="U62" i="4" s="1"/>
  <c r="BO88" i="4"/>
  <c r="BO89" i="4" s="1"/>
  <c r="BO91" i="4" s="1"/>
  <c r="BO6" i="4"/>
  <c r="B56" i="3"/>
  <c r="C56" i="3" s="1"/>
  <c r="Q57" i="3"/>
  <c r="R57" i="3" s="1"/>
  <c r="BP3" i="4" l="1"/>
  <c r="BP96" i="4"/>
  <c r="BP84" i="4"/>
  <c r="BP90" i="4"/>
  <c r="BP88" i="4" s="1"/>
  <c r="BP89" i="4" s="1"/>
  <c r="BP91" i="4" s="1"/>
  <c r="BR22" i="4"/>
  <c r="BR46" i="4" s="1"/>
  <c r="BR23" i="4"/>
  <c r="BR47" i="4" s="1"/>
  <c r="BR21" i="4"/>
  <c r="BR45" i="4" s="1"/>
  <c r="BR28" i="4"/>
  <c r="BR52" i="4" s="1"/>
  <c r="BR38" i="4"/>
  <c r="BR62" i="4" s="1"/>
  <c r="BR34" i="4"/>
  <c r="BR58" i="4" s="1"/>
  <c r="BT11" i="4"/>
  <c r="BS17" i="4"/>
  <c r="BS12" i="4"/>
  <c r="BS14" i="4" s="1"/>
  <c r="BS16" i="4" s="1"/>
  <c r="BS9" i="4" s="1"/>
  <c r="G9" i="4"/>
  <c r="J22" i="4"/>
  <c r="J46" i="4" s="1"/>
  <c r="E46" i="4" s="1"/>
  <c r="J23" i="4"/>
  <c r="J47" i="4" s="1"/>
  <c r="E47" i="4" s="1"/>
  <c r="J50" i="4"/>
  <c r="E50" i="4" s="1"/>
  <c r="J38" i="4"/>
  <c r="J62" i="4" s="1"/>
  <c r="J28" i="4"/>
  <c r="J52" i="4" s="1"/>
  <c r="J34" i="4"/>
  <c r="J58" i="4" s="1"/>
  <c r="J21" i="4"/>
  <c r="J45" i="4" s="1"/>
  <c r="BQ7" i="4"/>
  <c r="BP6" i="4"/>
  <c r="E48" i="4"/>
  <c r="BH45" i="4"/>
  <c r="BG45" i="4"/>
  <c r="BK45" i="4"/>
  <c r="BM45" i="4"/>
  <c r="AX45" i="4"/>
  <c r="BC45" i="4"/>
  <c r="BI45" i="4"/>
  <c r="BL45" i="4"/>
  <c r="BE45" i="4"/>
  <c r="AY45" i="4"/>
  <c r="AW45" i="4"/>
  <c r="BB45" i="4"/>
  <c r="BA45" i="4"/>
  <c r="AZ45" i="4"/>
  <c r="BF45" i="4"/>
  <c r="BJ45" i="4"/>
  <c r="BD45" i="4"/>
  <c r="B57" i="3"/>
  <c r="C57" i="3" s="1"/>
  <c r="Q58" i="3"/>
  <c r="R58" i="3" s="1"/>
  <c r="BQ96" i="4" l="1"/>
  <c r="BQ90" i="4"/>
  <c r="BQ88" i="4" s="1"/>
  <c r="BQ89" i="4" s="1"/>
  <c r="BQ91" i="4" s="1"/>
  <c r="BQ84" i="4"/>
  <c r="BQ6" i="4"/>
  <c r="BQ3" i="4"/>
  <c r="BS28" i="4"/>
  <c r="BS52" i="4" s="1"/>
  <c r="BS38" i="4"/>
  <c r="BS62" i="4" s="1"/>
  <c r="BS22" i="4"/>
  <c r="BS46" i="4" s="1"/>
  <c r="BS34" i="4"/>
  <c r="BS58" i="4" s="1"/>
  <c r="BS23" i="4"/>
  <c r="BS47" i="4" s="1"/>
  <c r="BS21" i="4"/>
  <c r="BS45" i="4" s="1"/>
  <c r="BU11" i="4"/>
  <c r="BT17" i="4"/>
  <c r="BT12" i="4"/>
  <c r="BT14" i="4" s="1"/>
  <c r="BT16" i="4" s="1"/>
  <c r="BT9" i="4" s="1"/>
  <c r="BR7" i="4"/>
  <c r="E62" i="4"/>
  <c r="E52" i="4"/>
  <c r="E58" i="4"/>
  <c r="E45" i="4"/>
  <c r="B58" i="3"/>
  <c r="C58" i="3" s="1"/>
  <c r="BR90" i="4" l="1"/>
  <c r="BR88" i="4" s="1"/>
  <c r="BR89" i="4" s="1"/>
  <c r="BR91" i="4" s="1"/>
  <c r="BR84" i="4"/>
  <c r="BR96" i="4"/>
  <c r="BS7" i="4"/>
  <c r="BR3" i="4"/>
  <c r="BT38" i="4"/>
  <c r="BT62" i="4" s="1"/>
  <c r="BT23" i="4"/>
  <c r="BT47" i="4" s="1"/>
  <c r="BT34" i="4"/>
  <c r="BT58" i="4" s="1"/>
  <c r="BT22" i="4"/>
  <c r="BT46" i="4" s="1"/>
  <c r="BT21" i="4"/>
  <c r="BT45" i="4" s="1"/>
  <c r="BT28" i="4"/>
  <c r="BT52" i="4" s="1"/>
  <c r="BV11" i="4"/>
  <c r="BU17" i="4"/>
  <c r="BU12" i="4"/>
  <c r="BU14" i="4" s="1"/>
  <c r="BU16" i="4" s="1"/>
  <c r="BU9" i="4" s="1"/>
  <c r="BR6" i="4"/>
  <c r="BT7" i="4"/>
  <c r="BS6" i="4"/>
  <c r="BS3" i="4" l="1"/>
  <c r="BS84" i="4"/>
  <c r="BS90" i="4"/>
  <c r="BS88" i="4" s="1"/>
  <c r="BS89" i="4" s="1"/>
  <c r="BS91" i="4" s="1"/>
  <c r="BS96" i="4"/>
  <c r="BT3" i="4"/>
  <c r="BT96" i="4"/>
  <c r="BT84" i="4"/>
  <c r="BT90" i="4"/>
  <c r="BU21" i="4"/>
  <c r="BU45" i="4" s="1"/>
  <c r="BU38" i="4"/>
  <c r="BU62" i="4" s="1"/>
  <c r="BU28" i="4"/>
  <c r="BU52" i="4" s="1"/>
  <c r="BU34" i="4"/>
  <c r="BU58" i="4" s="1"/>
  <c r="BU23" i="4"/>
  <c r="BU47" i="4" s="1"/>
  <c r="BU22" i="4"/>
  <c r="BU46" i="4" s="1"/>
  <c r="BW11" i="4"/>
  <c r="BV17" i="4"/>
  <c r="BV12" i="4"/>
  <c r="BV14" i="4" s="1"/>
  <c r="BV16" i="4" s="1"/>
  <c r="BV9" i="4" s="1"/>
  <c r="BU7" i="4"/>
  <c r="BT6" i="4"/>
  <c r="BU3" i="4" l="1"/>
  <c r="BU84" i="4"/>
  <c r="BU90" i="4"/>
  <c r="BU96" i="4"/>
  <c r="BV38" i="4"/>
  <c r="BV62" i="4" s="1"/>
  <c r="BV34" i="4"/>
  <c r="BV58" i="4" s="1"/>
  <c r="BV23" i="4"/>
  <c r="BV47" i="4" s="1"/>
  <c r="BV22" i="4"/>
  <c r="BV46" i="4" s="1"/>
  <c r="BV21" i="4"/>
  <c r="BV45" i="4" s="1"/>
  <c r="BV28" i="4"/>
  <c r="BV52" i="4" s="1"/>
  <c r="BX11" i="4"/>
  <c r="BW17" i="4"/>
  <c r="BW12" i="4"/>
  <c r="BW14" i="4" s="1"/>
  <c r="BW16" i="4" s="1"/>
  <c r="BW9" i="4" s="1"/>
  <c r="BV7" i="4"/>
  <c r="BU6" i="4"/>
  <c r="BT88" i="4"/>
  <c r="BT89" i="4" s="1"/>
  <c r="BT91" i="4" s="1"/>
  <c r="BV3" i="4" l="1"/>
  <c r="BV96" i="4"/>
  <c r="BV90" i="4"/>
  <c r="BV84" i="4"/>
  <c r="BW38" i="4"/>
  <c r="BW62" i="4" s="1"/>
  <c r="BW34" i="4"/>
  <c r="BW58" i="4" s="1"/>
  <c r="BW28" i="4"/>
  <c r="BW52" i="4" s="1"/>
  <c r="BW23" i="4"/>
  <c r="BW47" i="4" s="1"/>
  <c r="BW22" i="4"/>
  <c r="BW46" i="4" s="1"/>
  <c r="BW21" i="4"/>
  <c r="BW45" i="4" s="1"/>
  <c r="BY11" i="4"/>
  <c r="BX17" i="4"/>
  <c r="BX12" i="4"/>
  <c r="BX14" i="4" s="1"/>
  <c r="BX16" i="4" s="1"/>
  <c r="BX9" i="4" s="1"/>
  <c r="BV6" i="4"/>
  <c r="BW7" i="4"/>
  <c r="BU88" i="4"/>
  <c r="BU89" i="4" s="1"/>
  <c r="BU91" i="4" s="1"/>
  <c r="BW3" i="4" l="1"/>
  <c r="BW96" i="4"/>
  <c r="BW84" i="4"/>
  <c r="BW90" i="4"/>
  <c r="BZ11" i="4"/>
  <c r="BY12" i="4"/>
  <c r="BY17" i="4"/>
  <c r="BY14" i="4"/>
  <c r="BY16" i="4" s="1"/>
  <c r="BY9" i="4" s="1"/>
  <c r="BX38" i="4"/>
  <c r="BX62" i="4" s="1"/>
  <c r="BX34" i="4"/>
  <c r="BX58" i="4" s="1"/>
  <c r="BX23" i="4"/>
  <c r="BX47" i="4" s="1"/>
  <c r="BX22" i="4"/>
  <c r="BX46" i="4" s="1"/>
  <c r="BX21" i="4"/>
  <c r="BX45" i="4" s="1"/>
  <c r="BX28" i="4"/>
  <c r="BX52" i="4" s="1"/>
  <c r="BX7" i="4"/>
  <c r="BW6" i="4"/>
  <c r="BV88" i="4"/>
  <c r="BV89" i="4" s="1"/>
  <c r="BV91" i="4" s="1"/>
  <c r="BX3" i="4" l="1"/>
  <c r="BX90" i="4"/>
  <c r="BX96" i="4"/>
  <c r="BX84" i="4"/>
  <c r="BY38" i="4"/>
  <c r="BY62" i="4" s="1"/>
  <c r="BY34" i="4"/>
  <c r="BY58" i="4" s="1"/>
  <c r="BY22" i="4"/>
  <c r="BY46" i="4" s="1"/>
  <c r="BY28" i="4"/>
  <c r="BY52" i="4" s="1"/>
  <c r="BY23" i="4"/>
  <c r="BY47" i="4" s="1"/>
  <c r="BY21" i="4"/>
  <c r="BY45" i="4" s="1"/>
  <c r="CA11" i="4"/>
  <c r="BZ12" i="4"/>
  <c r="BZ17" i="4"/>
  <c r="BZ14" i="4"/>
  <c r="BZ16" i="4" s="1"/>
  <c r="BZ9" i="4" s="1"/>
  <c r="BX6" i="4"/>
  <c r="BY7" i="4"/>
  <c r="BW88" i="4"/>
  <c r="BW89" i="4" s="1"/>
  <c r="BW91" i="4" s="1"/>
  <c r="BY3" i="4" l="1"/>
  <c r="BY96" i="4"/>
  <c r="BY84" i="4"/>
  <c r="BY90" i="4"/>
  <c r="BZ22" i="4"/>
  <c r="BZ46" i="4" s="1"/>
  <c r="BZ28" i="4"/>
  <c r="BZ52" i="4" s="1"/>
  <c r="BZ21" i="4"/>
  <c r="BZ45" i="4" s="1"/>
  <c r="BZ23" i="4"/>
  <c r="BZ47" i="4" s="1"/>
  <c r="BZ34" i="4"/>
  <c r="BZ58" i="4" s="1"/>
  <c r="BZ38" i="4"/>
  <c r="BZ62" i="4" s="1"/>
  <c r="CB11" i="4"/>
  <c r="CA12" i="4"/>
  <c r="CA17" i="4"/>
  <c r="CA14" i="4"/>
  <c r="CA16" i="4" s="1"/>
  <c r="CA9" i="4" s="1"/>
  <c r="BY6" i="4"/>
  <c r="BZ7" i="4"/>
  <c r="BX88" i="4"/>
  <c r="BX89" i="4" s="1"/>
  <c r="BX91" i="4" s="1"/>
  <c r="BZ3" i="4" l="1"/>
  <c r="BZ90" i="4"/>
  <c r="BZ84" i="4"/>
  <c r="BZ96" i="4"/>
  <c r="CA28" i="4"/>
  <c r="CA52" i="4" s="1"/>
  <c r="CA38" i="4"/>
  <c r="CA62" i="4" s="1"/>
  <c r="CA23" i="4"/>
  <c r="CA47" i="4" s="1"/>
  <c r="CA22" i="4"/>
  <c r="CA46" i="4" s="1"/>
  <c r="CA21" i="4"/>
  <c r="CA45" i="4" s="1"/>
  <c r="CA34" i="4"/>
  <c r="CA58" i="4" s="1"/>
  <c r="CC11" i="4"/>
  <c r="CB12" i="4"/>
  <c r="CB17" i="4"/>
  <c r="CB16" i="4"/>
  <c r="CB9" i="4" s="1"/>
  <c r="CA7" i="4"/>
  <c r="BZ6" i="4"/>
  <c r="BY88" i="4"/>
  <c r="BY89" i="4" s="1"/>
  <c r="BY91" i="4" s="1"/>
  <c r="CA3" i="4" l="1"/>
  <c r="CA96" i="4"/>
  <c r="CA90" i="4"/>
  <c r="CA84" i="4"/>
  <c r="CD11" i="4"/>
  <c r="CC12" i="4"/>
  <c r="CC17" i="4"/>
  <c r="CC16" i="4"/>
  <c r="CC9" i="4" s="1"/>
  <c r="CB28" i="4"/>
  <c r="CB52" i="4" s="1"/>
  <c r="CB38" i="4"/>
  <c r="CB62" i="4" s="1"/>
  <c r="CB21" i="4"/>
  <c r="CB45" i="4" s="1"/>
  <c r="CB34" i="4"/>
  <c r="CB58" i="4" s="1"/>
  <c r="CB23" i="4"/>
  <c r="CB47" i="4" s="1"/>
  <c r="CB22" i="4"/>
  <c r="CB46" i="4" s="1"/>
  <c r="CA6" i="4"/>
  <c r="CB7" i="4"/>
  <c r="BZ88" i="4"/>
  <c r="BZ89" i="4" s="1"/>
  <c r="BZ91" i="4" s="1"/>
  <c r="CB96" i="4" l="1"/>
  <c r="CB84" i="4"/>
  <c r="CB90" i="4"/>
  <c r="CC7" i="4"/>
  <c r="CB3" i="4"/>
  <c r="CB65" i="4"/>
  <c r="CD7" i="4"/>
  <c r="CC6" i="4"/>
  <c r="CC21" i="4"/>
  <c r="CC45" i="4" s="1"/>
  <c r="CC28" i="4"/>
  <c r="CC52" i="4" s="1"/>
  <c r="CC38" i="4"/>
  <c r="CC62" i="4" s="1"/>
  <c r="CC23" i="4"/>
  <c r="CC47" i="4" s="1"/>
  <c r="CC34" i="4"/>
  <c r="CC58" i="4" s="1"/>
  <c r="CC22" i="4"/>
  <c r="CC46" i="4" s="1"/>
  <c r="CE11" i="4"/>
  <c r="CD12" i="4"/>
  <c r="CD17" i="4"/>
  <c r="CD16" i="4"/>
  <c r="CD9" i="4" s="1"/>
  <c r="CB6" i="4"/>
  <c r="CA88" i="4"/>
  <c r="CA89" i="4" s="1"/>
  <c r="CA91" i="4" s="1"/>
  <c r="CC3" i="4" l="1"/>
  <c r="CC84" i="4"/>
  <c r="CC90" i="4"/>
  <c r="CC88" i="4" s="1"/>
  <c r="CC96" i="4"/>
  <c r="CD3" i="4"/>
  <c r="CD84" i="4"/>
  <c r="CD90" i="4"/>
  <c r="CD88" i="4" s="1"/>
  <c r="CD96" i="4"/>
  <c r="CC65" i="4"/>
  <c r="CD22" i="4"/>
  <c r="CD46" i="4" s="1"/>
  <c r="CD21" i="4"/>
  <c r="CD45" i="4" s="1"/>
  <c r="CD28" i="4"/>
  <c r="CD52" i="4" s="1"/>
  <c r="CD38" i="4"/>
  <c r="CD62" i="4" s="1"/>
  <c r="CD23" i="4"/>
  <c r="CD47" i="4" s="1"/>
  <c r="CD34" i="4"/>
  <c r="CD58" i="4" s="1"/>
  <c r="CF11" i="4"/>
  <c r="CE12" i="4"/>
  <c r="CE17" i="4"/>
  <c r="CE16" i="4"/>
  <c r="CE9" i="4" s="1"/>
  <c r="CE7" i="4"/>
  <c r="CD6" i="4"/>
  <c r="CB88" i="4"/>
  <c r="CE3" i="4" l="1"/>
  <c r="CE84" i="4"/>
  <c r="CE90" i="4"/>
  <c r="CE88" i="4" s="1"/>
  <c r="CE96" i="4"/>
  <c r="CE22" i="4"/>
  <c r="CE46" i="4" s="1"/>
  <c r="CE21" i="4"/>
  <c r="CE45" i="4" s="1"/>
  <c r="CE28" i="4"/>
  <c r="CE52" i="4" s="1"/>
  <c r="CE38" i="4"/>
  <c r="CE62" i="4" s="1"/>
  <c r="CE23" i="4"/>
  <c r="CE47" i="4" s="1"/>
  <c r="CE34" i="4"/>
  <c r="CE58" i="4" s="1"/>
  <c r="CG11" i="4"/>
  <c r="CF12" i="4"/>
  <c r="CF17" i="4"/>
  <c r="CF16" i="4"/>
  <c r="CF9" i="4" s="1"/>
  <c r="CF7" i="4"/>
  <c r="CE6" i="4"/>
  <c r="CD65" i="4"/>
  <c r="CB89" i="4"/>
  <c r="CB91" i="4" s="1"/>
  <c r="CC89" i="4"/>
  <c r="CC91" i="4" s="1"/>
  <c r="CD89" i="4"/>
  <c r="CD91" i="4" s="1"/>
  <c r="O17" i="2"/>
  <c r="S17" i="2" s="1"/>
  <c r="O16" i="2"/>
  <c r="S16" i="2" s="1"/>
  <c r="O15" i="2"/>
  <c r="S15" i="2" s="1"/>
  <c r="O14" i="2"/>
  <c r="O10" i="2"/>
  <c r="S10" i="2" s="1"/>
  <c r="O9" i="2"/>
  <c r="S9" i="2" s="1"/>
  <c r="O8" i="2"/>
  <c r="I66" i="8"/>
  <c r="I71" i="8"/>
  <c r="I69" i="8"/>
  <c r="I53" i="8"/>
  <c r="I51" i="8"/>
  <c r="I74" i="8"/>
  <c r="I73" i="8"/>
  <c r="I72" i="8"/>
  <c r="K38" i="8" s="1"/>
  <c r="P17" i="2" s="1"/>
  <c r="D57" i="8"/>
  <c r="D56" i="8"/>
  <c r="D59" i="8"/>
  <c r="D60" i="8"/>
  <c r="D66" i="8"/>
  <c r="D67" i="8"/>
  <c r="D68" i="8"/>
  <c r="D69" i="8"/>
  <c r="I47" i="8"/>
  <c r="I48" i="8"/>
  <c r="I38" i="8" s="1"/>
  <c r="P15" i="2" s="1"/>
  <c r="I49" i="8"/>
  <c r="I50" i="8"/>
  <c r="I52" i="8"/>
  <c r="I54" i="8"/>
  <c r="I55" i="8"/>
  <c r="I56" i="8"/>
  <c r="I57" i="8"/>
  <c r="I58" i="8"/>
  <c r="I59" i="8"/>
  <c r="J38" i="8" s="1"/>
  <c r="P16" i="2" s="1"/>
  <c r="I60" i="8"/>
  <c r="I61" i="8"/>
  <c r="I62" i="8"/>
  <c r="I63" i="8"/>
  <c r="I64" i="8"/>
  <c r="I65" i="8"/>
  <c r="I67" i="8"/>
  <c r="I68" i="8"/>
  <c r="I70" i="8"/>
  <c r="I46" i="8"/>
  <c r="H38" i="8" s="1"/>
  <c r="P14" i="2" s="1"/>
  <c r="D47" i="8"/>
  <c r="D48" i="8"/>
  <c r="D49" i="8"/>
  <c r="D50" i="8"/>
  <c r="D51" i="8"/>
  <c r="C38" i="8" s="1"/>
  <c r="P9" i="2" s="1"/>
  <c r="Q9" i="2" s="1"/>
  <c r="D52" i="8"/>
  <c r="D53" i="8"/>
  <c r="D54" i="8"/>
  <c r="D55" i="8"/>
  <c r="D58" i="8"/>
  <c r="D61" i="8"/>
  <c r="D38" i="8" s="1"/>
  <c r="P10" i="2" s="1"/>
  <c r="Q10" i="2" s="1"/>
  <c r="D62" i="8"/>
  <c r="D63" i="8"/>
  <c r="D64" i="8"/>
  <c r="D65" i="8"/>
  <c r="D46" i="8"/>
  <c r="B38" i="8" s="1"/>
  <c r="P8" i="2" s="1"/>
  <c r="Q8" i="2" s="1"/>
  <c r="H41" i="8"/>
  <c r="K40" i="8" s="1"/>
  <c r="B41" i="8"/>
  <c r="D40" i="8" s="1"/>
  <c r="CF3" i="4" l="1"/>
  <c r="CF84" i="4"/>
  <c r="CF90" i="4"/>
  <c r="CF96" i="4"/>
  <c r="CF94" i="4" s="1"/>
  <c r="J14" i="9" a="1"/>
  <c r="J14" i="9" s="1"/>
  <c r="I14" i="9" a="1"/>
  <c r="I14" i="9" s="1"/>
  <c r="I14" i="10" s="1"/>
  <c r="H14" i="9" a="1"/>
  <c r="H14" i="9" s="1"/>
  <c r="H14" i="10" s="1"/>
  <c r="CF6" i="4"/>
  <c r="CG7" i="4"/>
  <c r="CF88" i="4"/>
  <c r="CH11" i="4"/>
  <c r="CG12" i="4"/>
  <c r="CG17" i="4"/>
  <c r="CG16" i="4"/>
  <c r="CG9" i="4" s="1"/>
  <c r="CE89" i="4"/>
  <c r="CE91" i="4" s="1"/>
  <c r="CF28" i="4"/>
  <c r="CF52" i="4" s="1"/>
  <c r="CF38" i="4"/>
  <c r="CF62" i="4" s="1"/>
  <c r="CF23" i="4"/>
  <c r="CF47" i="4" s="1"/>
  <c r="CF21" i="4"/>
  <c r="CF45" i="4" s="1"/>
  <c r="CF34" i="4"/>
  <c r="CF58" i="4" s="1"/>
  <c r="CF22" i="4"/>
  <c r="CF46" i="4" s="1"/>
  <c r="CE65" i="4"/>
  <c r="CE94" i="4"/>
  <c r="O21" i="2"/>
  <c r="S14" i="2"/>
  <c r="Q17" i="2"/>
  <c r="P24" i="2"/>
  <c r="R24" i="2" s="1"/>
  <c r="Q15" i="2"/>
  <c r="P22" i="2"/>
  <c r="R22" i="2" s="1"/>
  <c r="Q14" i="2"/>
  <c r="P21" i="2"/>
  <c r="O22" i="2"/>
  <c r="Q16" i="2"/>
  <c r="P23" i="2"/>
  <c r="R23" i="2" s="1"/>
  <c r="O23" i="2"/>
  <c r="O24" i="2"/>
  <c r="S8" i="2"/>
  <c r="S11" i="2" s="1"/>
  <c r="D70" i="8"/>
  <c r="O11" i="2" s="1"/>
  <c r="C70" i="8"/>
  <c r="P11" i="2" s="1"/>
  <c r="I75" i="8"/>
  <c r="B40" i="8"/>
  <c r="C40" i="8"/>
  <c r="H40" i="8"/>
  <c r="I40" i="8"/>
  <c r="J40" i="8"/>
  <c r="CG3" i="4" l="1"/>
  <c r="CG90" i="4"/>
  <c r="CG88" i="4" s="1"/>
  <c r="CG89" i="4" s="1"/>
  <c r="CG91" i="4" s="1"/>
  <c r="CG96" i="4"/>
  <c r="CG94" i="4" s="1"/>
  <c r="CG84" i="4"/>
  <c r="K14" i="9"/>
  <c r="J14" i="10"/>
  <c r="CF65" i="4"/>
  <c r="CI11" i="4"/>
  <c r="CH12" i="4"/>
  <c r="CH17" i="4"/>
  <c r="CH16" i="4"/>
  <c r="CH9" i="4" s="1"/>
  <c r="R11" i="2"/>
  <c r="CC94" i="4"/>
  <c r="CD94" i="4"/>
  <c r="CF89" i="4"/>
  <c r="CF91" i="4" s="1"/>
  <c r="CG6" i="4"/>
  <c r="CH7" i="4"/>
  <c r="CG23" i="4"/>
  <c r="CG47" i="4" s="1"/>
  <c r="CG22" i="4"/>
  <c r="CG46" i="4" s="1"/>
  <c r="CG21" i="4"/>
  <c r="CG45" i="4" s="1"/>
  <c r="CG28" i="4"/>
  <c r="CG52" i="4" s="1"/>
  <c r="CG38" i="4"/>
  <c r="CG62" i="4" s="1"/>
  <c r="CG34" i="4"/>
  <c r="CG58" i="4" s="1"/>
  <c r="O25" i="2"/>
  <c r="C31" i="2" s="1"/>
  <c r="S22" i="2"/>
  <c r="S23" i="2"/>
  <c r="R21" i="2"/>
  <c r="S21" i="2" s="1"/>
  <c r="P25" i="2"/>
  <c r="S24" i="2"/>
  <c r="R25" i="2"/>
  <c r="Q25" i="2"/>
  <c r="S18" i="2"/>
  <c r="Q11" i="2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H75" i="8"/>
  <c r="P18" i="2" s="1"/>
  <c r="O18" i="2"/>
  <c r="Q12" i="9" l="1" a="1"/>
  <c r="Q12" i="9" s="1"/>
  <c r="L12" i="9" a="1"/>
  <c r="L12" i="9" s="1"/>
  <c r="N12" i="9" a="1"/>
  <c r="N12" i="9" s="1"/>
  <c r="P12" i="9" a="1"/>
  <c r="P12" i="9" s="1"/>
  <c r="S12" i="9" a="1"/>
  <c r="S12" i="9" s="1"/>
  <c r="O12" i="9" a="1"/>
  <c r="O12" i="9" s="1"/>
  <c r="R12" i="9" a="1"/>
  <c r="R12" i="9" s="1"/>
  <c r="M12" i="9" a="1"/>
  <c r="M12" i="9" s="1"/>
  <c r="T12" i="9" a="1"/>
  <c r="T12" i="9" s="1"/>
  <c r="CH3" i="4"/>
  <c r="CH90" i="4"/>
  <c r="CH88" i="4" s="1"/>
  <c r="CH96" i="4"/>
  <c r="CH94" i="4" s="1"/>
  <c r="CH84" i="4"/>
  <c r="L14" i="9"/>
  <c r="K14" i="10"/>
  <c r="BY102" i="4"/>
  <c r="BY104" i="4" s="1"/>
  <c r="BI102" i="4"/>
  <c r="BH102" i="4"/>
  <c r="BG102" i="4"/>
  <c r="BF102" i="4"/>
  <c r="BF104" i="4" s="1"/>
  <c r="BU102" i="4"/>
  <c r="BU104" i="4" s="1"/>
  <c r="BD102" i="4"/>
  <c r="BD104" i="4" s="1"/>
  <c r="BC102" i="4"/>
  <c r="BC104" i="4" s="1"/>
  <c r="AZ102" i="4"/>
  <c r="AZ104" i="4" s="1"/>
  <c r="BN102" i="4"/>
  <c r="BN104" i="4" s="1"/>
  <c r="BJ102" i="4"/>
  <c r="BJ104" i="4" s="1"/>
  <c r="BW102" i="4"/>
  <c r="BW104" i="4" s="1"/>
  <c r="BE102" i="4"/>
  <c r="BE104" i="4" s="1"/>
  <c r="BT102" i="4"/>
  <c r="BT104" i="4" s="1"/>
  <c r="BR102" i="4"/>
  <c r="BR104" i="4" s="1"/>
  <c r="AY102" i="4"/>
  <c r="AY104" i="4" s="1"/>
  <c r="CC102" i="4"/>
  <c r="CC104" i="4" s="1"/>
  <c r="CA102" i="4"/>
  <c r="CA104" i="4" s="1"/>
  <c r="BS102" i="4"/>
  <c r="BS104" i="4" s="1"/>
  <c r="BB102" i="4"/>
  <c r="BB104" i="4" s="1"/>
  <c r="BP102" i="4"/>
  <c r="BP104" i="4" s="1"/>
  <c r="CD102" i="4"/>
  <c r="CD104" i="4" s="1"/>
  <c r="AW102" i="4"/>
  <c r="AW104" i="4" s="1"/>
  <c r="BK102" i="4"/>
  <c r="BK104" i="4" s="1"/>
  <c r="BV102" i="4"/>
  <c r="BV104" i="4" s="1"/>
  <c r="BQ102" i="4"/>
  <c r="BQ104" i="4" s="1"/>
  <c r="CE102" i="4"/>
  <c r="CE104" i="4" s="1"/>
  <c r="CH102" i="4"/>
  <c r="CH104" i="4" s="1"/>
  <c r="CF102" i="4"/>
  <c r="CF104" i="4" s="1"/>
  <c r="BZ102" i="4"/>
  <c r="BZ104" i="4" s="1"/>
  <c r="CG102" i="4"/>
  <c r="CG104" i="4" s="1"/>
  <c r="AX102" i="4"/>
  <c r="AX104" i="4" s="1"/>
  <c r="BL102" i="4"/>
  <c r="BL104" i="4" s="1"/>
  <c r="BA102" i="4"/>
  <c r="BA104" i="4" s="1"/>
  <c r="BO102" i="4"/>
  <c r="BO104" i="4" s="1"/>
  <c r="BM102" i="4"/>
  <c r="BM104" i="4" s="1"/>
  <c r="BI104" i="4"/>
  <c r="BH104" i="4"/>
  <c r="BG104" i="4"/>
  <c r="C32" i="2"/>
  <c r="K44" i="9"/>
  <c r="CH23" i="4"/>
  <c r="CH47" i="4" s="1"/>
  <c r="CH34" i="4"/>
  <c r="CH58" i="4" s="1"/>
  <c r="CH22" i="4"/>
  <c r="CH46" i="4" s="1"/>
  <c r="CH21" i="4"/>
  <c r="CH45" i="4" s="1"/>
  <c r="CH28" i="4"/>
  <c r="CH52" i="4" s="1"/>
  <c r="CH38" i="4"/>
  <c r="CH62" i="4" s="1"/>
  <c r="CJ11" i="4"/>
  <c r="CI12" i="4"/>
  <c r="CI17" i="4"/>
  <c r="CI16" i="4"/>
  <c r="CI9" i="4" s="1"/>
  <c r="CG65" i="4"/>
  <c r="CH6" i="4"/>
  <c r="CI7" i="4"/>
  <c r="CC95" i="4"/>
  <c r="CC97" i="4" s="1"/>
  <c r="CD95" i="4"/>
  <c r="CD97" i="4" s="1"/>
  <c r="CF95" i="4"/>
  <c r="CF97" i="4" s="1"/>
  <c r="CG95" i="4"/>
  <c r="CG97" i="4" s="1"/>
  <c r="CE95" i="4"/>
  <c r="CE97" i="4" s="1"/>
  <c r="S25" i="2"/>
  <c r="J44" i="10"/>
  <c r="J25" i="9"/>
  <c r="J24" i="9"/>
  <c r="J22" i="9"/>
  <c r="J21" i="9"/>
  <c r="C81" i="4"/>
  <c r="J23" i="9"/>
  <c r="J35" i="9"/>
  <c r="J30" i="9"/>
  <c r="J27" i="9"/>
  <c r="J26" i="9"/>
  <c r="J28" i="9"/>
  <c r="R18" i="2"/>
  <c r="Q18" i="2"/>
  <c r="AW95" i="4"/>
  <c r="AW97" i="4" s="1"/>
  <c r="BM95" i="4"/>
  <c r="BM97" i="4" s="1"/>
  <c r="BJ95" i="4"/>
  <c r="BJ97" i="4" s="1"/>
  <c r="BH95" i="4"/>
  <c r="BH97" i="4" s="1"/>
  <c r="BN95" i="4"/>
  <c r="BN97" i="4" s="1"/>
  <c r="AY95" i="4"/>
  <c r="AY97" i="4" s="1"/>
  <c r="BX95" i="4"/>
  <c r="BX97" i="4" s="1"/>
  <c r="BR95" i="4"/>
  <c r="BR97" i="4" s="1"/>
  <c r="BG95" i="4"/>
  <c r="BG97" i="4" s="1"/>
  <c r="BC95" i="4"/>
  <c r="BC97" i="4" s="1"/>
  <c r="BI95" i="4"/>
  <c r="BI97" i="4" s="1"/>
  <c r="AZ95" i="4"/>
  <c r="AZ97" i="4" s="1"/>
  <c r="BY95" i="4"/>
  <c r="BY97" i="4" s="1"/>
  <c r="BA95" i="4"/>
  <c r="BA97" i="4" s="1"/>
  <c r="BP95" i="4"/>
  <c r="BP97" i="4" s="1"/>
  <c r="BS95" i="4"/>
  <c r="BS97" i="4" s="1"/>
  <c r="BO95" i="4"/>
  <c r="BO97" i="4" s="1"/>
  <c r="BB95" i="4"/>
  <c r="BB97" i="4" s="1"/>
  <c r="BW95" i="4"/>
  <c r="BW97" i="4" s="1"/>
  <c r="BT95" i="4"/>
  <c r="BT97" i="4" s="1"/>
  <c r="BQ95" i="4"/>
  <c r="BQ97" i="4" s="1"/>
  <c r="BE95" i="4"/>
  <c r="BE97" i="4" s="1"/>
  <c r="BZ95" i="4"/>
  <c r="BZ97" i="4" s="1"/>
  <c r="BK95" i="4"/>
  <c r="BK97" i="4" s="1"/>
  <c r="CA95" i="4"/>
  <c r="CA97" i="4" s="1"/>
  <c r="BU95" i="4"/>
  <c r="BU97" i="4" s="1"/>
  <c r="CB95" i="4"/>
  <c r="CB97" i="4" s="1"/>
  <c r="BD95" i="4"/>
  <c r="BD97" i="4" s="1"/>
  <c r="AX95" i="4"/>
  <c r="AX97" i="4" s="1"/>
  <c r="BV95" i="4"/>
  <c r="BV97" i="4" s="1"/>
  <c r="BF95" i="4"/>
  <c r="BF97" i="4" s="1"/>
  <c r="BL95" i="4"/>
  <c r="BL97" i="4" s="1"/>
  <c r="CI3" i="4" l="1"/>
  <c r="CI96" i="4"/>
  <c r="CI84" i="4"/>
  <c r="CI90" i="4"/>
  <c r="H52" i="10" a="1"/>
  <c r="H52" i="10" s="1"/>
  <c r="J43" i="9" a="1"/>
  <c r="J43" i="9" s="1"/>
  <c r="I52" i="10" a="1"/>
  <c r="I52" i="10" s="1"/>
  <c r="J52" i="10" a="1"/>
  <c r="J52" i="10" s="1"/>
  <c r="M14" i="9"/>
  <c r="L14" i="10"/>
  <c r="I43" i="9" a="1"/>
  <c r="I43" i="9" s="1"/>
  <c r="H43" i="9" a="1"/>
  <c r="H43" i="9" s="1"/>
  <c r="CI102" i="4"/>
  <c r="CI104" i="4" s="1"/>
  <c r="K45" i="9"/>
  <c r="K46" i="9" s="1"/>
  <c r="R48" i="2" s="1"/>
  <c r="L44" i="9"/>
  <c r="BX102" i="4"/>
  <c r="BX104" i="4" s="1"/>
  <c r="CB102" i="4"/>
  <c r="CB104" i="4" s="1"/>
  <c r="CI21" i="4"/>
  <c r="CI45" i="4" s="1"/>
  <c r="CI28" i="4"/>
  <c r="CI52" i="4" s="1"/>
  <c r="CI22" i="4"/>
  <c r="CI46" i="4" s="1"/>
  <c r="CI38" i="4"/>
  <c r="CI62" i="4" s="1"/>
  <c r="CI23" i="4"/>
  <c r="CI47" i="4" s="1"/>
  <c r="CI34" i="4"/>
  <c r="CI58" i="4" s="1"/>
  <c r="CK11" i="4"/>
  <c r="CJ12" i="4"/>
  <c r="CJ17" i="4"/>
  <c r="CJ16" i="4"/>
  <c r="CJ9" i="4" s="1"/>
  <c r="CI6" i="4"/>
  <c r="CJ7" i="4"/>
  <c r="CI88" i="4"/>
  <c r="CI89" i="4" s="1"/>
  <c r="CI91" i="4" s="1"/>
  <c r="CI94" i="4"/>
  <c r="CH89" i="4"/>
  <c r="CH91" i="4" s="1"/>
  <c r="CH65" i="4"/>
  <c r="CH95" i="4"/>
  <c r="CH97" i="4" s="1"/>
  <c r="K44" i="10"/>
  <c r="L44" i="10" s="1"/>
  <c r="M44" i="10" s="1"/>
  <c r="N44" i="10" s="1"/>
  <c r="O44" i="10" s="1"/>
  <c r="P44" i="10" s="1"/>
  <c r="Q44" i="10" s="1"/>
  <c r="R44" i="10" s="1"/>
  <c r="S44" i="10" s="1"/>
  <c r="T44" i="10" s="1"/>
  <c r="K54" i="10"/>
  <c r="K53" i="10"/>
  <c r="K35" i="9"/>
  <c r="L35" i="9" s="1"/>
  <c r="M35" i="9" s="1"/>
  <c r="N35" i="9" s="1"/>
  <c r="O35" i="9" s="1"/>
  <c r="P35" i="9" s="1"/>
  <c r="Q35" i="9" s="1"/>
  <c r="R35" i="9" s="1"/>
  <c r="S35" i="9" s="1"/>
  <c r="T35" i="9" s="1"/>
  <c r="K21" i="9"/>
  <c r="L21" i="9" s="1"/>
  <c r="M21" i="9" s="1"/>
  <c r="N21" i="9" s="1"/>
  <c r="O21" i="9" s="1"/>
  <c r="P21" i="9" s="1"/>
  <c r="Q21" i="9" s="1"/>
  <c r="R21" i="9" s="1"/>
  <c r="S21" i="9" s="1"/>
  <c r="T21" i="9" s="1"/>
  <c r="K22" i="9"/>
  <c r="L22" i="9" s="1"/>
  <c r="M22" i="9" s="1"/>
  <c r="N22" i="9" s="1"/>
  <c r="O22" i="9" s="1"/>
  <c r="P22" i="9" s="1"/>
  <c r="Q22" i="9" s="1"/>
  <c r="R22" i="9" s="1"/>
  <c r="S22" i="9" s="1"/>
  <c r="T22" i="9" s="1"/>
  <c r="K26" i="9"/>
  <c r="L26" i="9" s="1"/>
  <c r="M26" i="9" s="1"/>
  <c r="N26" i="9" s="1"/>
  <c r="O26" i="9" s="1"/>
  <c r="P26" i="9" s="1"/>
  <c r="Q26" i="9" s="1"/>
  <c r="R26" i="9" s="1"/>
  <c r="S26" i="9" s="1"/>
  <c r="T26" i="9" s="1"/>
  <c r="K30" i="9"/>
  <c r="L30" i="9" s="1"/>
  <c r="M30" i="9" s="1"/>
  <c r="N30" i="9" s="1"/>
  <c r="O30" i="9" s="1"/>
  <c r="P30" i="9" s="1"/>
  <c r="Q30" i="9" s="1"/>
  <c r="R30" i="9" s="1"/>
  <c r="S30" i="9" s="1"/>
  <c r="T30" i="9" s="1"/>
  <c r="K24" i="9"/>
  <c r="L24" i="9" s="1"/>
  <c r="M24" i="9" s="1"/>
  <c r="N24" i="9" s="1"/>
  <c r="O24" i="9" s="1"/>
  <c r="P24" i="9" s="1"/>
  <c r="Q24" i="9" s="1"/>
  <c r="R24" i="9" s="1"/>
  <c r="S24" i="9" s="1"/>
  <c r="T24" i="9" s="1"/>
  <c r="K27" i="9"/>
  <c r="L27" i="9" s="1"/>
  <c r="M27" i="9" s="1"/>
  <c r="N27" i="9" s="1"/>
  <c r="O27" i="9" s="1"/>
  <c r="P27" i="9" s="1"/>
  <c r="Q27" i="9" s="1"/>
  <c r="R27" i="9" s="1"/>
  <c r="S27" i="9" s="1"/>
  <c r="T27" i="9" s="1"/>
  <c r="K25" i="9"/>
  <c r="L25" i="9" s="1"/>
  <c r="M25" i="9" s="1"/>
  <c r="N25" i="9" s="1"/>
  <c r="O25" i="9" s="1"/>
  <c r="P25" i="9" s="1"/>
  <c r="Q25" i="9" s="1"/>
  <c r="R25" i="9" s="1"/>
  <c r="S25" i="9" s="1"/>
  <c r="T25" i="9" s="1"/>
  <c r="K28" i="9"/>
  <c r="L28" i="9" s="1"/>
  <c r="M28" i="9" s="1"/>
  <c r="N28" i="9" s="1"/>
  <c r="O28" i="9" s="1"/>
  <c r="P28" i="9" s="1"/>
  <c r="Q28" i="9" s="1"/>
  <c r="R28" i="9" s="1"/>
  <c r="S28" i="9" s="1"/>
  <c r="T28" i="9" s="1"/>
  <c r="K23" i="9"/>
  <c r="L23" i="9" s="1"/>
  <c r="M23" i="9" s="1"/>
  <c r="N23" i="9" s="1"/>
  <c r="O23" i="9" s="1"/>
  <c r="P23" i="9" s="1"/>
  <c r="Q23" i="9" s="1"/>
  <c r="R23" i="9" s="1"/>
  <c r="S23" i="9" s="1"/>
  <c r="T23" i="9" s="1"/>
  <c r="CJ3" i="4" l="1"/>
  <c r="CJ96" i="4"/>
  <c r="CJ84" i="4"/>
  <c r="CJ90" i="4"/>
  <c r="CJ88" i="4" s="1"/>
  <c r="CJ89" i="4" s="1"/>
  <c r="CJ91" i="4" s="1"/>
  <c r="C52" i="10"/>
  <c r="J53" i="10"/>
  <c r="J54" i="10"/>
  <c r="C43" i="9"/>
  <c r="J45" i="9"/>
  <c r="J44" i="9"/>
  <c r="J46" i="9" s="1"/>
  <c r="N14" i="9"/>
  <c r="M14" i="10"/>
  <c r="K70" i="9"/>
  <c r="CJ102" i="4"/>
  <c r="CJ104" i="4" s="1"/>
  <c r="L45" i="9"/>
  <c r="L46" i="9" s="1"/>
  <c r="S48" i="2" s="1"/>
  <c r="CI95" i="4"/>
  <c r="CI97" i="4" s="1"/>
  <c r="CJ38" i="4"/>
  <c r="CJ62" i="4" s="1"/>
  <c r="CJ23" i="4"/>
  <c r="CJ47" i="4" s="1"/>
  <c r="CJ34" i="4"/>
  <c r="CJ58" i="4" s="1"/>
  <c r="CJ22" i="4"/>
  <c r="CJ46" i="4" s="1"/>
  <c r="CJ21" i="4"/>
  <c r="CJ45" i="4" s="1"/>
  <c r="CJ28" i="4"/>
  <c r="CJ52" i="4" s="1"/>
  <c r="CL11" i="4"/>
  <c r="CK12" i="4"/>
  <c r="CK17" i="4"/>
  <c r="CK16" i="4"/>
  <c r="CK9" i="4" s="1"/>
  <c r="CJ6" i="4"/>
  <c r="CK7" i="4"/>
  <c r="CJ94" i="4"/>
  <c r="CJ95" i="4" s="1"/>
  <c r="CJ97" i="4" s="1"/>
  <c r="K49" i="9"/>
  <c r="K59" i="9"/>
  <c r="K60" i="9"/>
  <c r="K65" i="9"/>
  <c r="K50" i="9"/>
  <c r="CI65" i="4"/>
  <c r="K51" i="9"/>
  <c r="K71" i="9"/>
  <c r="K57" i="9"/>
  <c r="K58" i="9"/>
  <c r="K76" i="9"/>
  <c r="K55" i="10"/>
  <c r="K59" i="10" s="1"/>
  <c r="I53" i="10"/>
  <c r="I54" i="10"/>
  <c r="H54" i="10"/>
  <c r="H53" i="10"/>
  <c r="L53" i="10"/>
  <c r="L54" i="10"/>
  <c r="I45" i="9"/>
  <c r="I44" i="9"/>
  <c r="H45" i="9"/>
  <c r="H44" i="9"/>
  <c r="M44" i="9"/>
  <c r="M45" i="9"/>
  <c r="J55" i="10" l="1"/>
  <c r="J80" i="10"/>
  <c r="J68" i="10"/>
  <c r="J59" i="10"/>
  <c r="CK90" i="4"/>
  <c r="CK88" i="4" s="1"/>
  <c r="CK84" i="4"/>
  <c r="CK96" i="4"/>
  <c r="CK94" i="4" s="1"/>
  <c r="J58" i="10"/>
  <c r="J60" i="10"/>
  <c r="J66" i="10"/>
  <c r="J69" i="10"/>
  <c r="J85" i="10"/>
  <c r="J79" i="10"/>
  <c r="J82" i="10" s="1"/>
  <c r="J74" i="10"/>
  <c r="J67" i="10"/>
  <c r="J70" i="10" s="1"/>
  <c r="J58" i="9"/>
  <c r="J50" i="9"/>
  <c r="J65" i="9"/>
  <c r="J60" i="9"/>
  <c r="J57" i="9"/>
  <c r="Q48" i="2"/>
  <c r="J51" i="9"/>
  <c r="J71" i="9"/>
  <c r="J59" i="9"/>
  <c r="J70" i="9"/>
  <c r="J73" i="9" s="1"/>
  <c r="J49" i="9"/>
  <c r="J76" i="9"/>
  <c r="K73" i="9"/>
  <c r="K58" i="10"/>
  <c r="O14" i="9"/>
  <c r="N14" i="10"/>
  <c r="K61" i="9"/>
  <c r="CK3" i="4"/>
  <c r="CK102" i="4"/>
  <c r="CK104" i="4" s="1"/>
  <c r="K52" i="9"/>
  <c r="CJ65" i="4"/>
  <c r="CK38" i="4"/>
  <c r="CK62" i="4" s="1"/>
  <c r="CK23" i="4"/>
  <c r="CK47" i="4" s="1"/>
  <c r="CK34" i="4"/>
  <c r="CK58" i="4" s="1"/>
  <c r="CK22" i="4"/>
  <c r="CK46" i="4" s="1"/>
  <c r="CK21" i="4"/>
  <c r="CK45" i="4" s="1"/>
  <c r="CK28" i="4"/>
  <c r="CK52" i="4" s="1"/>
  <c r="K85" i="10"/>
  <c r="CM11" i="4"/>
  <c r="CL12" i="4"/>
  <c r="CL17" i="4"/>
  <c r="CL16" i="4"/>
  <c r="CL9" i="4" s="1"/>
  <c r="CL7" i="4"/>
  <c r="CK6" i="4"/>
  <c r="L58" i="9"/>
  <c r="L60" i="9"/>
  <c r="L76" i="9"/>
  <c r="L50" i="9"/>
  <c r="L51" i="9"/>
  <c r="L49" i="9"/>
  <c r="L59" i="9"/>
  <c r="K67" i="10"/>
  <c r="K69" i="10"/>
  <c r="K60" i="10"/>
  <c r="K66" i="10"/>
  <c r="K74" i="10"/>
  <c r="L55" i="10"/>
  <c r="L69" i="10" s="1"/>
  <c r="K68" i="10"/>
  <c r="K79" i="10"/>
  <c r="K80" i="10"/>
  <c r="I55" i="10"/>
  <c r="I66" i="10" s="1"/>
  <c r="M54" i="10"/>
  <c r="M53" i="10"/>
  <c r="H55" i="10"/>
  <c r="L57" i="9"/>
  <c r="L71" i="9"/>
  <c r="L70" i="9"/>
  <c r="L65" i="9"/>
  <c r="M46" i="9"/>
  <c r="M51" i="9" s="1"/>
  <c r="I46" i="9"/>
  <c r="P48" i="2" s="1"/>
  <c r="H46" i="9"/>
  <c r="O48" i="2" s="1"/>
  <c r="N44" i="9"/>
  <c r="N45" i="9"/>
  <c r="F19" i="3"/>
  <c r="D19" i="3" s="1"/>
  <c r="J61" i="10" l="1"/>
  <c r="J63" i="10" s="1"/>
  <c r="J52" i="9"/>
  <c r="J54" i="9" s="1"/>
  <c r="CL96" i="4"/>
  <c r="CL90" i="4"/>
  <c r="CL84" i="4"/>
  <c r="R49" i="2"/>
  <c r="R50" i="2" s="1"/>
  <c r="J61" i="9"/>
  <c r="Q49" i="2" s="1"/>
  <c r="Q50" i="2" s="1"/>
  <c r="K61" i="10"/>
  <c r="K63" i="10" s="1"/>
  <c r="M55" i="10"/>
  <c r="M58" i="10" s="1"/>
  <c r="J72" i="10"/>
  <c r="J76" i="10" s="1"/>
  <c r="J84" i="10" s="1"/>
  <c r="J87" i="10" s="1"/>
  <c r="J88" i="10" s="1"/>
  <c r="P14" i="9"/>
  <c r="O14" i="10"/>
  <c r="K54" i="9"/>
  <c r="K63" i="9" s="1"/>
  <c r="K67" i="9" s="1"/>
  <c r="K75" i="9" s="1"/>
  <c r="K78" i="9" s="1"/>
  <c r="K79" i="9" s="1"/>
  <c r="R52" i="2" s="1"/>
  <c r="CL3" i="4"/>
  <c r="CL102" i="4"/>
  <c r="CL104" i="4" s="1"/>
  <c r="L52" i="9"/>
  <c r="L54" i="9" s="1"/>
  <c r="CL38" i="4"/>
  <c r="CL62" i="4" s="1"/>
  <c r="CL23" i="4"/>
  <c r="CL47" i="4" s="1"/>
  <c r="CL34" i="4"/>
  <c r="CL58" i="4" s="1"/>
  <c r="CL22" i="4"/>
  <c r="CL46" i="4" s="1"/>
  <c r="CL21" i="4"/>
  <c r="CL45" i="4" s="1"/>
  <c r="CL28" i="4"/>
  <c r="CL52" i="4" s="1"/>
  <c r="CK65" i="4"/>
  <c r="CM7" i="4"/>
  <c r="CL6" i="4"/>
  <c r="CL94" i="4"/>
  <c r="CL95" i="4" s="1"/>
  <c r="CL97" i="4" s="1"/>
  <c r="CL88" i="4"/>
  <c r="CL89" i="4" s="1"/>
  <c r="CL91" i="4" s="1"/>
  <c r="CN11" i="4"/>
  <c r="CM12" i="4"/>
  <c r="CM17" i="4"/>
  <c r="CM16" i="4"/>
  <c r="CM9" i="4" s="1"/>
  <c r="CK95" i="4"/>
  <c r="CK97" i="4" s="1"/>
  <c r="CK89" i="4"/>
  <c r="CK91" i="4" s="1"/>
  <c r="K82" i="10"/>
  <c r="L58" i="10"/>
  <c r="L66" i="10"/>
  <c r="L60" i="10"/>
  <c r="L74" i="10"/>
  <c r="L85" i="10"/>
  <c r="L61" i="9"/>
  <c r="L67" i="10"/>
  <c r="L59" i="10"/>
  <c r="L79" i="10"/>
  <c r="I68" i="10"/>
  <c r="K70" i="10"/>
  <c r="K72" i="10" s="1"/>
  <c r="K76" i="10" s="1"/>
  <c r="L68" i="10"/>
  <c r="L73" i="9"/>
  <c r="L80" i="10"/>
  <c r="I59" i="10"/>
  <c r="I85" i="10"/>
  <c r="I80" i="10"/>
  <c r="I74" i="10"/>
  <c r="I60" i="10"/>
  <c r="I67" i="10"/>
  <c r="I79" i="10"/>
  <c r="I58" i="10"/>
  <c r="I69" i="10"/>
  <c r="H85" i="10"/>
  <c r="H80" i="10"/>
  <c r="H79" i="10"/>
  <c r="H74" i="10"/>
  <c r="H58" i="10"/>
  <c r="H69" i="10"/>
  <c r="H68" i="10"/>
  <c r="H67" i="10"/>
  <c r="H66" i="10"/>
  <c r="H60" i="10"/>
  <c r="H59" i="10"/>
  <c r="M68" i="10"/>
  <c r="M60" i="10"/>
  <c r="M80" i="10"/>
  <c r="M74" i="10"/>
  <c r="M67" i="10"/>
  <c r="M59" i="10"/>
  <c r="M85" i="10"/>
  <c r="M66" i="10"/>
  <c r="N54" i="10"/>
  <c r="N53" i="10"/>
  <c r="M71" i="9"/>
  <c r="M76" i="9"/>
  <c r="M70" i="9"/>
  <c r="H59" i="9"/>
  <c r="H60" i="9"/>
  <c r="H76" i="9"/>
  <c r="I59" i="9"/>
  <c r="H70" i="9"/>
  <c r="I51" i="9"/>
  <c r="I57" i="9"/>
  <c r="H57" i="9"/>
  <c r="I71" i="9"/>
  <c r="H65" i="9"/>
  <c r="H50" i="9"/>
  <c r="M50" i="9"/>
  <c r="M60" i="9"/>
  <c r="M49" i="9"/>
  <c r="I60" i="9"/>
  <c r="H51" i="9"/>
  <c r="I58" i="9"/>
  <c r="I50" i="9"/>
  <c r="M65" i="9"/>
  <c r="I65" i="9"/>
  <c r="I76" i="9"/>
  <c r="M59" i="9"/>
  <c r="I70" i="9"/>
  <c r="H71" i="9"/>
  <c r="I49" i="9"/>
  <c r="M57" i="9"/>
  <c r="M58" i="9"/>
  <c r="H49" i="9"/>
  <c r="H58" i="9"/>
  <c r="N46" i="9"/>
  <c r="N50" i="9" s="1"/>
  <c r="O44" i="9"/>
  <c r="O45" i="9"/>
  <c r="H19" i="3"/>
  <c r="F14" i="3" s="1"/>
  <c r="F20" i="3"/>
  <c r="D20" i="3" s="1"/>
  <c r="CM84" i="4" l="1"/>
  <c r="CM90" i="4"/>
  <c r="CM88" i="4" s="1"/>
  <c r="CM89" i="4" s="1"/>
  <c r="CM91" i="4" s="1"/>
  <c r="CM96" i="4"/>
  <c r="CM94" i="4" s="1"/>
  <c r="M79" i="10"/>
  <c r="M69" i="10"/>
  <c r="J63" i="9"/>
  <c r="J67" i="9" s="1"/>
  <c r="R51" i="2"/>
  <c r="Q14" i="9"/>
  <c r="P14" i="10"/>
  <c r="CM3" i="4"/>
  <c r="CM102" i="4"/>
  <c r="CM104" i="4" s="1"/>
  <c r="CN7" i="4"/>
  <c r="CM6" i="4"/>
  <c r="CO11" i="4"/>
  <c r="CN12" i="4"/>
  <c r="CN17" i="4"/>
  <c r="CN16" i="4"/>
  <c r="CN9" i="4" s="1"/>
  <c r="CL65" i="4"/>
  <c r="CM21" i="4"/>
  <c r="CM45" i="4" s="1"/>
  <c r="CM28" i="4"/>
  <c r="CM52" i="4" s="1"/>
  <c r="CM22" i="4"/>
  <c r="CM46" i="4" s="1"/>
  <c r="CM38" i="4"/>
  <c r="CM62" i="4" s="1"/>
  <c r="CM23" i="4"/>
  <c r="CM47" i="4" s="1"/>
  <c r="CM34" i="4"/>
  <c r="CM58" i="4" s="1"/>
  <c r="O46" i="9"/>
  <c r="O49" i="9" s="1"/>
  <c r="K84" i="10"/>
  <c r="K87" i="10" s="1"/>
  <c r="K88" i="10" s="1"/>
  <c r="I70" i="10"/>
  <c r="M52" i="9"/>
  <c r="M54" i="9" s="1"/>
  <c r="S49" i="2"/>
  <c r="S50" i="2" s="1"/>
  <c r="L61" i="10"/>
  <c r="L63" i="10" s="1"/>
  <c r="M73" i="9"/>
  <c r="L82" i="10"/>
  <c r="L70" i="10"/>
  <c r="L63" i="9"/>
  <c r="L67" i="9" s="1"/>
  <c r="L75" i="9" s="1"/>
  <c r="L78" i="9" s="1"/>
  <c r="AB7" i="3" s="1"/>
  <c r="I82" i="10"/>
  <c r="N60" i="9"/>
  <c r="N65" i="9"/>
  <c r="N49" i="9"/>
  <c r="I61" i="10"/>
  <c r="I63" i="10" s="1"/>
  <c r="H82" i="10"/>
  <c r="H70" i="10"/>
  <c r="N55" i="10"/>
  <c r="N74" i="10" s="1"/>
  <c r="M70" i="10"/>
  <c r="O54" i="10"/>
  <c r="O53" i="10"/>
  <c r="H61" i="10"/>
  <c r="H63" i="10" s="1"/>
  <c r="M82" i="10"/>
  <c r="M61" i="10"/>
  <c r="M63" i="10" s="1"/>
  <c r="N71" i="9"/>
  <c r="M61" i="9"/>
  <c r="N51" i="9"/>
  <c r="F21" i="3"/>
  <c r="D21" i="3" s="1"/>
  <c r="H21" i="3" s="1"/>
  <c r="H20" i="3"/>
  <c r="I73" i="9"/>
  <c r="H73" i="9"/>
  <c r="N70" i="9"/>
  <c r="N57" i="9"/>
  <c r="N59" i="9"/>
  <c r="N58" i="9"/>
  <c r="N76" i="9"/>
  <c r="I61" i="9"/>
  <c r="H52" i="9"/>
  <c r="H54" i="9" s="1"/>
  <c r="I52" i="9"/>
  <c r="H61" i="9"/>
  <c r="P45" i="9"/>
  <c r="P44" i="9"/>
  <c r="CN84" i="4" l="1"/>
  <c r="CN96" i="4"/>
  <c r="CN94" i="4" s="1"/>
  <c r="CN95" i="4" s="1"/>
  <c r="CN97" i="4" s="1"/>
  <c r="CN90" i="4"/>
  <c r="CN88" i="4" s="1"/>
  <c r="CN89" i="4" s="1"/>
  <c r="CN91" i="4" s="1"/>
  <c r="R14" i="9"/>
  <c r="Q14" i="10"/>
  <c r="L79" i="9"/>
  <c r="S52" i="2" s="1"/>
  <c r="CN3" i="4"/>
  <c r="CN102" i="4"/>
  <c r="CN104" i="4" s="1"/>
  <c r="O50" i="9"/>
  <c r="O51" i="9"/>
  <c r="O60" i="9"/>
  <c r="O71" i="9"/>
  <c r="CP11" i="4"/>
  <c r="CO12" i="4"/>
  <c r="CO17" i="4"/>
  <c r="CO16" i="4"/>
  <c r="CO9" i="4" s="1"/>
  <c r="O65" i="9"/>
  <c r="CM65" i="4"/>
  <c r="O70" i="9"/>
  <c r="O73" i="9" s="1"/>
  <c r="M63" i="9"/>
  <c r="M67" i="9" s="1"/>
  <c r="M75" i="9" s="1"/>
  <c r="M78" i="9" s="1"/>
  <c r="M79" i="9" s="1"/>
  <c r="CN6" i="4"/>
  <c r="CO7" i="4"/>
  <c r="O76" i="9"/>
  <c r="O57" i="9"/>
  <c r="O59" i="9"/>
  <c r="CN38" i="4"/>
  <c r="CN62" i="4" s="1"/>
  <c r="CN23" i="4"/>
  <c r="CN47" i="4" s="1"/>
  <c r="CN34" i="4"/>
  <c r="CN58" i="4" s="1"/>
  <c r="CN22" i="4"/>
  <c r="CN46" i="4" s="1"/>
  <c r="CN21" i="4"/>
  <c r="CN45" i="4" s="1"/>
  <c r="CN28" i="4"/>
  <c r="CN52" i="4" s="1"/>
  <c r="O58" i="9"/>
  <c r="L72" i="10"/>
  <c r="L76" i="10" s="1"/>
  <c r="L84" i="10" s="1"/>
  <c r="L87" i="10" s="1"/>
  <c r="L88" i="10" s="1"/>
  <c r="CM95" i="4"/>
  <c r="CM97" i="4" s="1"/>
  <c r="I72" i="10"/>
  <c r="I76" i="10" s="1"/>
  <c r="I84" i="10" s="1"/>
  <c r="I87" i="10" s="1"/>
  <c r="I88" i="10" s="1"/>
  <c r="S51" i="2"/>
  <c r="O55" i="10"/>
  <c r="O66" i="10" s="1"/>
  <c r="N52" i="9"/>
  <c r="N54" i="9" s="1"/>
  <c r="N73" i="9"/>
  <c r="N68" i="10"/>
  <c r="H72" i="10"/>
  <c r="H76" i="10" s="1"/>
  <c r="H84" i="10" s="1"/>
  <c r="H87" i="10" s="1"/>
  <c r="H88" i="10" s="1"/>
  <c r="N79" i="10"/>
  <c r="N85" i="10"/>
  <c r="N67" i="10"/>
  <c r="N59" i="10"/>
  <c r="N66" i="10"/>
  <c r="N80" i="10"/>
  <c r="N58" i="10"/>
  <c r="N69" i="10"/>
  <c r="M72" i="10"/>
  <c r="M76" i="10" s="1"/>
  <c r="M84" i="10" s="1"/>
  <c r="M87" i="10" s="1"/>
  <c r="N60" i="10"/>
  <c r="P53" i="10"/>
  <c r="P54" i="10"/>
  <c r="F22" i="3"/>
  <c r="D22" i="3" s="1"/>
  <c r="H22" i="3" s="1"/>
  <c r="P46" i="9"/>
  <c r="P57" i="9" s="1"/>
  <c r="H63" i="9"/>
  <c r="H67" i="9" s="1"/>
  <c r="H75" i="9" s="1"/>
  <c r="H78" i="9" s="1"/>
  <c r="O51" i="2" s="1"/>
  <c r="O49" i="2"/>
  <c r="O50" i="2" s="1"/>
  <c r="N61" i="9"/>
  <c r="I54" i="9"/>
  <c r="I63" i="9" s="1"/>
  <c r="I67" i="9" s="1"/>
  <c r="I75" i="9" s="1"/>
  <c r="I78" i="9" s="1"/>
  <c r="P49" i="2"/>
  <c r="P50" i="2" s="1"/>
  <c r="Q44" i="9"/>
  <c r="Q45" i="9"/>
  <c r="CO90" i="4" l="1"/>
  <c r="CO84" i="4"/>
  <c r="CO96" i="4"/>
  <c r="CO94" i="4" s="1"/>
  <c r="O52" i="9"/>
  <c r="O54" i="9" s="1"/>
  <c r="M88" i="10"/>
  <c r="AP7" i="3"/>
  <c r="S14" i="9"/>
  <c r="R14" i="10"/>
  <c r="CO3" i="4"/>
  <c r="CO102" i="4"/>
  <c r="CO104" i="4" s="1"/>
  <c r="O61" i="9"/>
  <c r="P65" i="9"/>
  <c r="P76" i="9"/>
  <c r="P59" i="9"/>
  <c r="CO38" i="4"/>
  <c r="CO62" i="4" s="1"/>
  <c r="CO23" i="4"/>
  <c r="CO47" i="4" s="1"/>
  <c r="CO34" i="4"/>
  <c r="CO58" i="4" s="1"/>
  <c r="CO22" i="4"/>
  <c r="CO46" i="4" s="1"/>
  <c r="CO21" i="4"/>
  <c r="CO45" i="4" s="1"/>
  <c r="CO28" i="4"/>
  <c r="CO52" i="4" s="1"/>
  <c r="CQ11" i="4"/>
  <c r="CP12" i="4"/>
  <c r="CP17" i="4"/>
  <c r="CP16" i="4"/>
  <c r="CP9" i="4" s="1"/>
  <c r="P51" i="9"/>
  <c r="CN65" i="4"/>
  <c r="CP7" i="4"/>
  <c r="CO6" i="4"/>
  <c r="CO88" i="4"/>
  <c r="CO89" i="4" s="1"/>
  <c r="CO91" i="4" s="1"/>
  <c r="P58" i="9"/>
  <c r="P70" i="9"/>
  <c r="P60" i="9"/>
  <c r="F23" i="3"/>
  <c r="D23" i="3" s="1"/>
  <c r="H23" i="3" s="1"/>
  <c r="P49" i="9"/>
  <c r="O59" i="10"/>
  <c r="O68" i="10"/>
  <c r="O69" i="10"/>
  <c r="O67" i="10"/>
  <c r="O70" i="10" s="1"/>
  <c r="O85" i="10"/>
  <c r="N70" i="10"/>
  <c r="O58" i="10"/>
  <c r="N63" i="9"/>
  <c r="N67" i="9" s="1"/>
  <c r="N75" i="9" s="1"/>
  <c r="N78" i="9" s="1"/>
  <c r="O74" i="10"/>
  <c r="O79" i="10"/>
  <c r="O60" i="10"/>
  <c r="N61" i="10"/>
  <c r="N63" i="10" s="1"/>
  <c r="N82" i="10"/>
  <c r="P50" i="9"/>
  <c r="O80" i="10"/>
  <c r="P71" i="9"/>
  <c r="P55" i="10"/>
  <c r="P67" i="10" s="1"/>
  <c r="Q53" i="10"/>
  <c r="Q54" i="10"/>
  <c r="H79" i="9"/>
  <c r="O52" i="2" s="1"/>
  <c r="P51" i="2"/>
  <c r="I79" i="9"/>
  <c r="P52" i="2" s="1"/>
  <c r="Q46" i="9"/>
  <c r="Q76" i="9" s="1"/>
  <c r="R44" i="9"/>
  <c r="R45" i="9"/>
  <c r="CP96" i="4" l="1"/>
  <c r="CP84" i="4"/>
  <c r="CP90" i="4"/>
  <c r="CP88" i="4" s="1"/>
  <c r="CP89" i="4" s="1"/>
  <c r="CP91" i="4" s="1"/>
  <c r="O63" i="9"/>
  <c r="O67" i="9" s="1"/>
  <c r="O75" i="9" s="1"/>
  <c r="O78" i="9" s="1"/>
  <c r="N72" i="10"/>
  <c r="N76" i="10" s="1"/>
  <c r="T14" i="9"/>
  <c r="S14" i="10"/>
  <c r="CP3" i="4"/>
  <c r="CP102" i="4"/>
  <c r="CP104" i="4" s="1"/>
  <c r="F24" i="3"/>
  <c r="D24" i="3" s="1"/>
  <c r="H24" i="3" s="1"/>
  <c r="P61" i="9"/>
  <c r="O61" i="10"/>
  <c r="O63" i="10" s="1"/>
  <c r="O72" i="10" s="1"/>
  <c r="O76" i="10" s="1"/>
  <c r="CO95" i="4"/>
  <c r="CO97" i="4" s="1"/>
  <c r="CP6" i="4"/>
  <c r="CQ7" i="4"/>
  <c r="CP94" i="4"/>
  <c r="CP95" i="4" s="1"/>
  <c r="CP97" i="4" s="1"/>
  <c r="CO65" i="4"/>
  <c r="CP28" i="4"/>
  <c r="CP52" i="4" s="1"/>
  <c r="CP38" i="4"/>
  <c r="CP62" i="4" s="1"/>
  <c r="CP23" i="4"/>
  <c r="CP47" i="4" s="1"/>
  <c r="CP34" i="4"/>
  <c r="CP58" i="4" s="1"/>
  <c r="CP22" i="4"/>
  <c r="CP46" i="4" s="1"/>
  <c r="CP21" i="4"/>
  <c r="CP45" i="4" s="1"/>
  <c r="CR11" i="4"/>
  <c r="CQ12" i="4"/>
  <c r="CQ17" i="4"/>
  <c r="CQ16" i="4"/>
  <c r="CQ9" i="4" s="1"/>
  <c r="N84" i="10"/>
  <c r="N87" i="10" s="1"/>
  <c r="N88" i="10" s="1"/>
  <c r="P73" i="9"/>
  <c r="P52" i="9"/>
  <c r="P54" i="9" s="1"/>
  <c r="I86" i="9"/>
  <c r="P56" i="2" s="1"/>
  <c r="O82" i="10"/>
  <c r="N79" i="9"/>
  <c r="P69" i="10"/>
  <c r="P68" i="10"/>
  <c r="P59" i="10"/>
  <c r="P60" i="10"/>
  <c r="P79" i="10"/>
  <c r="P80" i="10"/>
  <c r="P85" i="10"/>
  <c r="P66" i="10"/>
  <c r="P58" i="10"/>
  <c r="P74" i="10"/>
  <c r="Q55" i="10"/>
  <c r="R53" i="10"/>
  <c r="R54" i="10"/>
  <c r="O79" i="9"/>
  <c r="R46" i="9"/>
  <c r="R76" i="9" s="1"/>
  <c r="Q58" i="9"/>
  <c r="Q51" i="9"/>
  <c r="Q50" i="9"/>
  <c r="Q57" i="9"/>
  <c r="Q65" i="9"/>
  <c r="Q49" i="9"/>
  <c r="Q60" i="9"/>
  <c r="Q59" i="9"/>
  <c r="Q70" i="9"/>
  <c r="Q71" i="9"/>
  <c r="S45" i="9"/>
  <c r="S44" i="9"/>
  <c r="F25" i="3" l="1"/>
  <c r="D25" i="3" s="1"/>
  <c r="CQ90" i="4"/>
  <c r="CQ88" i="4" s="1"/>
  <c r="CQ89" i="4" s="1"/>
  <c r="CQ91" i="4" s="1"/>
  <c r="CQ84" i="4"/>
  <c r="CQ96" i="4"/>
  <c r="CQ94" i="4" s="1"/>
  <c r="CQ95" i="4" s="1"/>
  <c r="CQ97" i="4" s="1"/>
  <c r="P63" i="9"/>
  <c r="P67" i="9" s="1"/>
  <c r="P75" i="9" s="1"/>
  <c r="P78" i="9" s="1"/>
  <c r="P79" i="9" s="1"/>
  <c r="T14" i="10"/>
  <c r="CQ3" i="4"/>
  <c r="CQ102" i="4"/>
  <c r="CQ104" i="4" s="1"/>
  <c r="CP65" i="4"/>
  <c r="CQ21" i="4"/>
  <c r="CQ45" i="4" s="1"/>
  <c r="CQ38" i="4"/>
  <c r="CQ62" i="4" s="1"/>
  <c r="CQ23" i="4"/>
  <c r="CQ47" i="4" s="1"/>
  <c r="CQ34" i="4"/>
  <c r="CQ58" i="4" s="1"/>
  <c r="CQ22" i="4"/>
  <c r="CQ46" i="4" s="1"/>
  <c r="CQ28" i="4"/>
  <c r="CQ52" i="4" s="1"/>
  <c r="CS11" i="4"/>
  <c r="CR12" i="4"/>
  <c r="CR17" i="4"/>
  <c r="CR16" i="4"/>
  <c r="CR9" i="4" s="1"/>
  <c r="CQ6" i="4"/>
  <c r="CR7" i="4"/>
  <c r="S46" i="9"/>
  <c r="S60" i="9" s="1"/>
  <c r="O84" i="10"/>
  <c r="O87" i="10" s="1"/>
  <c r="R65" i="9"/>
  <c r="R59" i="9"/>
  <c r="P70" i="10"/>
  <c r="Q52" i="9"/>
  <c r="Q54" i="9" s="1"/>
  <c r="R51" i="9"/>
  <c r="R58" i="9"/>
  <c r="P61" i="10"/>
  <c r="P63" i="10" s="1"/>
  <c r="R50" i="9"/>
  <c r="R49" i="9"/>
  <c r="R57" i="9"/>
  <c r="R60" i="9"/>
  <c r="R70" i="9"/>
  <c r="P82" i="10"/>
  <c r="R55" i="10"/>
  <c r="Q67" i="10"/>
  <c r="Q60" i="10"/>
  <c r="Q79" i="10"/>
  <c r="Q69" i="10"/>
  <c r="Q74" i="10"/>
  <c r="Q68" i="10"/>
  <c r="Q85" i="10"/>
  <c r="Q80" i="10"/>
  <c r="Q66" i="10"/>
  <c r="Q58" i="10"/>
  <c r="Q59" i="10"/>
  <c r="S53" i="10"/>
  <c r="S54" i="10"/>
  <c r="R71" i="9"/>
  <c r="F26" i="3"/>
  <c r="D26" i="3" s="1"/>
  <c r="H26" i="3" s="1"/>
  <c r="H25" i="3"/>
  <c r="Q61" i="9"/>
  <c r="Q73" i="9"/>
  <c r="T45" i="9"/>
  <c r="T44" i="9"/>
  <c r="CR84" i="4" l="1"/>
  <c r="CR90" i="4"/>
  <c r="CR88" i="4" s="1"/>
  <c r="CR89" i="4" s="1"/>
  <c r="CR91" i="4" s="1"/>
  <c r="CR96" i="4"/>
  <c r="CR94" i="4" s="1"/>
  <c r="CR95" i="4" s="1"/>
  <c r="CR97" i="4" s="1"/>
  <c r="S49" i="9"/>
  <c r="S76" i="9"/>
  <c r="S70" i="9"/>
  <c r="S71" i="9"/>
  <c r="S58" i="9"/>
  <c r="S57" i="9"/>
  <c r="P72" i="10"/>
  <c r="P76" i="10" s="1"/>
  <c r="S65" i="9"/>
  <c r="S51" i="9"/>
  <c r="S59" i="9"/>
  <c r="S50" i="9"/>
  <c r="S52" i="9" s="1"/>
  <c r="S54" i="9" s="1"/>
  <c r="CR3" i="4"/>
  <c r="CR102" i="4"/>
  <c r="CR104" i="4" s="1"/>
  <c r="CR34" i="4"/>
  <c r="CR58" i="4" s="1"/>
  <c r="CR22" i="4"/>
  <c r="CR46" i="4" s="1"/>
  <c r="CR21" i="4"/>
  <c r="CR45" i="4" s="1"/>
  <c r="CR28" i="4"/>
  <c r="CR52" i="4" s="1"/>
  <c r="CR38" i="4"/>
  <c r="CR62" i="4" s="1"/>
  <c r="CR23" i="4"/>
  <c r="CR47" i="4" s="1"/>
  <c r="CT11" i="4"/>
  <c r="CS12" i="4"/>
  <c r="CS17" i="4"/>
  <c r="CS16" i="4"/>
  <c r="CS9" i="4" s="1"/>
  <c r="R52" i="9"/>
  <c r="R54" i="9" s="1"/>
  <c r="CQ65" i="4"/>
  <c r="CS7" i="4"/>
  <c r="CR6" i="4"/>
  <c r="Q63" i="9"/>
  <c r="Q67" i="9" s="1"/>
  <c r="Q75" i="9" s="1"/>
  <c r="Q78" i="9" s="1"/>
  <c r="O88" i="10"/>
  <c r="R61" i="9"/>
  <c r="R73" i="9"/>
  <c r="P84" i="10"/>
  <c r="P87" i="10" s="1"/>
  <c r="P88" i="10" s="1"/>
  <c r="Q70" i="10"/>
  <c r="S55" i="10"/>
  <c r="S60" i="10" s="1"/>
  <c r="T53" i="10"/>
  <c r="T54" i="10"/>
  <c r="F27" i="3"/>
  <c r="D27" i="3" s="1"/>
  <c r="H27" i="3" s="1"/>
  <c r="Q61" i="10"/>
  <c r="Q63" i="10" s="1"/>
  <c r="Q82" i="10"/>
  <c r="R59" i="10"/>
  <c r="R58" i="10"/>
  <c r="R79" i="10"/>
  <c r="R68" i="10"/>
  <c r="R66" i="10"/>
  <c r="R85" i="10"/>
  <c r="R80" i="10"/>
  <c r="R69" i="10"/>
  <c r="R67" i="10"/>
  <c r="R60" i="10"/>
  <c r="R74" i="10"/>
  <c r="T46" i="9"/>
  <c r="T76" i="9" s="1"/>
  <c r="S73" i="9"/>
  <c r="CS90" i="4" l="1"/>
  <c r="CS96" i="4"/>
  <c r="CS94" i="4" s="1"/>
  <c r="CS95" i="4" s="1"/>
  <c r="CS97" i="4" s="1"/>
  <c r="CS84" i="4"/>
  <c r="S61" i="9"/>
  <c r="R63" i="9"/>
  <c r="R67" i="9" s="1"/>
  <c r="R75" i="9" s="1"/>
  <c r="R78" i="9" s="1"/>
  <c r="R79" i="9" s="1"/>
  <c r="CS3" i="4"/>
  <c r="CS102" i="4"/>
  <c r="CS104" i="4" s="1"/>
  <c r="T57" i="9"/>
  <c r="CT7" i="4"/>
  <c r="CS6" i="4"/>
  <c r="CS88" i="4"/>
  <c r="CS89" i="4" s="1"/>
  <c r="CS91" i="4" s="1"/>
  <c r="CT12" i="4"/>
  <c r="CU11" i="4"/>
  <c r="CT17" i="4"/>
  <c r="CT16" i="4"/>
  <c r="CT9" i="4" s="1"/>
  <c r="CR65" i="4"/>
  <c r="CS22" i="4"/>
  <c r="CS46" i="4" s="1"/>
  <c r="CS21" i="4"/>
  <c r="CS45" i="4" s="1"/>
  <c r="CS28" i="4"/>
  <c r="CS52" i="4" s="1"/>
  <c r="CS38" i="4"/>
  <c r="CS62" i="4" s="1"/>
  <c r="CS23" i="4"/>
  <c r="CS47" i="4" s="1"/>
  <c r="CS34" i="4"/>
  <c r="CS58" i="4" s="1"/>
  <c r="Q72" i="10"/>
  <c r="Q76" i="10" s="1"/>
  <c r="Q84" i="10" s="1"/>
  <c r="Q87" i="10" s="1"/>
  <c r="S85" i="10"/>
  <c r="S66" i="10"/>
  <c r="S69" i="10"/>
  <c r="S59" i="10"/>
  <c r="S68" i="10"/>
  <c r="S80" i="10"/>
  <c r="S58" i="10"/>
  <c r="S74" i="10"/>
  <c r="S79" i="10"/>
  <c r="T55" i="10"/>
  <c r="T59" i="10" s="1"/>
  <c r="S67" i="10"/>
  <c r="T49" i="9"/>
  <c r="R70" i="10"/>
  <c r="T70" i="9"/>
  <c r="Q79" i="9"/>
  <c r="T65" i="9"/>
  <c r="F28" i="3"/>
  <c r="D28" i="3" s="1"/>
  <c r="H28" i="3" s="1"/>
  <c r="T58" i="9"/>
  <c r="R82" i="10"/>
  <c r="R61" i="10"/>
  <c r="R63" i="10" s="1"/>
  <c r="T59" i="9"/>
  <c r="T71" i="9"/>
  <c r="T60" i="9"/>
  <c r="T50" i="9"/>
  <c r="T51" i="9"/>
  <c r="S63" i="9"/>
  <c r="S67" i="9" s="1"/>
  <c r="S75" i="9" s="1"/>
  <c r="S78" i="9" s="1"/>
  <c r="CT84" i="4" l="1"/>
  <c r="CT90" i="4"/>
  <c r="CT88" i="4" s="1"/>
  <c r="CT89" i="4" s="1"/>
  <c r="CT91" i="4" s="1"/>
  <c r="CT96" i="4"/>
  <c r="CT94" i="4" s="1"/>
  <c r="CT95" i="4" s="1"/>
  <c r="CT97" i="4" s="1"/>
  <c r="T73" i="9"/>
  <c r="CT3" i="4"/>
  <c r="CT102" i="4"/>
  <c r="CT104" i="4" s="1"/>
  <c r="T61" i="9"/>
  <c r="CT21" i="4"/>
  <c r="CT45" i="4" s="1"/>
  <c r="CT28" i="4"/>
  <c r="CT52" i="4" s="1"/>
  <c r="CT22" i="4"/>
  <c r="CT46" i="4" s="1"/>
  <c r="CT38" i="4"/>
  <c r="CT62" i="4" s="1"/>
  <c r="CT34" i="4"/>
  <c r="CT58" i="4" s="1"/>
  <c r="CT23" i="4"/>
  <c r="CT47" i="4" s="1"/>
  <c r="CV11" i="4"/>
  <c r="CU12" i="4"/>
  <c r="CU17" i="4"/>
  <c r="CU16" i="4"/>
  <c r="CU9" i="4" s="1"/>
  <c r="CS65" i="4"/>
  <c r="CU7" i="4"/>
  <c r="CT6" i="4"/>
  <c r="S82" i="10"/>
  <c r="R23" i="10"/>
  <c r="Q23" i="10"/>
  <c r="S70" i="10"/>
  <c r="T52" i="9"/>
  <c r="T54" i="9" s="1"/>
  <c r="S61" i="10"/>
  <c r="S63" i="10" s="1"/>
  <c r="T66" i="10"/>
  <c r="T67" i="10"/>
  <c r="T69" i="10"/>
  <c r="T79" i="10"/>
  <c r="T60" i="10"/>
  <c r="T58" i="10"/>
  <c r="T80" i="10"/>
  <c r="T68" i="10"/>
  <c r="T74" i="10"/>
  <c r="T85" i="10"/>
  <c r="R72" i="10"/>
  <c r="R76" i="10" s="1"/>
  <c r="R84" i="10" s="1"/>
  <c r="R87" i="10" s="1"/>
  <c r="R88" i="10" s="1"/>
  <c r="Q88" i="10"/>
  <c r="F29" i="3"/>
  <c r="D29" i="3" s="1"/>
  <c r="H29" i="3" s="1"/>
  <c r="S79" i="9"/>
  <c r="CU96" i="4" l="1"/>
  <c r="CU84" i="4"/>
  <c r="CU90" i="4"/>
  <c r="CU88" i="4" s="1"/>
  <c r="CU89" i="4" s="1"/>
  <c r="CU91" i="4" s="1"/>
  <c r="T63" i="9"/>
  <c r="T67" i="9" s="1"/>
  <c r="T75" i="9" s="1"/>
  <c r="T78" i="9" s="1"/>
  <c r="T79" i="9" s="1"/>
  <c r="CU3" i="4"/>
  <c r="CU102" i="4"/>
  <c r="CU104" i="4" s="1"/>
  <c r="T70" i="10"/>
  <c r="CU22" i="4"/>
  <c r="CU46" i="4" s="1"/>
  <c r="CU21" i="4"/>
  <c r="CU45" i="4" s="1"/>
  <c r="CU28" i="4"/>
  <c r="CU52" i="4" s="1"/>
  <c r="CU38" i="4"/>
  <c r="CU62" i="4" s="1"/>
  <c r="CU23" i="4"/>
  <c r="CU47" i="4" s="1"/>
  <c r="CU34" i="4"/>
  <c r="CU58" i="4" s="1"/>
  <c r="CV7" i="4"/>
  <c r="CU6" i="4"/>
  <c r="CU94" i="4"/>
  <c r="CU95" i="4" s="1"/>
  <c r="CU97" i="4" s="1"/>
  <c r="CW11" i="4"/>
  <c r="CV12" i="4"/>
  <c r="CV17" i="4"/>
  <c r="CV16" i="4"/>
  <c r="CV9" i="4" s="1"/>
  <c r="CT65" i="4"/>
  <c r="T23" i="10"/>
  <c r="S23" i="10"/>
  <c r="S72" i="10"/>
  <c r="S76" i="10" s="1"/>
  <c r="S84" i="10" s="1"/>
  <c r="S87" i="10" s="1"/>
  <c r="S88" i="10" s="1"/>
  <c r="T61" i="10"/>
  <c r="T63" i="10" s="1"/>
  <c r="T72" i="10" s="1"/>
  <c r="T76" i="10" s="1"/>
  <c r="T82" i="10"/>
  <c r="F30" i="3"/>
  <c r="D30" i="3" s="1"/>
  <c r="H30" i="3" s="1"/>
  <c r="CV84" i="4" l="1"/>
  <c r="CV90" i="4"/>
  <c r="CV88" i="4" s="1"/>
  <c r="CV89" i="4" s="1"/>
  <c r="CV91" i="4" s="1"/>
  <c r="CV96" i="4"/>
  <c r="CV94" i="4" s="1"/>
  <c r="CV95" i="4" s="1"/>
  <c r="CV97" i="4" s="1"/>
  <c r="CV3" i="4"/>
  <c r="CV102" i="4"/>
  <c r="CV104" i="4" s="1"/>
  <c r="CV34" i="4"/>
  <c r="CV58" i="4" s="1"/>
  <c r="CV22" i="4"/>
  <c r="CV46" i="4" s="1"/>
  <c r="CV21" i="4"/>
  <c r="CV45" i="4" s="1"/>
  <c r="CV28" i="4"/>
  <c r="CV52" i="4" s="1"/>
  <c r="CV38" i="4"/>
  <c r="CV62" i="4" s="1"/>
  <c r="CV23" i="4"/>
  <c r="CV47" i="4" s="1"/>
  <c r="CX11" i="4"/>
  <c r="CW12" i="4"/>
  <c r="CW17" i="4"/>
  <c r="CW16" i="4"/>
  <c r="CW9" i="4" s="1"/>
  <c r="F31" i="3"/>
  <c r="D31" i="3" s="1"/>
  <c r="H31" i="3" s="1"/>
  <c r="CV6" i="4"/>
  <c r="CW7" i="4"/>
  <c r="CU65" i="4"/>
  <c r="T84" i="10"/>
  <c r="T87" i="10" s="1"/>
  <c r="T88" i="10" s="1"/>
  <c r="CW96" i="4" l="1"/>
  <c r="CW90" i="4"/>
  <c r="CW84" i="4"/>
  <c r="CW3" i="4"/>
  <c r="CW102" i="4"/>
  <c r="CW104" i="4" s="1"/>
  <c r="CY11" i="4"/>
  <c r="CX12" i="4"/>
  <c r="CX17" i="4"/>
  <c r="CX16" i="4"/>
  <c r="CX9" i="4" s="1"/>
  <c r="CW6" i="4"/>
  <c r="CX7" i="4"/>
  <c r="CW94" i="4"/>
  <c r="CW95" i="4" s="1"/>
  <c r="CW97" i="4" s="1"/>
  <c r="CW88" i="4"/>
  <c r="CW89" i="4" s="1"/>
  <c r="CW91" i="4" s="1"/>
  <c r="CW38" i="4"/>
  <c r="CW62" i="4" s="1"/>
  <c r="CW28" i="4"/>
  <c r="CW52" i="4" s="1"/>
  <c r="CW23" i="4"/>
  <c r="CW47" i="4" s="1"/>
  <c r="CW34" i="4"/>
  <c r="CW58" i="4" s="1"/>
  <c r="CW22" i="4"/>
  <c r="CW46" i="4" s="1"/>
  <c r="CW21" i="4"/>
  <c r="CW45" i="4" s="1"/>
  <c r="F32" i="3"/>
  <c r="D32" i="3" s="1"/>
  <c r="H32" i="3" s="1"/>
  <c r="CV65" i="4"/>
  <c r="CX84" i="4" l="1"/>
  <c r="CX90" i="4"/>
  <c r="CX96" i="4"/>
  <c r="CX94" i="4" s="1"/>
  <c r="CX95" i="4" s="1"/>
  <c r="CX97" i="4" s="1"/>
  <c r="CX3" i="4"/>
  <c r="CX102" i="4"/>
  <c r="CX104" i="4" s="1"/>
  <c r="CX23" i="4"/>
  <c r="CX47" i="4" s="1"/>
  <c r="CX34" i="4"/>
  <c r="CX58" i="4" s="1"/>
  <c r="CX22" i="4"/>
  <c r="CX46" i="4" s="1"/>
  <c r="CX21" i="4"/>
  <c r="CX45" i="4" s="1"/>
  <c r="CX28" i="4"/>
  <c r="CX52" i="4" s="1"/>
  <c r="CX38" i="4"/>
  <c r="CX62" i="4" s="1"/>
  <c r="CW65" i="4"/>
  <c r="CY7" i="4"/>
  <c r="CX6" i="4"/>
  <c r="CX88" i="4"/>
  <c r="CX89" i="4" s="1"/>
  <c r="CX91" i="4" s="1"/>
  <c r="F33" i="3"/>
  <c r="D33" i="3" s="1"/>
  <c r="H33" i="3" s="1"/>
  <c r="CY12" i="4"/>
  <c r="CZ11" i="4"/>
  <c r="CY17" i="4"/>
  <c r="CY16" i="4"/>
  <c r="CY9" i="4" s="1"/>
  <c r="CY96" i="4" l="1"/>
  <c r="CY90" i="4"/>
  <c r="CY84" i="4"/>
  <c r="CY3" i="4"/>
  <c r="CY102" i="4"/>
  <c r="CY104" i="4" s="1"/>
  <c r="CZ12" i="4"/>
  <c r="DA11" i="4"/>
  <c r="CZ17" i="4"/>
  <c r="CZ16" i="4"/>
  <c r="CZ9" i="4" s="1"/>
  <c r="F34" i="3"/>
  <c r="D34" i="3" s="1"/>
  <c r="H34" i="3" s="1"/>
  <c r="CX65" i="4"/>
  <c r="CZ7" i="4"/>
  <c r="CY6" i="4"/>
  <c r="CY94" i="4"/>
  <c r="CY95" i="4" s="1"/>
  <c r="CY97" i="4" s="1"/>
  <c r="CY88" i="4"/>
  <c r="CY89" i="4" s="1"/>
  <c r="CY91" i="4" s="1"/>
  <c r="CY38" i="4"/>
  <c r="CY62" i="4" s="1"/>
  <c r="CY23" i="4"/>
  <c r="CY47" i="4" s="1"/>
  <c r="CY34" i="4"/>
  <c r="CY58" i="4" s="1"/>
  <c r="CY22" i="4"/>
  <c r="CY46" i="4" s="1"/>
  <c r="CY21" i="4"/>
  <c r="CY45" i="4" s="1"/>
  <c r="CY28" i="4"/>
  <c r="CY52" i="4" s="1"/>
  <c r="CZ84" i="4" l="1"/>
  <c r="CZ90" i="4"/>
  <c r="CZ96" i="4"/>
  <c r="CZ94" i="4" s="1"/>
  <c r="CZ95" i="4" s="1"/>
  <c r="CZ97" i="4" s="1"/>
  <c r="CZ3" i="4"/>
  <c r="CZ102" i="4"/>
  <c r="CZ104" i="4" s="1"/>
  <c r="CY65" i="4"/>
  <c r="DA7" i="4"/>
  <c r="CZ6" i="4"/>
  <c r="CZ88" i="4"/>
  <c r="CZ89" i="4" s="1"/>
  <c r="CZ91" i="4" s="1"/>
  <c r="CZ23" i="4"/>
  <c r="CZ47" i="4" s="1"/>
  <c r="CZ34" i="4"/>
  <c r="CZ58" i="4" s="1"/>
  <c r="CZ22" i="4"/>
  <c r="CZ46" i="4" s="1"/>
  <c r="CZ21" i="4"/>
  <c r="CZ45" i="4" s="1"/>
  <c r="CZ28" i="4"/>
  <c r="CZ52" i="4" s="1"/>
  <c r="CZ38" i="4"/>
  <c r="CZ62" i="4" s="1"/>
  <c r="DA12" i="4"/>
  <c r="DB11" i="4"/>
  <c r="DA17" i="4"/>
  <c r="DA16" i="4"/>
  <c r="DA9" i="4" s="1"/>
  <c r="F35" i="3"/>
  <c r="D35" i="3" s="1"/>
  <c r="H35" i="3" s="1"/>
  <c r="DA84" i="4" l="1"/>
  <c r="DA96" i="4"/>
  <c r="DA94" i="4" s="1"/>
  <c r="DA95" i="4" s="1"/>
  <c r="DA97" i="4" s="1"/>
  <c r="DA90" i="4"/>
  <c r="DA88" i="4" s="1"/>
  <c r="DA89" i="4" s="1"/>
  <c r="DA91" i="4" s="1"/>
  <c r="DA3" i="4"/>
  <c r="DA102" i="4"/>
  <c r="DA104" i="4" s="1"/>
  <c r="CZ65" i="4"/>
  <c r="F36" i="3"/>
  <c r="D36" i="3" s="1"/>
  <c r="DA34" i="4"/>
  <c r="DA58" i="4" s="1"/>
  <c r="DA22" i="4"/>
  <c r="DA46" i="4" s="1"/>
  <c r="DA21" i="4"/>
  <c r="DA45" i="4" s="1"/>
  <c r="DA28" i="4"/>
  <c r="DA52" i="4" s="1"/>
  <c r="DA23" i="4"/>
  <c r="DA47" i="4" s="1"/>
  <c r="DA38" i="4"/>
  <c r="DA62" i="4" s="1"/>
  <c r="DC11" i="4"/>
  <c r="DB12" i="4"/>
  <c r="DB17" i="4"/>
  <c r="DB16" i="4"/>
  <c r="DB9" i="4" s="1"/>
  <c r="DA6" i="4"/>
  <c r="DB7" i="4"/>
  <c r="F37" i="3"/>
  <c r="D37" i="3" s="1"/>
  <c r="H36" i="3"/>
  <c r="DB84" i="4" l="1"/>
  <c r="DB96" i="4"/>
  <c r="DB94" i="4" s="1"/>
  <c r="DB95" i="4" s="1"/>
  <c r="DB97" i="4" s="1"/>
  <c r="DB90" i="4"/>
  <c r="DB88" i="4" s="1"/>
  <c r="DB89" i="4" s="1"/>
  <c r="DB91" i="4" s="1"/>
  <c r="DB3" i="4"/>
  <c r="DB102" i="4"/>
  <c r="DB104" i="4" s="1"/>
  <c r="DC7" i="4"/>
  <c r="DB6" i="4"/>
  <c r="DB38" i="4"/>
  <c r="DB62" i="4" s="1"/>
  <c r="DB23" i="4"/>
  <c r="DB47" i="4" s="1"/>
  <c r="DB34" i="4"/>
  <c r="DB58" i="4" s="1"/>
  <c r="DB22" i="4"/>
  <c r="DB46" i="4" s="1"/>
  <c r="DB21" i="4"/>
  <c r="DB45" i="4" s="1"/>
  <c r="DB28" i="4"/>
  <c r="DB52" i="4" s="1"/>
  <c r="DD11" i="4"/>
  <c r="DC12" i="4"/>
  <c r="DC17" i="4"/>
  <c r="DC16" i="4"/>
  <c r="DC9" i="4" s="1"/>
  <c r="DA65" i="4"/>
  <c r="H37" i="3"/>
  <c r="F38" i="3"/>
  <c r="D38" i="3" s="1"/>
  <c r="DC84" i="4" l="1"/>
  <c r="DC96" i="4"/>
  <c r="DC94" i="4" s="1"/>
  <c r="DC95" i="4" s="1"/>
  <c r="DC97" i="4" s="1"/>
  <c r="DC90" i="4"/>
  <c r="DC88" i="4" s="1"/>
  <c r="DC89" i="4" s="1"/>
  <c r="DC91" i="4" s="1"/>
  <c r="DC3" i="4"/>
  <c r="DC102" i="4"/>
  <c r="DC104" i="4" s="1"/>
  <c r="DC38" i="4"/>
  <c r="DC62" i="4" s="1"/>
  <c r="DC23" i="4"/>
  <c r="DC47" i="4" s="1"/>
  <c r="DC34" i="4"/>
  <c r="DC58" i="4" s="1"/>
  <c r="DC22" i="4"/>
  <c r="DC46" i="4" s="1"/>
  <c r="DC21" i="4"/>
  <c r="DC45" i="4" s="1"/>
  <c r="DC28" i="4"/>
  <c r="DC52" i="4" s="1"/>
  <c r="DD12" i="4"/>
  <c r="DE11" i="4"/>
  <c r="DD17" i="4"/>
  <c r="DD16" i="4"/>
  <c r="DD9" i="4" s="1"/>
  <c r="DB65" i="4"/>
  <c r="DC6" i="4"/>
  <c r="DD7" i="4"/>
  <c r="H38" i="3"/>
  <c r="F39" i="3"/>
  <c r="D39" i="3" s="1"/>
  <c r="DD84" i="4" l="1"/>
  <c r="DD96" i="4"/>
  <c r="DD90" i="4"/>
  <c r="DD3" i="4"/>
  <c r="DD102" i="4"/>
  <c r="DD104" i="4" s="1"/>
  <c r="DC65" i="4"/>
  <c r="DD28" i="4"/>
  <c r="DD52" i="4" s="1"/>
  <c r="DD38" i="4"/>
  <c r="DD62" i="4" s="1"/>
  <c r="DD23" i="4"/>
  <c r="DD47" i="4" s="1"/>
  <c r="DD34" i="4"/>
  <c r="DD58" i="4" s="1"/>
  <c r="DD22" i="4"/>
  <c r="DD46" i="4" s="1"/>
  <c r="DD21" i="4"/>
  <c r="DD45" i="4" s="1"/>
  <c r="DE7" i="4"/>
  <c r="DD6" i="4"/>
  <c r="DD94" i="4"/>
  <c r="DD95" i="4" s="1"/>
  <c r="DD97" i="4" s="1"/>
  <c r="DD88" i="4"/>
  <c r="DD89" i="4" s="1"/>
  <c r="DD91" i="4" s="1"/>
  <c r="DE12" i="4"/>
  <c r="DE17" i="4"/>
  <c r="DE14" i="4"/>
  <c r="DE16" i="4"/>
  <c r="DE9" i="4" s="1"/>
  <c r="H39" i="3"/>
  <c r="F40" i="3"/>
  <c r="D40" i="3" s="1"/>
  <c r="DE84" i="4" l="1"/>
  <c r="DE96" i="4"/>
  <c r="DE90" i="4"/>
  <c r="DE88" i="4" s="1"/>
  <c r="DE89" i="4" s="1"/>
  <c r="DE91" i="4" s="1"/>
  <c r="DE3" i="4"/>
  <c r="DE102" i="4"/>
  <c r="DE104" i="4" s="1"/>
  <c r="DD65" i="4"/>
  <c r="DE34" i="4"/>
  <c r="DE58" i="4" s="1"/>
  <c r="DE22" i="4"/>
  <c r="DE46" i="4" s="1"/>
  <c r="DE21" i="4"/>
  <c r="DE45" i="4" s="1"/>
  <c r="DE28" i="4"/>
  <c r="DE52" i="4" s="1"/>
  <c r="DE23" i="4"/>
  <c r="DE47" i="4" s="1"/>
  <c r="DE38" i="4"/>
  <c r="DE62" i="4" s="1"/>
  <c r="DE6" i="4"/>
  <c r="DE94" i="4"/>
  <c r="DE95" i="4" s="1"/>
  <c r="DE97" i="4" s="1"/>
  <c r="F41" i="3"/>
  <c r="D41" i="3" s="1"/>
  <c r="H40" i="3"/>
  <c r="T12" i="10" l="1"/>
  <c r="G12" i="10"/>
  <c r="Q12" i="10"/>
  <c r="F12" i="10"/>
  <c r="F11" i="10" s="1"/>
  <c r="R12" i="10"/>
  <c r="O12" i="10"/>
  <c r="O6" i="10" s="1"/>
  <c r="P12" i="10"/>
  <c r="P6" i="10" s="1"/>
  <c r="N12" i="10"/>
  <c r="N6" i="10" s="1"/>
  <c r="E12" i="10"/>
  <c r="E11" i="10" s="1"/>
  <c r="S12" i="10"/>
  <c r="DE65" i="4"/>
  <c r="F42" i="3"/>
  <c r="D42" i="3" s="1"/>
  <c r="H41" i="3"/>
  <c r="G6" i="10" l="1"/>
  <c r="G11" i="10"/>
  <c r="P6" i="11"/>
  <c r="N21" i="10"/>
  <c r="N22" i="10"/>
  <c r="N20" i="10"/>
  <c r="R6" i="11"/>
  <c r="P21" i="10"/>
  <c r="P20" i="10"/>
  <c r="P22" i="10"/>
  <c r="Q6" i="11"/>
  <c r="O21" i="10"/>
  <c r="O22" i="10"/>
  <c r="O20" i="10"/>
  <c r="H42" i="3"/>
  <c r="F43" i="3"/>
  <c r="D43" i="3" s="1"/>
  <c r="P23" i="10" l="1"/>
  <c r="N23" i="10"/>
  <c r="O23" i="10"/>
  <c r="I6" i="11"/>
  <c r="G21" i="10"/>
  <c r="G22" i="10"/>
  <c r="G20" i="10"/>
  <c r="H43" i="3"/>
  <c r="F44" i="3"/>
  <c r="D44" i="3" s="1"/>
  <c r="G23" i="10" l="1"/>
  <c r="F45" i="3"/>
  <c r="D45" i="3" s="1"/>
  <c r="H44" i="3"/>
  <c r="F46" i="3" l="1"/>
  <c r="D46" i="3" s="1"/>
  <c r="H45" i="3"/>
  <c r="F47" i="3" l="1"/>
  <c r="D47" i="3" s="1"/>
  <c r="H46" i="3"/>
  <c r="H47" i="3" l="1"/>
  <c r="F48" i="3"/>
  <c r="D48" i="3" s="1"/>
  <c r="H48" i="3" l="1"/>
  <c r="J75" i="9"/>
  <c r="J78" i="9" s="1"/>
  <c r="J79" i="9" s="1"/>
  <c r="Q52" i="2" s="1"/>
  <c r="Q51" i="2" l="1"/>
  <c r="AW103" i="4" l="1"/>
  <c r="H12" i="10"/>
  <c r="H6" i="10" s="1"/>
  <c r="I12" i="10"/>
  <c r="J12" i="10"/>
  <c r="K12" i="10"/>
  <c r="L12" i="10"/>
  <c r="M12" i="10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BT103" i="4"/>
  <c r="BU103" i="4"/>
  <c r="BV103" i="4"/>
  <c r="BW103" i="4"/>
  <c r="BX103" i="4"/>
  <c r="BY103" i="4"/>
  <c r="BZ103" i="4"/>
  <c r="CA103" i="4"/>
  <c r="CB103" i="4"/>
  <c r="CC103" i="4"/>
  <c r="CD103" i="4"/>
  <c r="CE103" i="4"/>
  <c r="CF103" i="4"/>
  <c r="CG103" i="4"/>
  <c r="CH103" i="4"/>
  <c r="CI103" i="4"/>
  <c r="CJ103" i="4"/>
  <c r="CK103" i="4"/>
  <c r="CL103" i="4"/>
  <c r="CM103" i="4"/>
  <c r="CN103" i="4"/>
  <c r="CO103" i="4"/>
  <c r="CP103" i="4"/>
  <c r="CQ103" i="4"/>
  <c r="CR103" i="4"/>
  <c r="CS103" i="4"/>
  <c r="CT103" i="4"/>
  <c r="CU103" i="4"/>
  <c r="CV103" i="4"/>
  <c r="CW103" i="4"/>
  <c r="CX103" i="4"/>
  <c r="CY103" i="4"/>
  <c r="CZ103" i="4"/>
  <c r="DA103" i="4"/>
  <c r="DB103" i="4"/>
  <c r="DC103" i="4"/>
  <c r="DD103" i="4"/>
  <c r="DE103" i="4"/>
  <c r="L6" i="10" l="1"/>
  <c r="H22" i="10"/>
  <c r="J6" i="11"/>
  <c r="H20" i="10"/>
  <c r="H21" i="10"/>
  <c r="L22" i="10"/>
  <c r="N6" i="11"/>
  <c r="L20" i="10"/>
  <c r="L21" i="10"/>
  <c r="M6" i="10"/>
  <c r="K6" i="10"/>
  <c r="J6" i="10"/>
  <c r="I6" i="10"/>
  <c r="L23" i="10" l="1"/>
  <c r="H23" i="10"/>
  <c r="J22" i="10"/>
  <c r="L6" i="11"/>
  <c r="J20" i="10"/>
  <c r="J21" i="10"/>
  <c r="M21" i="10"/>
  <c r="M22" i="10"/>
  <c r="O6" i="11"/>
  <c r="M20" i="10"/>
  <c r="I22" i="10"/>
  <c r="K6" i="11"/>
  <c r="I20" i="10"/>
  <c r="I21" i="10"/>
  <c r="K22" i="10"/>
  <c r="M6" i="11"/>
  <c r="K20" i="10"/>
  <c r="K21" i="10"/>
  <c r="J23" i="10" l="1"/>
  <c r="M23" i="10"/>
  <c r="I23" i="10"/>
  <c r="K23" i="10"/>
  <c r="AF28" i="3" l="1"/>
  <c r="AH28" i="3" s="1"/>
  <c r="AF25" i="3"/>
  <c r="AH25" i="3" s="1"/>
  <c r="P94" i="10" s="1"/>
  <c r="AF22" i="3"/>
  <c r="AH22" i="3" s="1"/>
  <c r="AF19" i="3"/>
  <c r="AH19" i="3" s="1"/>
  <c r="AF20" i="3"/>
  <c r="AH20" i="3" s="1"/>
  <c r="AF26" i="3"/>
  <c r="AH26" i="3" s="1"/>
  <c r="AF21" i="3"/>
  <c r="AH21" i="3" s="1"/>
  <c r="L94" i="10" s="1"/>
  <c r="AF27" i="3"/>
  <c r="AH27" i="3" s="1"/>
  <c r="R94" i="10" s="1"/>
  <c r="AF23" i="3"/>
  <c r="AH23" i="3" s="1"/>
  <c r="AF24" i="3"/>
  <c r="AH24" i="3" s="1"/>
  <c r="O94" i="10" s="1"/>
  <c r="M94" i="10" l="1"/>
  <c r="N94" i="10"/>
  <c r="K94" i="10"/>
  <c r="J94" i="10"/>
  <c r="Q94" i="10"/>
  <c r="I95" i="10"/>
  <c r="AW105" i="4" l="1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BT105" i="4"/>
  <c r="BU105" i="4"/>
  <c r="BV105" i="4"/>
  <c r="BW105" i="4"/>
  <c r="BX105" i="4"/>
  <c r="BY105" i="4"/>
  <c r="BZ105" i="4"/>
  <c r="CA105" i="4"/>
  <c r="CB105" i="4"/>
  <c r="CC105" i="4"/>
  <c r="CD105" i="4"/>
  <c r="CE105" i="4"/>
  <c r="CF105" i="4"/>
  <c r="CG105" i="4"/>
  <c r="CH105" i="4"/>
  <c r="CI105" i="4"/>
  <c r="CJ105" i="4"/>
  <c r="CK105" i="4"/>
  <c r="CL105" i="4"/>
  <c r="CM105" i="4"/>
  <c r="CN105" i="4"/>
  <c r="CO105" i="4"/>
  <c r="CP105" i="4"/>
  <c r="CQ105" i="4"/>
  <c r="CR105" i="4"/>
  <c r="CS105" i="4"/>
  <c r="CT105" i="4"/>
  <c r="CU105" i="4"/>
  <c r="CV105" i="4"/>
  <c r="CW105" i="4"/>
  <c r="CX105" i="4"/>
  <c r="CY105" i="4"/>
  <c r="CZ105" i="4"/>
  <c r="DA105" i="4"/>
  <c r="DB105" i="4"/>
  <c r="DC105" i="4"/>
  <c r="DD105" i="4"/>
  <c r="DE105" i="4"/>
  <c r="R21" i="3" l="1"/>
  <c r="T21" i="3" s="1"/>
  <c r="L85" i="9" s="1"/>
  <c r="R26" i="3"/>
  <c r="T26" i="3" s="1"/>
  <c r="Q85" i="9" s="1"/>
  <c r="R24" i="3"/>
  <c r="T24" i="3" s="1"/>
  <c r="O85" i="9" s="1"/>
  <c r="R19" i="3"/>
  <c r="T19" i="3" s="1"/>
  <c r="J85" i="9" s="1"/>
  <c r="R27" i="3"/>
  <c r="T27" i="3" s="1"/>
  <c r="R85" i="9" s="1"/>
  <c r="R22" i="3"/>
  <c r="T22" i="3" s="1"/>
  <c r="M85" i="9" s="1"/>
  <c r="R20" i="3"/>
  <c r="T20" i="3" s="1"/>
  <c r="K85" i="9" s="1"/>
  <c r="R25" i="3"/>
  <c r="T25" i="3" s="1"/>
  <c r="P85" i="9" s="1"/>
  <c r="R28" i="3"/>
  <c r="T28" i="3" s="1"/>
  <c r="S85" i="9" s="1"/>
  <c r="BY72" i="4" l="1"/>
  <c r="BY51" i="4" s="1"/>
  <c r="BZ72" i="4"/>
  <c r="BZ51" i="4" s="1"/>
  <c r="CA72" i="4"/>
  <c r="CA51" i="4" s="1"/>
  <c r="BY73" i="4"/>
  <c r="BZ73" i="4"/>
  <c r="CA73" i="4"/>
  <c r="T23" i="3"/>
  <c r="N85" i="9" s="1"/>
  <c r="R23" i="3"/>
  <c r="CA65" i="4" l="1"/>
  <c r="BZ65" i="4"/>
  <c r="BY65" i="4"/>
  <c r="K10" i="11" l="1"/>
  <c r="K10" i="6"/>
  <c r="BX72" i="4"/>
  <c r="BX73" i="4"/>
  <c r="BW72" i="4"/>
  <c r="BW73" i="4"/>
  <c r="BS72" i="4"/>
  <c r="BT72" i="4"/>
  <c r="BU72" i="4"/>
  <c r="BV72" i="4"/>
  <c r="BV51" i="4" s="1"/>
  <c r="BV65" i="4" s="1"/>
  <c r="BS73" i="4"/>
  <c r="BT73" i="4"/>
  <c r="BU73" i="4"/>
  <c r="BV73" i="4"/>
  <c r="BU51" i="4" l="1"/>
  <c r="BU65" i="4" s="1"/>
  <c r="BT51" i="4"/>
  <c r="BT65" i="4" s="1"/>
  <c r="BS51" i="4"/>
  <c r="BS65" i="4" s="1"/>
  <c r="BW51" i="4"/>
  <c r="BW65" i="4" s="1"/>
  <c r="BX51" i="4"/>
  <c r="BX65" i="4" s="1"/>
  <c r="J20" i="9"/>
  <c r="K20" i="9" s="1"/>
  <c r="L20" i="9" l="1"/>
  <c r="M20" i="9" l="1"/>
  <c r="N20" i="9" l="1"/>
  <c r="O20" i="9" l="1"/>
  <c r="P20" i="9" l="1"/>
  <c r="Q20" i="9" l="1"/>
  <c r="R20" i="9" l="1"/>
  <c r="S20" i="9" l="1"/>
  <c r="T20" i="9" l="1"/>
  <c r="K12" i="9" a="1"/>
  <c r="K12" i="9" s="1"/>
  <c r="J93" i="10"/>
  <c r="J95" i="10" s="1"/>
  <c r="S94" i="10"/>
  <c r="J16" i="9"/>
  <c r="J84" i="9"/>
  <c r="J86" i="9" s="1"/>
  <c r="Q56" i="2" s="1"/>
  <c r="BP51" i="4"/>
  <c r="BQ51" i="4"/>
  <c r="BQ65" i="4" s="1"/>
  <c r="BR51" i="4"/>
  <c r="BR65" i="4" s="1"/>
  <c r="BP65" i="4"/>
  <c r="BM72" i="4"/>
  <c r="BM51" i="4" s="1"/>
  <c r="BM65" i="4" s="1"/>
  <c r="BN72" i="4"/>
  <c r="BN51" i="4" s="1"/>
  <c r="BN65" i="4" s="1"/>
  <c r="BO72" i="4"/>
  <c r="BO51" i="4" s="1"/>
  <c r="BO65" i="4" s="1"/>
  <c r="BP72" i="4"/>
  <c r="BQ72" i="4"/>
  <c r="BR72" i="4"/>
  <c r="BM73" i="4"/>
  <c r="BN73" i="4"/>
  <c r="BO73" i="4"/>
  <c r="BP73" i="4"/>
  <c r="BQ73" i="4"/>
  <c r="BR73" i="4"/>
  <c r="E5" i="13" l="1"/>
  <c r="F5" i="13"/>
  <c r="H5" i="13"/>
  <c r="I5" i="13"/>
  <c r="K5" i="13"/>
  <c r="L5" i="13"/>
  <c r="M5" i="13"/>
  <c r="E6" i="13"/>
  <c r="F6" i="13"/>
  <c r="H6" i="13"/>
  <c r="I6" i="13"/>
  <c r="K6" i="13"/>
  <c r="L6" i="13"/>
  <c r="M6" i="13"/>
  <c r="E7" i="13"/>
  <c r="F7" i="13"/>
  <c r="H7" i="13"/>
  <c r="I7" i="13"/>
  <c r="K7" i="13"/>
  <c r="L7" i="13"/>
  <c r="M7" i="13"/>
  <c r="E8" i="13"/>
  <c r="F8" i="13"/>
  <c r="H8" i="13"/>
  <c r="I8" i="13"/>
  <c r="K8" i="13"/>
  <c r="L8" i="13"/>
  <c r="M8" i="13"/>
  <c r="E9" i="13"/>
  <c r="F9" i="13"/>
  <c r="H9" i="13"/>
  <c r="I9" i="13"/>
  <c r="K9" i="13"/>
  <c r="L9" i="13"/>
  <c r="M9" i="13"/>
  <c r="E10" i="13"/>
  <c r="F10" i="13"/>
  <c r="H10" i="13"/>
  <c r="I10" i="13"/>
  <c r="K10" i="13"/>
  <c r="L10" i="13"/>
  <c r="M10" i="13"/>
  <c r="E11" i="13"/>
  <c r="F11" i="13"/>
  <c r="H11" i="13"/>
  <c r="I11" i="13"/>
  <c r="K11" i="13"/>
  <c r="L11" i="13"/>
  <c r="M11" i="13"/>
  <c r="E12" i="13"/>
  <c r="F12" i="13"/>
  <c r="H12" i="13"/>
  <c r="I12" i="13"/>
  <c r="K12" i="13"/>
  <c r="L12" i="13"/>
  <c r="M12" i="13"/>
  <c r="E13" i="13"/>
  <c r="F13" i="13"/>
  <c r="H13" i="13"/>
  <c r="I13" i="13"/>
  <c r="K13" i="13"/>
  <c r="L13" i="13"/>
  <c r="M13" i="13"/>
  <c r="E14" i="13"/>
  <c r="F14" i="13"/>
  <c r="H14" i="13"/>
  <c r="I14" i="13"/>
  <c r="K14" i="13"/>
  <c r="L14" i="13"/>
  <c r="M14" i="13"/>
  <c r="E15" i="13"/>
  <c r="F15" i="13"/>
  <c r="H15" i="13"/>
  <c r="I15" i="13"/>
  <c r="K15" i="13"/>
  <c r="L15" i="13"/>
  <c r="M15" i="13"/>
  <c r="E16" i="13"/>
  <c r="F16" i="13"/>
  <c r="H16" i="13"/>
  <c r="I16" i="13"/>
  <c r="K16" i="13"/>
  <c r="L16" i="13"/>
  <c r="M16" i="13"/>
  <c r="E17" i="13"/>
  <c r="F17" i="13"/>
  <c r="H17" i="13"/>
  <c r="I17" i="13"/>
  <c r="K17" i="13"/>
  <c r="L17" i="13"/>
  <c r="M17" i="13"/>
  <c r="E20" i="13"/>
  <c r="E21" i="13"/>
  <c r="E22" i="13"/>
  <c r="E23" i="13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H13" i="10"/>
  <c r="I13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E44" i="10"/>
  <c r="F44" i="10"/>
  <c r="G44" i="10"/>
  <c r="H44" i="10"/>
  <c r="I44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K93" i="10"/>
  <c r="L93" i="10"/>
  <c r="M93" i="10"/>
  <c r="N93" i="10"/>
  <c r="O93" i="10"/>
  <c r="P93" i="10"/>
  <c r="Q93" i="10"/>
  <c r="R93" i="10"/>
  <c r="S93" i="10"/>
  <c r="T93" i="10"/>
  <c r="T94" i="10"/>
  <c r="K95" i="10"/>
  <c r="L95" i="10"/>
  <c r="M95" i="10"/>
  <c r="N95" i="10"/>
  <c r="O95" i="10"/>
  <c r="P95" i="10"/>
  <c r="Q95" i="10"/>
  <c r="R95" i="10"/>
  <c r="S95" i="10"/>
  <c r="T95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D6" i="11"/>
  <c r="D9" i="11"/>
  <c r="D10" i="11"/>
  <c r="G10" i="11"/>
  <c r="H10" i="11"/>
  <c r="I10" i="11"/>
  <c r="J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J12" i="11"/>
  <c r="K12" i="11"/>
  <c r="L12" i="11"/>
  <c r="M12" i="11"/>
  <c r="N12" i="11"/>
  <c r="D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D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D15" i="11"/>
  <c r="D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D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G21" i="11"/>
  <c r="G22" i="11"/>
  <c r="G23" i="11"/>
  <c r="G24" i="11"/>
  <c r="G25" i="11"/>
  <c r="E27" i="4"/>
  <c r="E41" i="4"/>
  <c r="E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E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E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V69" i="4"/>
  <c r="CW69" i="4"/>
  <c r="CX69" i="4"/>
  <c r="CY69" i="4"/>
  <c r="CZ69" i="4"/>
  <c r="DA69" i="4"/>
  <c r="DB69" i="4"/>
  <c r="DC69" i="4"/>
  <c r="DD69" i="4"/>
  <c r="DE69" i="4"/>
  <c r="E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E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E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V82" i="4"/>
  <c r="CW82" i="4"/>
  <c r="CX82" i="4"/>
  <c r="CY82" i="4"/>
  <c r="CZ82" i="4"/>
  <c r="DA82" i="4"/>
  <c r="DB82" i="4"/>
  <c r="DC82" i="4"/>
  <c r="DD82" i="4"/>
  <c r="DE82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V85" i="4"/>
  <c r="CW85" i="4"/>
  <c r="CX85" i="4"/>
  <c r="CY85" i="4"/>
  <c r="CZ85" i="4"/>
  <c r="DA85" i="4"/>
  <c r="DB85" i="4"/>
  <c r="DC85" i="4"/>
  <c r="DD85" i="4"/>
  <c r="DE85" i="4"/>
  <c r="C101" i="4"/>
  <c r="U7" i="3"/>
  <c r="AI7" i="3"/>
  <c r="AB8" i="3"/>
  <c r="AP8" i="3"/>
  <c r="M9" i="3"/>
  <c r="AB9" i="3"/>
  <c r="AP9" i="3"/>
  <c r="M10" i="3"/>
  <c r="M11" i="3"/>
  <c r="AB11" i="3"/>
  <c r="AP11" i="3"/>
  <c r="U12" i="3"/>
  <c r="AB12" i="3"/>
  <c r="AI12" i="3"/>
  <c r="AP12" i="3"/>
  <c r="U13" i="3"/>
  <c r="AB13" i="3"/>
  <c r="AI13" i="3"/>
  <c r="AP13" i="3"/>
  <c r="U14" i="3"/>
  <c r="AI14" i="3"/>
  <c r="S19" i="3"/>
  <c r="U19" i="3"/>
  <c r="W19" i="3"/>
  <c r="AG19" i="3"/>
  <c r="AI19" i="3"/>
  <c r="AK19" i="3"/>
  <c r="S20" i="3"/>
  <c r="U20" i="3"/>
  <c r="W20" i="3"/>
  <c r="AG20" i="3"/>
  <c r="AI20" i="3"/>
  <c r="AK20" i="3"/>
  <c r="S21" i="3"/>
  <c r="U21" i="3"/>
  <c r="W21" i="3"/>
  <c r="AG21" i="3"/>
  <c r="AI21" i="3"/>
  <c r="AK21" i="3"/>
  <c r="S22" i="3"/>
  <c r="U22" i="3"/>
  <c r="W22" i="3"/>
  <c r="AG22" i="3"/>
  <c r="AI22" i="3"/>
  <c r="AK22" i="3"/>
  <c r="S23" i="3"/>
  <c r="U23" i="3"/>
  <c r="W23" i="3"/>
  <c r="AG23" i="3"/>
  <c r="AI23" i="3"/>
  <c r="AK23" i="3"/>
  <c r="S24" i="3"/>
  <c r="U24" i="3"/>
  <c r="W24" i="3"/>
  <c r="AG24" i="3"/>
  <c r="AI24" i="3"/>
  <c r="AK24" i="3"/>
  <c r="S25" i="3"/>
  <c r="U25" i="3"/>
  <c r="W25" i="3"/>
  <c r="AG25" i="3"/>
  <c r="AI25" i="3"/>
  <c r="AK25" i="3"/>
  <c r="S26" i="3"/>
  <c r="U26" i="3"/>
  <c r="W26" i="3"/>
  <c r="AG26" i="3"/>
  <c r="AI26" i="3"/>
  <c r="AK26" i="3"/>
  <c r="S27" i="3"/>
  <c r="U27" i="3"/>
  <c r="W27" i="3"/>
  <c r="AG27" i="3"/>
  <c r="AI27" i="3"/>
  <c r="AK27" i="3"/>
  <c r="S28" i="3"/>
  <c r="U28" i="3"/>
  <c r="W28" i="3"/>
  <c r="AG28" i="3"/>
  <c r="AI28" i="3"/>
  <c r="AK28" i="3"/>
  <c r="R29" i="3"/>
  <c r="S29" i="3"/>
  <c r="T29" i="3"/>
  <c r="U29" i="3"/>
  <c r="W29" i="3"/>
  <c r="AF29" i="3"/>
  <c r="AG29" i="3"/>
  <c r="AH29" i="3"/>
  <c r="AI29" i="3"/>
  <c r="AK29" i="3"/>
  <c r="R30" i="3"/>
  <c r="S30" i="3"/>
  <c r="T30" i="3"/>
  <c r="U30" i="3"/>
  <c r="W30" i="3"/>
  <c r="AF30" i="3"/>
  <c r="AG30" i="3"/>
  <c r="AH30" i="3"/>
  <c r="AI30" i="3"/>
  <c r="AK30" i="3"/>
  <c r="R31" i="3"/>
  <c r="S31" i="3"/>
  <c r="T31" i="3"/>
  <c r="U31" i="3"/>
  <c r="W31" i="3"/>
  <c r="AF31" i="3"/>
  <c r="AG31" i="3"/>
  <c r="AH31" i="3"/>
  <c r="AI31" i="3"/>
  <c r="AK31" i="3"/>
  <c r="R32" i="3"/>
  <c r="S32" i="3"/>
  <c r="T32" i="3"/>
  <c r="U32" i="3"/>
  <c r="W32" i="3"/>
  <c r="AF32" i="3"/>
  <c r="AG32" i="3"/>
  <c r="AH32" i="3"/>
  <c r="AI32" i="3"/>
  <c r="AK32" i="3"/>
  <c r="R33" i="3"/>
  <c r="S33" i="3"/>
  <c r="T33" i="3"/>
  <c r="U33" i="3"/>
  <c r="W33" i="3"/>
  <c r="AF33" i="3"/>
  <c r="AG33" i="3"/>
  <c r="AH33" i="3"/>
  <c r="AI33" i="3"/>
  <c r="AK33" i="3"/>
  <c r="R34" i="3"/>
  <c r="S34" i="3"/>
  <c r="T34" i="3"/>
  <c r="U34" i="3"/>
  <c r="W34" i="3"/>
  <c r="AF34" i="3"/>
  <c r="AG34" i="3"/>
  <c r="AH34" i="3"/>
  <c r="AI34" i="3"/>
  <c r="AK34" i="3"/>
  <c r="R35" i="3"/>
  <c r="S35" i="3"/>
  <c r="T35" i="3"/>
  <c r="U35" i="3"/>
  <c r="W35" i="3"/>
  <c r="AF35" i="3"/>
  <c r="AG35" i="3"/>
  <c r="AH35" i="3"/>
  <c r="AI35" i="3"/>
  <c r="AK35" i="3"/>
  <c r="R36" i="3"/>
  <c r="S36" i="3"/>
  <c r="T36" i="3"/>
  <c r="U36" i="3"/>
  <c r="W36" i="3"/>
  <c r="AF36" i="3"/>
  <c r="AG36" i="3"/>
  <c r="AH36" i="3"/>
  <c r="AI36" i="3"/>
  <c r="AK36" i="3"/>
  <c r="R37" i="3"/>
  <c r="S37" i="3"/>
  <c r="T37" i="3"/>
  <c r="U37" i="3"/>
  <c r="W37" i="3"/>
  <c r="AF37" i="3"/>
  <c r="AG37" i="3"/>
  <c r="AH37" i="3"/>
  <c r="AI37" i="3"/>
  <c r="AK37" i="3"/>
  <c r="R38" i="3"/>
  <c r="S38" i="3"/>
  <c r="T38" i="3"/>
  <c r="U38" i="3"/>
  <c r="W38" i="3"/>
  <c r="AF38" i="3"/>
  <c r="AG38" i="3"/>
  <c r="AH38" i="3"/>
  <c r="AI38" i="3"/>
  <c r="AK38" i="3"/>
  <c r="R39" i="3"/>
  <c r="S39" i="3"/>
  <c r="T39" i="3"/>
  <c r="U39" i="3"/>
  <c r="W39" i="3"/>
  <c r="AF39" i="3"/>
  <c r="AG39" i="3"/>
  <c r="AH39" i="3"/>
  <c r="AI39" i="3"/>
  <c r="AK39" i="3"/>
  <c r="R40" i="3"/>
  <c r="S40" i="3"/>
  <c r="T40" i="3"/>
  <c r="U40" i="3"/>
  <c r="W40" i="3"/>
  <c r="AF40" i="3"/>
  <c r="AG40" i="3"/>
  <c r="AH40" i="3"/>
  <c r="AI40" i="3"/>
  <c r="AK40" i="3"/>
  <c r="R41" i="3"/>
  <c r="S41" i="3"/>
  <c r="T41" i="3"/>
  <c r="U41" i="3"/>
  <c r="W41" i="3"/>
  <c r="AF41" i="3"/>
  <c r="AG41" i="3"/>
  <c r="AH41" i="3"/>
  <c r="AI41" i="3"/>
  <c r="AK41" i="3"/>
  <c r="R42" i="3"/>
  <c r="S42" i="3"/>
  <c r="T42" i="3"/>
  <c r="U42" i="3"/>
  <c r="W42" i="3"/>
  <c r="AF42" i="3"/>
  <c r="AG42" i="3"/>
  <c r="AH42" i="3"/>
  <c r="AI42" i="3"/>
  <c r="AK42" i="3"/>
  <c r="R43" i="3"/>
  <c r="S43" i="3"/>
  <c r="T43" i="3"/>
  <c r="U43" i="3"/>
  <c r="W43" i="3"/>
  <c r="AF43" i="3"/>
  <c r="AG43" i="3"/>
  <c r="AH43" i="3"/>
  <c r="AI43" i="3"/>
  <c r="AK43" i="3"/>
  <c r="R44" i="3"/>
  <c r="S44" i="3"/>
  <c r="T44" i="3"/>
  <c r="U44" i="3"/>
  <c r="W44" i="3"/>
  <c r="AF44" i="3"/>
  <c r="AG44" i="3"/>
  <c r="AH44" i="3"/>
  <c r="AI44" i="3"/>
  <c r="AK44" i="3"/>
  <c r="R45" i="3"/>
  <c r="S45" i="3"/>
  <c r="T45" i="3"/>
  <c r="U45" i="3"/>
  <c r="W45" i="3"/>
  <c r="AF45" i="3"/>
  <c r="AG45" i="3"/>
  <c r="AH45" i="3"/>
  <c r="AI45" i="3"/>
  <c r="AK45" i="3"/>
  <c r="R46" i="3"/>
  <c r="S46" i="3"/>
  <c r="T46" i="3"/>
  <c r="U46" i="3"/>
  <c r="W46" i="3"/>
  <c r="AF46" i="3"/>
  <c r="AG46" i="3"/>
  <c r="AH46" i="3"/>
  <c r="AI46" i="3"/>
  <c r="AK46" i="3"/>
  <c r="R47" i="3"/>
  <c r="S47" i="3"/>
  <c r="T47" i="3"/>
  <c r="U47" i="3"/>
  <c r="W47" i="3"/>
  <c r="AF47" i="3"/>
  <c r="AG47" i="3"/>
  <c r="AH47" i="3"/>
  <c r="AI47" i="3"/>
  <c r="AK47" i="3"/>
  <c r="R48" i="3"/>
  <c r="S48" i="3"/>
  <c r="T48" i="3"/>
  <c r="U48" i="3"/>
  <c r="W48" i="3"/>
  <c r="AF48" i="3"/>
  <c r="AG48" i="3"/>
  <c r="AH48" i="3"/>
  <c r="AI48" i="3"/>
  <c r="AK48" i="3"/>
  <c r="D49" i="3"/>
  <c r="E49" i="3"/>
  <c r="F49" i="3"/>
  <c r="H49" i="3"/>
  <c r="S49" i="3"/>
  <c r="T49" i="3"/>
  <c r="U49" i="3"/>
  <c r="W49" i="3"/>
  <c r="AG49" i="3"/>
  <c r="AH49" i="3"/>
  <c r="AI49" i="3"/>
  <c r="AK49" i="3"/>
  <c r="D50" i="3"/>
  <c r="E50" i="3"/>
  <c r="F50" i="3"/>
  <c r="H50" i="3"/>
  <c r="S50" i="3"/>
  <c r="T50" i="3"/>
  <c r="U50" i="3"/>
  <c r="W50" i="3"/>
  <c r="AG50" i="3"/>
  <c r="AH50" i="3"/>
  <c r="AI50" i="3"/>
  <c r="AK50" i="3"/>
  <c r="D51" i="3"/>
  <c r="E51" i="3"/>
  <c r="F51" i="3"/>
  <c r="H51" i="3"/>
  <c r="S51" i="3"/>
  <c r="T51" i="3"/>
  <c r="U51" i="3"/>
  <c r="W51" i="3"/>
  <c r="AG51" i="3"/>
  <c r="AH51" i="3"/>
  <c r="AI51" i="3"/>
  <c r="AK51" i="3"/>
  <c r="D52" i="3"/>
  <c r="E52" i="3"/>
  <c r="F52" i="3"/>
  <c r="H52" i="3"/>
  <c r="S52" i="3"/>
  <c r="T52" i="3"/>
  <c r="U52" i="3"/>
  <c r="W52" i="3"/>
  <c r="AG52" i="3"/>
  <c r="AH52" i="3"/>
  <c r="AI52" i="3"/>
  <c r="AK52" i="3"/>
  <c r="D53" i="3"/>
  <c r="E53" i="3"/>
  <c r="F53" i="3"/>
  <c r="H53" i="3"/>
  <c r="S53" i="3"/>
  <c r="T53" i="3"/>
  <c r="U53" i="3"/>
  <c r="W53" i="3"/>
  <c r="AG53" i="3"/>
  <c r="AH53" i="3"/>
  <c r="AI53" i="3"/>
  <c r="AK53" i="3"/>
  <c r="D54" i="3"/>
  <c r="E54" i="3"/>
  <c r="F54" i="3"/>
  <c r="H54" i="3"/>
  <c r="S54" i="3"/>
  <c r="T54" i="3"/>
  <c r="U54" i="3"/>
  <c r="W54" i="3"/>
  <c r="AG54" i="3"/>
  <c r="AH54" i="3"/>
  <c r="AI54" i="3"/>
  <c r="AK54" i="3"/>
  <c r="D55" i="3"/>
  <c r="E55" i="3"/>
  <c r="F55" i="3"/>
  <c r="H55" i="3"/>
  <c r="S55" i="3"/>
  <c r="T55" i="3"/>
  <c r="U55" i="3"/>
  <c r="W55" i="3"/>
  <c r="AG55" i="3"/>
  <c r="AH55" i="3"/>
  <c r="AI55" i="3"/>
  <c r="AK55" i="3"/>
  <c r="D56" i="3"/>
  <c r="E56" i="3"/>
  <c r="F56" i="3"/>
  <c r="H56" i="3"/>
  <c r="S56" i="3"/>
  <c r="T56" i="3"/>
  <c r="U56" i="3"/>
  <c r="W56" i="3"/>
  <c r="AG56" i="3"/>
  <c r="AH56" i="3"/>
  <c r="AI56" i="3"/>
  <c r="AK56" i="3"/>
  <c r="D57" i="3"/>
  <c r="E57" i="3"/>
  <c r="F57" i="3"/>
  <c r="H57" i="3"/>
  <c r="S57" i="3"/>
  <c r="T57" i="3"/>
  <c r="U57" i="3"/>
  <c r="W57" i="3"/>
  <c r="AG57" i="3"/>
  <c r="AH57" i="3"/>
  <c r="AI57" i="3"/>
  <c r="AK57" i="3"/>
  <c r="D58" i="3"/>
  <c r="E58" i="3"/>
  <c r="F58" i="3"/>
  <c r="H58" i="3"/>
  <c r="S58" i="3"/>
  <c r="T58" i="3"/>
  <c r="U58" i="3"/>
  <c r="W58" i="3"/>
  <c r="AG58" i="3"/>
  <c r="AH58" i="3"/>
  <c r="AI58" i="3"/>
  <c r="AK58" i="3"/>
  <c r="H6" i="9"/>
  <c r="I6" i="9"/>
  <c r="J6" i="9"/>
  <c r="K6" i="9"/>
  <c r="L6" i="9"/>
  <c r="M6" i="9"/>
  <c r="N6" i="9"/>
  <c r="O6" i="9"/>
  <c r="P6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H12" i="9" a="1"/>
  <c r="H12" i="9"/>
  <c r="I12" i="9" a="1"/>
  <c r="I12" i="9"/>
  <c r="J12" i="9" a="1"/>
  <c r="J12" i="9"/>
  <c r="H13" i="9"/>
  <c r="I13" i="9"/>
  <c r="H15" i="9" a="1"/>
  <c r="H15" i="9"/>
  <c r="I15" i="9" a="1"/>
  <c r="I15" i="9"/>
  <c r="J15" i="9" a="1"/>
  <c r="J15" i="9"/>
  <c r="K15" i="9"/>
  <c r="L15" i="9"/>
  <c r="M15" i="9"/>
  <c r="N15" i="9"/>
  <c r="O15" i="9"/>
  <c r="P15" i="9"/>
  <c r="Q15" i="9"/>
  <c r="R15" i="9"/>
  <c r="S15" i="9"/>
  <c r="T15" i="9"/>
  <c r="K16" i="9"/>
  <c r="L16" i="9"/>
  <c r="M16" i="9"/>
  <c r="N16" i="9"/>
  <c r="O16" i="9"/>
  <c r="P16" i="9"/>
  <c r="Q16" i="9"/>
  <c r="R16" i="9"/>
  <c r="S16" i="9"/>
  <c r="T16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E20" i="9"/>
  <c r="F20" i="9"/>
  <c r="G20" i="9"/>
  <c r="H20" i="9"/>
  <c r="I20" i="9"/>
  <c r="E21" i="9"/>
  <c r="F21" i="9"/>
  <c r="G21" i="9"/>
  <c r="H21" i="9"/>
  <c r="I21" i="9"/>
  <c r="E22" i="9"/>
  <c r="F22" i="9"/>
  <c r="G22" i="9"/>
  <c r="H22" i="9"/>
  <c r="I22" i="9"/>
  <c r="E23" i="9"/>
  <c r="F23" i="9"/>
  <c r="G23" i="9"/>
  <c r="H23" i="9"/>
  <c r="I23" i="9"/>
  <c r="E24" i="9"/>
  <c r="F24" i="9"/>
  <c r="G24" i="9"/>
  <c r="H24" i="9"/>
  <c r="I24" i="9"/>
  <c r="E25" i="9"/>
  <c r="F25" i="9"/>
  <c r="G25" i="9"/>
  <c r="H25" i="9"/>
  <c r="I25" i="9"/>
  <c r="E26" i="9"/>
  <c r="F26" i="9"/>
  <c r="G26" i="9"/>
  <c r="H26" i="9"/>
  <c r="I26" i="9"/>
  <c r="E27" i="9"/>
  <c r="F27" i="9"/>
  <c r="G27" i="9"/>
  <c r="H27" i="9"/>
  <c r="I27" i="9"/>
  <c r="E28" i="9"/>
  <c r="F28" i="9"/>
  <c r="G28" i="9"/>
  <c r="H28" i="9"/>
  <c r="I28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E30" i="9"/>
  <c r="F30" i="9"/>
  <c r="G30" i="9"/>
  <c r="H30" i="9"/>
  <c r="I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E35" i="9"/>
  <c r="F35" i="9"/>
  <c r="G35" i="9"/>
  <c r="H35" i="9"/>
  <c r="I35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K84" i="9"/>
  <c r="L84" i="9"/>
  <c r="M84" i="9"/>
  <c r="N84" i="9"/>
  <c r="O84" i="9"/>
  <c r="P84" i="9"/>
  <c r="Q84" i="9"/>
  <c r="R84" i="9"/>
  <c r="S84" i="9"/>
  <c r="T84" i="9"/>
  <c r="T85" i="9"/>
  <c r="K86" i="9"/>
  <c r="L86" i="9"/>
  <c r="M86" i="9"/>
  <c r="N86" i="9"/>
  <c r="O86" i="9"/>
  <c r="P86" i="9"/>
  <c r="Q86" i="9"/>
  <c r="R86" i="9"/>
  <c r="S86" i="9"/>
  <c r="T86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D6" i="6"/>
  <c r="J6" i="6"/>
  <c r="K6" i="6"/>
  <c r="L6" i="6"/>
  <c r="M6" i="6"/>
  <c r="N6" i="6"/>
  <c r="D9" i="6"/>
  <c r="D10" i="6"/>
  <c r="G10" i="6"/>
  <c r="H10" i="6"/>
  <c r="I10" i="6"/>
  <c r="J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J12" i="6"/>
  <c r="K12" i="6"/>
  <c r="L12" i="6"/>
  <c r="M12" i="6"/>
  <c r="N12" i="6"/>
  <c r="D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D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D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D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D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G21" i="6"/>
  <c r="G22" i="6"/>
  <c r="G23" i="6"/>
  <c r="G24" i="6"/>
  <c r="G25" i="6"/>
  <c r="K8" i="2"/>
  <c r="K11" i="2"/>
  <c r="K22" i="2"/>
  <c r="K36" i="2"/>
  <c r="J39" i="2"/>
  <c r="K39" i="2"/>
  <c r="J40" i="2"/>
  <c r="K40" i="2"/>
  <c r="J41" i="2"/>
  <c r="K41" i="2"/>
  <c r="O41" i="2"/>
  <c r="P41" i="2"/>
  <c r="Q41" i="2"/>
  <c r="R41" i="2"/>
  <c r="S41" i="2"/>
  <c r="J42" i="2"/>
  <c r="K42" i="2"/>
  <c r="O42" i="2"/>
  <c r="P42" i="2"/>
  <c r="Q42" i="2"/>
  <c r="R42" i="2"/>
  <c r="S42" i="2"/>
  <c r="O43" i="2"/>
  <c r="P43" i="2"/>
  <c r="Q43" i="2"/>
  <c r="R43" i="2"/>
  <c r="S43" i="2"/>
  <c r="O44" i="2"/>
  <c r="P44" i="2"/>
  <c r="Q44" i="2"/>
  <c r="R44" i="2"/>
  <c r="S44" i="2"/>
  <c r="O45" i="2"/>
  <c r="P45" i="2"/>
  <c r="Q45" i="2"/>
  <c r="R45" i="2"/>
  <c r="S45" i="2"/>
  <c r="K47" i="2"/>
  <c r="K48" i="2"/>
  <c r="K50" i="2"/>
  <c r="K51" i="2"/>
  <c r="O54" i="2"/>
  <c r="P54" i="2"/>
  <c r="Q54" i="2"/>
  <c r="R54" i="2"/>
  <c r="S54" i="2"/>
  <c r="K55" i="2"/>
  <c r="R56" i="2"/>
  <c r="S56" i="2"/>
  <c r="O57" i="2"/>
  <c r="P57" i="2"/>
  <c r="Q57" i="2"/>
  <c r="R57" i="2"/>
  <c r="S57" i="2"/>
  <c r="O58" i="2"/>
  <c r="P58" i="2"/>
  <c r="Q58" i="2"/>
  <c r="R58" i="2"/>
  <c r="S58" i="2"/>
  <c r="O59" i="2"/>
  <c r="P59" i="2"/>
  <c r="Q59" i="2"/>
  <c r="R59" i="2"/>
  <c r="S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<sst xmlns="http://schemas.openxmlformats.org/spreadsheetml/2006/main" count="1379" uniqueCount="573">
  <si>
    <t>W126 Project Units Distribution Matrix</t>
    <phoneticPr fontId="0" type="noConversion"/>
  </si>
  <si>
    <t>Program</t>
  </si>
  <si>
    <t>Floor #</t>
  </si>
  <si>
    <t>APT 01</t>
  </si>
  <si>
    <t>APT 02</t>
  </si>
  <si>
    <t>APT 03</t>
  </si>
  <si>
    <t>APT 04</t>
  </si>
  <si>
    <t>APT 05</t>
  </si>
  <si>
    <t>APT 06</t>
  </si>
  <si>
    <t>APT 07</t>
  </si>
  <si>
    <t>APT 08</t>
  </si>
  <si>
    <t>APT 09</t>
  </si>
  <si>
    <t>APT 10</t>
  </si>
  <si>
    <t>APT 11</t>
  </si>
  <si>
    <t>APT 12</t>
  </si>
  <si>
    <t>APT 13</t>
  </si>
  <si>
    <t>APT 14</t>
  </si>
  <si>
    <t>APT 15</t>
  </si>
  <si>
    <t>APT 16</t>
  </si>
  <si>
    <t>APT 17</t>
  </si>
  <si>
    <t>APT 18</t>
  </si>
  <si>
    <t>APT 19</t>
  </si>
  <si>
    <t>APT 20</t>
  </si>
  <si>
    <t>APT 21</t>
  </si>
  <si>
    <t>APT 22</t>
  </si>
  <si>
    <t>APT 23</t>
  </si>
  <si>
    <t>APT 24</t>
  </si>
  <si>
    <t>APT 25</t>
  </si>
  <si>
    <t>APT 26</t>
  </si>
  <si>
    <t>APT 27</t>
  </si>
  <si>
    <t>APT 28</t>
  </si>
  <si>
    <t>APT 29</t>
  </si>
  <si>
    <t>APT 30</t>
  </si>
  <si>
    <t>APT 31</t>
  </si>
  <si>
    <t># of Units</t>
  </si>
  <si>
    <t>Hotel Room / Hotel Amienty</t>
  </si>
  <si>
    <t>2F</t>
  </si>
  <si>
    <t>King</t>
  </si>
  <si>
    <t>280 sqft</t>
  </si>
  <si>
    <t>226 sqft</t>
  </si>
  <si>
    <t>273 sqft</t>
  </si>
  <si>
    <t>216 sqft</t>
  </si>
  <si>
    <t>241 sqft</t>
  </si>
  <si>
    <t>339 sqft</t>
  </si>
  <si>
    <t>348 sqft</t>
  </si>
  <si>
    <t>Hotel Room</t>
  </si>
  <si>
    <t>3F</t>
  </si>
  <si>
    <t>DQ</t>
  </si>
  <si>
    <t>402 sqft</t>
  </si>
  <si>
    <t>336 sqft</t>
  </si>
  <si>
    <t>319 sqft</t>
  </si>
  <si>
    <t>269 sqft</t>
  </si>
  <si>
    <t>314 sqft</t>
  </si>
  <si>
    <t>202 sqft</t>
  </si>
  <si>
    <t>311 sqft</t>
  </si>
  <si>
    <t>205 sqft</t>
  </si>
  <si>
    <t>421 sqft</t>
  </si>
  <si>
    <t>305 sqft</t>
  </si>
  <si>
    <t>188 sqft</t>
  </si>
  <si>
    <t>322 sqft</t>
  </si>
  <si>
    <t>255 sqft</t>
  </si>
  <si>
    <t>4F</t>
  </si>
  <si>
    <t>400 sqft</t>
  </si>
  <si>
    <t>5F</t>
  </si>
  <si>
    <t>342 sqft</t>
  </si>
  <si>
    <t>357 sqft</t>
  </si>
  <si>
    <t>306 sqft</t>
  </si>
  <si>
    <t>6F</t>
  </si>
  <si>
    <t xml:space="preserve">Residential / Recreation </t>
  </si>
  <si>
    <t>7F</t>
  </si>
  <si>
    <t>1 Bed</t>
  </si>
  <si>
    <t>studio</t>
    <phoneticPr fontId="0" type="noConversion"/>
  </si>
  <si>
    <t>2Bed</t>
  </si>
  <si>
    <t>2 Bed</t>
  </si>
  <si>
    <t>659 sqft</t>
    <phoneticPr fontId="0" type="noConversion"/>
  </si>
  <si>
    <t>375 sqft</t>
    <phoneticPr fontId="0" type="noConversion"/>
  </si>
  <si>
    <t>449 sqft</t>
    <phoneticPr fontId="0" type="noConversion"/>
  </si>
  <si>
    <t>492 sqft</t>
    <phoneticPr fontId="0" type="noConversion"/>
  </si>
  <si>
    <t>494 sqft</t>
  </si>
  <si>
    <t>395 sqft</t>
  </si>
  <si>
    <t>593 sqft</t>
    <phoneticPr fontId="0" type="noConversion"/>
  </si>
  <si>
    <t>674 sqft</t>
    <phoneticPr fontId="0" type="noConversion"/>
  </si>
  <si>
    <t>660 sqft</t>
    <phoneticPr fontId="0" type="noConversion"/>
  </si>
  <si>
    <t>447 sqft</t>
    <phoneticPr fontId="0" type="noConversion"/>
  </si>
  <si>
    <t>Residential</t>
  </si>
  <si>
    <t>8F</t>
  </si>
  <si>
    <t>597 sqft</t>
    <phoneticPr fontId="0" type="noConversion"/>
  </si>
  <si>
    <t>777 sqft</t>
    <phoneticPr fontId="0" type="noConversion"/>
  </si>
  <si>
    <t>649 sqft</t>
    <phoneticPr fontId="0" type="noConversion"/>
  </si>
  <si>
    <t>810 sqft</t>
  </si>
  <si>
    <t>716 sqft</t>
    <phoneticPr fontId="0" type="noConversion"/>
  </si>
  <si>
    <t>661 sqft</t>
    <phoneticPr fontId="0" type="noConversion"/>
  </si>
  <si>
    <t>444 sqft</t>
    <phoneticPr fontId="0" type="noConversion"/>
  </si>
  <si>
    <t>482 sqft</t>
    <phoneticPr fontId="0" type="noConversion"/>
  </si>
  <si>
    <t>785 sqft</t>
    <phoneticPr fontId="0" type="noConversion"/>
  </si>
  <si>
    <t>9F</t>
  </si>
  <si>
    <t>813 sqft</t>
    <phoneticPr fontId="0" type="noConversion"/>
  </si>
  <si>
    <t>595 sqft</t>
    <phoneticPr fontId="0" type="noConversion"/>
  </si>
  <si>
    <t>682 sqft</t>
    <phoneticPr fontId="0" type="noConversion"/>
  </si>
  <si>
    <t>810 sqft</t>
    <phoneticPr fontId="0" type="noConversion"/>
  </si>
  <si>
    <t>10F</t>
  </si>
  <si>
    <t>3 Bed</t>
  </si>
  <si>
    <t>1 Bed</t>
    <phoneticPr fontId="0" type="noConversion"/>
  </si>
  <si>
    <t>834 sqft</t>
    <phoneticPr fontId="0" type="noConversion"/>
  </si>
  <si>
    <t>950 sqft</t>
    <phoneticPr fontId="0" type="noConversion"/>
  </si>
  <si>
    <t>454 sqft</t>
    <phoneticPr fontId="0" type="noConversion"/>
  </si>
  <si>
    <t>11F</t>
  </si>
  <si>
    <t>12F</t>
  </si>
  <si>
    <t>13F</t>
  </si>
  <si>
    <t>14F</t>
  </si>
  <si>
    <t>550 sqft</t>
    <phoneticPr fontId="0" type="noConversion"/>
  </si>
  <si>
    <t>1650 sqft</t>
    <phoneticPr fontId="0" type="noConversion"/>
  </si>
  <si>
    <t>490 sqft</t>
    <phoneticPr fontId="0" type="noConversion"/>
  </si>
  <si>
    <t>15F</t>
  </si>
  <si>
    <t>929 sqft</t>
    <phoneticPr fontId="0" type="noConversion"/>
  </si>
  <si>
    <t xml:space="preserve">MEP </t>
  </si>
  <si>
    <t>16F</t>
  </si>
  <si>
    <t>Roof</t>
  </si>
  <si>
    <t>Hotel Room Type</t>
  </si>
  <si>
    <t>Residential Unit type</t>
  </si>
  <si>
    <t>Type</t>
  </si>
  <si>
    <t>Small</t>
  </si>
  <si>
    <t>Medium</t>
  </si>
  <si>
    <t>Large</t>
  </si>
  <si>
    <t>Studio</t>
    <phoneticPr fontId="0" type="noConversion"/>
  </si>
  <si>
    <t>1 BED</t>
  </si>
  <si>
    <t>Size</t>
  </si>
  <si>
    <t>180-230</t>
  </si>
  <si>
    <t>240-320</t>
  </si>
  <si>
    <t>320+</t>
  </si>
  <si>
    <t>&lt;400</t>
    <phoneticPr fontId="0" type="noConversion"/>
  </si>
  <si>
    <t>400-660</t>
    <phoneticPr fontId="0" type="noConversion"/>
  </si>
  <si>
    <t>590-850</t>
    <phoneticPr fontId="0" type="noConversion"/>
  </si>
  <si>
    <t>900+</t>
  </si>
  <si>
    <t># of rooms</t>
  </si>
  <si>
    <t>%</t>
  </si>
  <si>
    <t>Total</t>
  </si>
  <si>
    <t xml:space="preserve"> </t>
    <phoneticPr fontId="0" type="noConversion"/>
  </si>
  <si>
    <t>Project Name</t>
  </si>
  <si>
    <t>Project Location</t>
  </si>
  <si>
    <t>Land Area</t>
  </si>
  <si>
    <t>Loan Closing Date</t>
  </si>
  <si>
    <t>Construction Begin</t>
  </si>
  <si>
    <t>Months of Construction</t>
  </si>
  <si>
    <t>Construction Complete</t>
  </si>
  <si>
    <t>Project Details</t>
  </si>
  <si>
    <t>Sources &amp; Uses</t>
  </si>
  <si>
    <t>Sources</t>
  </si>
  <si>
    <t>Unit Mix</t>
  </si>
  <si>
    <t>Assumptions</t>
  </si>
  <si>
    <t>Construction Loan</t>
  </si>
  <si>
    <t>Perm Loan</t>
  </si>
  <si>
    <t>Revenue Growth</t>
  </si>
  <si>
    <t>Expense Growth</t>
  </si>
  <si>
    <t>Exit Cap</t>
  </si>
  <si>
    <t>Rate</t>
  </si>
  <si>
    <t>Term</t>
  </si>
  <si>
    <t>Leverage</t>
  </si>
  <si>
    <t>Vacancy</t>
  </si>
  <si>
    <t>Hotel</t>
  </si>
  <si>
    <t>Lease up Rate</t>
  </si>
  <si>
    <t>Year 1</t>
  </si>
  <si>
    <t>Year 2</t>
  </si>
  <si>
    <t>Equity</t>
  </si>
  <si>
    <t>Debt</t>
  </si>
  <si>
    <t>Uses</t>
  </si>
  <si>
    <t>Sq. Ft.</t>
  </si>
  <si>
    <t>GPI</t>
  </si>
  <si>
    <t>Rent / unit</t>
  </si>
  <si>
    <t>Rent / sf</t>
  </si>
  <si>
    <t>Hotel Unit Mix</t>
  </si>
  <si>
    <t>Count</t>
  </si>
  <si>
    <t>Residential Unit Mix</t>
  </si>
  <si>
    <t xml:space="preserve">Count </t>
  </si>
  <si>
    <t>Studio</t>
  </si>
  <si>
    <t>Rent</t>
  </si>
  <si>
    <t>Total/Avg</t>
  </si>
  <si>
    <t>Hard Costs</t>
  </si>
  <si>
    <t>Other Soft Costs</t>
  </si>
  <si>
    <t>A &amp; E &amp; Interiors</t>
  </si>
  <si>
    <t>Marketing and Website</t>
  </si>
  <si>
    <t>Construction Interest</t>
  </si>
  <si>
    <t>Construction Admin</t>
  </si>
  <si>
    <t>Property Insurance</t>
  </si>
  <si>
    <t>Title &amp; Recording</t>
  </si>
  <si>
    <t>Utilities</t>
  </si>
  <si>
    <t>Market Study</t>
  </si>
  <si>
    <t>Appraisal &amp; Update</t>
  </si>
  <si>
    <t>Permit Fees</t>
  </si>
  <si>
    <t>Construction Contigency</t>
  </si>
  <si>
    <t>Lease up Contigency</t>
  </si>
  <si>
    <t>Taxes during construction</t>
  </si>
  <si>
    <t>Total Development Budget</t>
  </si>
  <si>
    <t>Total Sources of Funds</t>
  </si>
  <si>
    <t>Total / Avg.</t>
  </si>
  <si>
    <t>Average Size</t>
  </si>
  <si>
    <t>Other Income</t>
  </si>
  <si>
    <t>Returns</t>
  </si>
  <si>
    <t>Commercial</t>
  </si>
  <si>
    <t>Proforma Summary</t>
  </si>
  <si>
    <t>IRR</t>
  </si>
  <si>
    <t>Equity Multiple</t>
  </si>
  <si>
    <t>Net Profit</t>
  </si>
  <si>
    <t>Avg. Cash-on-Cash</t>
  </si>
  <si>
    <t>Construction Loan Financing Fee</t>
  </si>
  <si>
    <t>ASSUMPTIONS</t>
  </si>
  <si>
    <t>Loan Amount</t>
  </si>
  <si>
    <t>Interest Rate</t>
  </si>
  <si>
    <t>Years I/O</t>
  </si>
  <si>
    <t>Amortization</t>
  </si>
  <si>
    <t>Payments per year</t>
  </si>
  <si>
    <t>Monthly Payment</t>
  </si>
  <si>
    <t>Annual Payment</t>
  </si>
  <si>
    <t>Annual Payment with Insurance</t>
  </si>
  <si>
    <t xml:space="preserve">Cumulative Interest </t>
  </si>
  <si>
    <t>Annual</t>
  </si>
  <si>
    <t>Principal</t>
  </si>
  <si>
    <t>2 Payments per Year</t>
  </si>
  <si>
    <t>12 Payments per Year</t>
  </si>
  <si>
    <t>Payment</t>
  </si>
  <si>
    <t>Interest</t>
  </si>
  <si>
    <t>Balance</t>
  </si>
  <si>
    <t>Insurance</t>
  </si>
  <si>
    <t>Debt Service</t>
  </si>
  <si>
    <t>Annual Pmt numbers</t>
  </si>
  <si>
    <t>Annual Payment Numbers</t>
  </si>
  <si>
    <t>LIBOR</t>
  </si>
  <si>
    <t>anuary of 2019</t>
  </si>
  <si>
    <t>February of 2019</t>
  </si>
  <si>
    <t>March of 2019</t>
  </si>
  <si>
    <t>April of 2019</t>
  </si>
  <si>
    <t>May of 2019</t>
  </si>
  <si>
    <t>June of 2019</t>
  </si>
  <si>
    <t>July of 2019</t>
  </si>
  <si>
    <t>August of 2019</t>
  </si>
  <si>
    <t>September of 2019</t>
  </si>
  <si>
    <t>October of 2019</t>
  </si>
  <si>
    <t>November of 2019</t>
  </si>
  <si>
    <t>December of 2019</t>
  </si>
  <si>
    <t>January of 2020</t>
  </si>
  <si>
    <t>February of 2020</t>
  </si>
  <si>
    <t>March of 2020</t>
  </si>
  <si>
    <t>April of 2020</t>
  </si>
  <si>
    <t>May of 2020</t>
  </si>
  <si>
    <t>June of 2020</t>
  </si>
  <si>
    <t>July of 2020</t>
  </si>
  <si>
    <t>August of 2020</t>
  </si>
  <si>
    <t>September of 2020</t>
  </si>
  <si>
    <t>October of 2020</t>
  </si>
  <si>
    <t>November of 2020</t>
  </si>
  <si>
    <t>December of 2020</t>
  </si>
  <si>
    <t>January of 2021</t>
  </si>
  <si>
    <t>February of 2021</t>
  </si>
  <si>
    <t>March of 2021</t>
  </si>
  <si>
    <t>April of 2021</t>
  </si>
  <si>
    <t>May of 2021</t>
  </si>
  <si>
    <t>June of 2021</t>
  </si>
  <si>
    <t>July of 2021</t>
  </si>
  <si>
    <t>August of 2021</t>
  </si>
  <si>
    <t>September of 2021</t>
  </si>
  <si>
    <t>October of 2021</t>
  </si>
  <si>
    <t>November of 2021</t>
  </si>
  <si>
    <t>December of 2021</t>
  </si>
  <si>
    <t>January of 2022</t>
  </si>
  <si>
    <t>February of 2022</t>
  </si>
  <si>
    <t>March of 2022</t>
  </si>
  <si>
    <t>April of 2022</t>
  </si>
  <si>
    <t>May of 2022</t>
  </si>
  <si>
    <t>June of 2022</t>
  </si>
  <si>
    <t>July of 2022</t>
  </si>
  <si>
    <t>August of 2022</t>
  </si>
  <si>
    <t>September of 2022</t>
  </si>
  <si>
    <t>October of 2022</t>
  </si>
  <si>
    <t>1-month</t>
  </si>
  <si>
    <t>Average</t>
  </si>
  <si>
    <t>Interest Rate over LIBOR</t>
  </si>
  <si>
    <t>Forward Rates</t>
  </si>
  <si>
    <t>Loan Extension</t>
  </si>
  <si>
    <t>Land Loan Closing Fee</t>
  </si>
  <si>
    <t xml:space="preserve">Legal </t>
  </si>
  <si>
    <t>FF&amp;E</t>
  </si>
  <si>
    <t>19,994 sf</t>
  </si>
  <si>
    <t>Garage Parking</t>
  </si>
  <si>
    <t>Water &amp; Sewer</t>
  </si>
  <si>
    <t>Operating Expenses</t>
  </si>
  <si>
    <t>Margin</t>
  </si>
  <si>
    <t>Net Operating Income</t>
  </si>
  <si>
    <t>Cash Flow</t>
  </si>
  <si>
    <t>Cash-on-Cash</t>
  </si>
  <si>
    <t>DSCR</t>
  </si>
  <si>
    <t>Ratio</t>
  </si>
  <si>
    <t>410 W 126th St</t>
  </si>
  <si>
    <t>Total $</t>
  </si>
  <si>
    <t>Development Costs</t>
  </si>
  <si>
    <t>Sources of Funds</t>
  </si>
  <si>
    <t>Construction Draw</t>
  </si>
  <si>
    <t>Cumulative Draw</t>
  </si>
  <si>
    <t>Cumulative Total Costs</t>
  </si>
  <si>
    <t>STD DEV</t>
  </si>
  <si>
    <t>Land</t>
  </si>
  <si>
    <t>Total Development Costs</t>
  </si>
  <si>
    <t>Columbia International</t>
  </si>
  <si>
    <t>LIBOR /SOFR</t>
  </si>
  <si>
    <t>Normal Dist.</t>
  </si>
  <si>
    <t>Development Costs Trend</t>
  </si>
  <si>
    <t>Land Cost &amp; Acquisition Cost</t>
  </si>
  <si>
    <t>Retail &amp; Residential Component</t>
  </si>
  <si>
    <t>Community Facility Income</t>
  </si>
  <si>
    <t>Retail Income</t>
  </si>
  <si>
    <t>Parking Income</t>
  </si>
  <si>
    <t>Gross Potential Rental Income</t>
  </si>
  <si>
    <t>Effective Gross Income</t>
  </si>
  <si>
    <t>Retail &amp; Residential Operating Expenses</t>
  </si>
  <si>
    <t>Management Fees</t>
  </si>
  <si>
    <t>Retail &amp; Residential Net Operating Income</t>
  </si>
  <si>
    <t>Hotel Component</t>
  </si>
  <si>
    <t>Rooms</t>
  </si>
  <si>
    <t>Food &amp; Beverage</t>
  </si>
  <si>
    <t>Residential Revenue</t>
  </si>
  <si>
    <t>Misc. Income</t>
  </si>
  <si>
    <t>Departamental Expenses</t>
  </si>
  <si>
    <t>Departamental Revenues</t>
  </si>
  <si>
    <t>Other</t>
  </si>
  <si>
    <t>Total Departamental Expense</t>
  </si>
  <si>
    <t>Total Operating Revenue</t>
  </si>
  <si>
    <t>Total Departamental Income</t>
  </si>
  <si>
    <t>Undistributed Operating Expenses</t>
  </si>
  <si>
    <t>Administrative &amp; General</t>
  </si>
  <si>
    <t>Sales &amp; Marketing</t>
  </si>
  <si>
    <t>Property Operations &amp; Maint.</t>
  </si>
  <si>
    <t>Total Undistributed Expenses</t>
  </si>
  <si>
    <t>Gross Operating Profit</t>
  </si>
  <si>
    <t>Base Management Fee</t>
  </si>
  <si>
    <t>Income Before Non-Operating Income &amp; Expenses</t>
  </si>
  <si>
    <t>Property Taxes</t>
  </si>
  <si>
    <t>Total Fixed Charges</t>
  </si>
  <si>
    <t>Reserves for Replacement</t>
  </si>
  <si>
    <t xml:space="preserve">Interest </t>
  </si>
  <si>
    <t>Total Debt Service</t>
  </si>
  <si>
    <t>SOFR</t>
  </si>
  <si>
    <t>CM Fee</t>
  </si>
  <si>
    <t>Retail Space</t>
  </si>
  <si>
    <t>Const.</t>
  </si>
  <si>
    <t>Lease up Schedule</t>
  </si>
  <si>
    <t>Units Leased p. month</t>
  </si>
  <si>
    <t>Total Units Leased</t>
  </si>
  <si>
    <t>% Leased p. month</t>
  </si>
  <si>
    <t>% Leased Total</t>
  </si>
  <si>
    <t>Retail</t>
  </si>
  <si>
    <t>Community Facility</t>
  </si>
  <si>
    <t>Real Estate Taxes</t>
  </si>
  <si>
    <t>Salary &amp; Benefits</t>
  </si>
  <si>
    <t>Repairs &amp; Maintenance</t>
  </si>
  <si>
    <t>General &amp; Administrative</t>
  </si>
  <si>
    <t>Legal &amp; Professional Fees</t>
  </si>
  <si>
    <t>Painting &amp; Supplies</t>
  </si>
  <si>
    <t>Miscellaneeous Expenses</t>
  </si>
  <si>
    <t>Total Expenses</t>
  </si>
  <si>
    <t>Replacement Reserves</t>
  </si>
  <si>
    <t>Capital Reserves</t>
  </si>
  <si>
    <t>Fixed Charges</t>
  </si>
  <si>
    <t>Retail &amp; Residential NOI after reserves</t>
  </si>
  <si>
    <t>Hotel Net Operating Income (before Reserves)</t>
  </si>
  <si>
    <t>Hotel Net Operating Income (after Reserves)</t>
  </si>
  <si>
    <t>Project Net Operating Income</t>
  </si>
  <si>
    <t>Project Cashflow</t>
  </si>
  <si>
    <t>Misc.</t>
  </si>
  <si>
    <t>Hotel Component Value</t>
  </si>
  <si>
    <t>Residential &amp; Commercial Value</t>
  </si>
  <si>
    <t>Permanent Loan</t>
  </si>
  <si>
    <t>Points out</t>
  </si>
  <si>
    <t>Equity Remaining in Deal</t>
  </si>
  <si>
    <t>Year of Sale</t>
  </si>
  <si>
    <t>Refinance</t>
  </si>
  <si>
    <t>Reversion</t>
  </si>
  <si>
    <t>Forward NOI</t>
  </si>
  <si>
    <t>Residential &amp; Commercial</t>
  </si>
  <si>
    <t>Sale Value</t>
  </si>
  <si>
    <t>Cost of Sale</t>
  </si>
  <si>
    <t>Reversion Value</t>
  </si>
  <si>
    <t>Loan Payoff</t>
  </si>
  <si>
    <t>Return Metrics</t>
  </si>
  <si>
    <t>Profit</t>
  </si>
  <si>
    <t>Profit Present Value</t>
  </si>
  <si>
    <t>Revenue</t>
  </si>
  <si>
    <t>PROPERTY INFORMATION</t>
  </si>
  <si>
    <t>QUOTED MONTHLY RENT</t>
  </si>
  <si>
    <t>No.</t>
  </si>
  <si>
    <t>PROPERTY NAME ADDRESS</t>
  </si>
  <si>
    <t>NUMBER OF UNITS</t>
  </si>
  <si>
    <t>YEAR BUILT</t>
  </si>
  <si>
    <t>NUMBER OF STORIES</t>
  </si>
  <si>
    <t>BEDS/ BATHS</t>
  </si>
  <si>
    <t>UNIT SIZE (SF)</t>
  </si>
  <si>
    <t>QUOTED RENT PER MONTH</t>
  </si>
  <si>
    <r>
      <rPr>
        <b/>
        <sz val="10"/>
        <rFont val="Arial"/>
        <family val="2"/>
      </rPr>
      <t>QUOTED RENT
$/SF/YEAR</t>
    </r>
  </si>
  <si>
    <t>Enclave at the Cathedral</t>
  </si>
  <si>
    <t>400 West 113th Street</t>
  </si>
  <si>
    <t>1 Bedrm</t>
  </si>
  <si>
    <t>New  York</t>
  </si>
  <si>
    <t>2 Bedrm</t>
  </si>
  <si>
    <t>3 Bedrm</t>
  </si>
  <si>
    <t>30 Morningside Drive</t>
  </si>
  <si>
    <t>Victoria Tow er Residences</t>
  </si>
  <si>
    <t>230 West 126th Street</t>
  </si>
  <si>
    <t>2270 Frederick Douglass Boulevard</t>
  </si>
  <si>
    <t>2130 ACP</t>
  </si>
  <si>
    <t>2130 Adam Clayton Pow ell Jr Boulevard</t>
  </si>
  <si>
    <t>Harlem 125</t>
  </si>
  <si>
    <t>69 East 125th Street</t>
  </si>
  <si>
    <t>6 West 126th Street</t>
  </si>
  <si>
    <t>Low :</t>
  </si>
  <si>
    <t>High:</t>
  </si>
  <si>
    <t>Average:</t>
  </si>
  <si>
    <t>Totals:</t>
  </si>
  <si>
    <r>
      <rPr>
        <b/>
        <i/>
        <sz val="10"/>
        <rFont val="Arial-BoldItalicMT"/>
        <family val="2"/>
      </rPr>
      <t>Hotel 1</t>
    </r>
  </si>
  <si>
    <r>
      <rPr>
        <b/>
        <i/>
        <sz val="10"/>
        <rFont val="Arial-BoldItalicMT"/>
        <family val="2"/>
      </rPr>
      <t>Hotel 2</t>
    </r>
  </si>
  <si>
    <r>
      <rPr>
        <b/>
        <i/>
        <sz val="10"/>
        <rFont val="Arial-BoldItalicMT"/>
        <family val="2"/>
      </rPr>
      <t>Hotel 3</t>
    </r>
  </si>
  <si>
    <r>
      <rPr>
        <b/>
        <i/>
        <sz val="10"/>
        <rFont val="Arial-BoldItalicMT"/>
        <family val="2"/>
      </rPr>
      <t>Hotel 4</t>
    </r>
  </si>
  <si>
    <r>
      <rPr>
        <b/>
        <i/>
        <sz val="10"/>
        <rFont val="Arial-BoldItalicMT"/>
        <family val="2"/>
      </rPr>
      <t>Hotel 5</t>
    </r>
  </si>
  <si>
    <t>Ratio to Sales</t>
  </si>
  <si>
    <t>PAR</t>
  </si>
  <si>
    <t>POR</t>
  </si>
  <si>
    <t>Occupancy</t>
  </si>
  <si>
    <t>Average Size (Rooms)</t>
  </si>
  <si>
    <t>50-100</t>
  </si>
  <si>
    <t>150-250</t>
  </si>
  <si>
    <t>100-200</t>
  </si>
  <si>
    <t>Average Rate</t>
  </si>
  <si>
    <t>REVENUE</t>
  </si>
  <si>
    <t>TOTAL REVENUE</t>
  </si>
  <si>
    <t>DEPARTMENTAL EXPENSES</t>
  </si>
  <si>
    <t>TOTAL DEPARTMENTAL EXPENSES</t>
  </si>
  <si>
    <t>DEPARTMENTAL INCOME</t>
  </si>
  <si>
    <t>UNDISTRIBUTED</t>
  </si>
  <si>
    <t>OPERATING EXPENSES</t>
  </si>
  <si>
    <t>Marketing</t>
  </si>
  <si>
    <t>Utility Costs</t>
  </si>
  <si>
    <t>Property Operations &amp; Maintenance</t>
  </si>
  <si>
    <t>TOTAL UNDISTRIBUTED</t>
  </si>
  <si>
    <t>GROSS OPERATING PROFIT</t>
  </si>
  <si>
    <t>FIXED CHARGES</t>
  </si>
  <si>
    <t>Taxes</t>
  </si>
  <si>
    <t>Reserve for Replacement</t>
  </si>
  <si>
    <t>NET OPERATING INCOME</t>
  </si>
  <si>
    <t>COMPETITIVE APARTMENT PROJECTS</t>
  </si>
  <si>
    <t>Comparable Income &amp; Expense Data - Select Service Hotels</t>
  </si>
  <si>
    <t>STATISTICS</t>
  </si>
  <si>
    <t>Min</t>
  </si>
  <si>
    <t>Max</t>
  </si>
  <si>
    <t>Avg</t>
  </si>
  <si>
    <t>Year</t>
  </si>
  <si>
    <t>Date</t>
  </si>
  <si>
    <t>LTV Loan</t>
  </si>
  <si>
    <t>DSCR Loan</t>
  </si>
  <si>
    <t>Loan Approved</t>
  </si>
  <si>
    <t>Min. DSCR</t>
  </si>
  <si>
    <t>Refinance Proceeds</t>
  </si>
  <si>
    <t>REFINANCE SCENARIO</t>
  </si>
  <si>
    <t>COLUMBIA INTERNATIONAL</t>
  </si>
  <si>
    <t>MIXED USE DEVELOPMENT</t>
  </si>
  <si>
    <t>DEBT SCHEDULES</t>
  </si>
  <si>
    <t>EXECUTIVE SUMMARY &amp; ASSUMPTIONS</t>
  </si>
  <si>
    <t>ANNUAL PROFORMA</t>
  </si>
  <si>
    <t>RETURN CALCULATIONS</t>
  </si>
  <si>
    <t>COMPARABLE PROPERTIES</t>
  </si>
  <si>
    <t>CONSTRUCTION  &amp; LEASE-UP SCHEDULE</t>
  </si>
  <si>
    <t>Condo Sale Schedule</t>
  </si>
  <si>
    <t>Condo</t>
  </si>
  <si>
    <t>Sale / sf</t>
  </si>
  <si>
    <t>Sale Price</t>
  </si>
  <si>
    <t>Total Sales</t>
  </si>
  <si>
    <t>Principal Balance</t>
  </si>
  <si>
    <t>Rental Permanent Loan Amortization Schedule</t>
  </si>
  <si>
    <t>Hotel Permanent Loan Amortization Schedule</t>
  </si>
  <si>
    <t>Commercial Value</t>
  </si>
  <si>
    <t>Rental Construction Loan Amortization Schedule</t>
  </si>
  <si>
    <t>Principal Paydown</t>
  </si>
  <si>
    <t>West End 87</t>
  </si>
  <si>
    <t>10C</t>
  </si>
  <si>
    <t>7B</t>
  </si>
  <si>
    <t>14B</t>
  </si>
  <si>
    <t>6A</t>
  </si>
  <si>
    <t>14A</t>
  </si>
  <si>
    <t>New West</t>
  </si>
  <si>
    <t>PH1D</t>
  </si>
  <si>
    <t>14K</t>
  </si>
  <si>
    <t>17K</t>
  </si>
  <si>
    <t>18A</t>
  </si>
  <si>
    <t>8A</t>
  </si>
  <si>
    <t>5A</t>
  </si>
  <si>
    <t>Dahlia</t>
  </si>
  <si>
    <t>17A</t>
  </si>
  <si>
    <t>12A</t>
  </si>
  <si>
    <t>PHB</t>
  </si>
  <si>
    <t>7A</t>
  </si>
  <si>
    <t>9A</t>
  </si>
  <si>
    <t>15A</t>
  </si>
  <si>
    <t>4C</t>
  </si>
  <si>
    <t>2B</t>
  </si>
  <si>
    <t>3B</t>
  </si>
  <si>
    <t>8D</t>
  </si>
  <si>
    <t>14D</t>
  </si>
  <si>
    <t>VandeWater</t>
  </si>
  <si>
    <t>4D</t>
  </si>
  <si>
    <t>10B</t>
  </si>
  <si>
    <t>8G</t>
  </si>
  <si>
    <t>3C</t>
  </si>
  <si>
    <t>3E</t>
  </si>
  <si>
    <t>2A</t>
  </si>
  <si>
    <t>27B</t>
  </si>
  <si>
    <t>5H</t>
  </si>
  <si>
    <t>11H</t>
  </si>
  <si>
    <t>26D</t>
  </si>
  <si>
    <t>29D</t>
  </si>
  <si>
    <t>27A</t>
  </si>
  <si>
    <t>30A</t>
  </si>
  <si>
    <t>31A</t>
  </si>
  <si>
    <t>32B</t>
  </si>
  <si>
    <t>Unit</t>
  </si>
  <si>
    <t>Beds</t>
  </si>
  <si>
    <t>Sale price</t>
  </si>
  <si>
    <t>Price/SF</t>
  </si>
  <si>
    <t>378 West End Ave</t>
  </si>
  <si>
    <t>COMPETITIVE CONDO PROJECTS</t>
  </si>
  <si>
    <t>Averages</t>
  </si>
  <si>
    <t>4 Bed</t>
  </si>
  <si>
    <t>Rental</t>
  </si>
  <si>
    <t>Retail Operating Expenses</t>
  </si>
  <si>
    <t>Condo Expenses</t>
  </si>
  <si>
    <t>HOA Fees</t>
  </si>
  <si>
    <t>Sales Cost</t>
  </si>
  <si>
    <t>Total Condo Expenses</t>
  </si>
  <si>
    <t>Total Retail Expenses</t>
  </si>
  <si>
    <t>Total Residential &amp; Retail Expenses</t>
  </si>
  <si>
    <t>Affordable</t>
  </si>
  <si>
    <t>No</t>
  </si>
  <si>
    <t>Exemption Year</t>
  </si>
  <si>
    <t>Tax Year</t>
  </si>
  <si>
    <t>Assessed Value</t>
  </si>
  <si>
    <t>Base 
AV</t>
  </si>
  <si>
    <t>Phase Out %</t>
  </si>
  <si>
    <t>Exemption</t>
  </si>
  <si>
    <t>Taxable AV</t>
  </si>
  <si>
    <t>Tax Rate</t>
  </si>
  <si>
    <t>Taxes After 
Exemption</t>
  </si>
  <si>
    <t>Full Taxes</t>
  </si>
  <si>
    <t>Tax Savings</t>
  </si>
  <si>
    <t>-</t>
  </si>
  <si>
    <t>Market Value</t>
  </si>
  <si>
    <t>Exempt Value</t>
  </si>
  <si>
    <t>Taxable Value</t>
  </si>
  <si>
    <t>Residential - Rental</t>
  </si>
  <si>
    <t>Residential - Condo</t>
  </si>
  <si>
    <t>Units Sold p. month</t>
  </si>
  <si>
    <t>Total Units Sold</t>
  </si>
  <si>
    <t>% Sold p. month</t>
  </si>
  <si>
    <t>% Sold Total</t>
  </si>
  <si>
    <t>Hold Period</t>
  </si>
  <si>
    <t>Condo Sale Months</t>
  </si>
  <si>
    <t>Condo Sales p.month</t>
  </si>
  <si>
    <t>Year 1 - Rental</t>
  </si>
  <si>
    <t>Year 2 - Rental</t>
  </si>
  <si>
    <t>Last Month Condo Sales</t>
  </si>
  <si>
    <t>Rate over LIBOR / SOFR</t>
  </si>
  <si>
    <t>LIBOR / SOFR</t>
  </si>
  <si>
    <t>Avg.</t>
  </si>
  <si>
    <t>Years of Construction</t>
  </si>
  <si>
    <t>Lease-up Reserve Equity</t>
  </si>
  <si>
    <t>Req. Condo Sale / Lease-up Reserve</t>
  </si>
  <si>
    <t>Construction Loan Paid-off</t>
  </si>
  <si>
    <t>Debt &amp; Equity Snapshot</t>
  </si>
  <si>
    <t>Condo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</si>
</sst>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\ &quot;Acres&quot;"/>
    <numFmt numFmtId="165" formatCode="m/d/yy;@"/>
    <numFmt numFmtId="166" formatCode="_(* #,##0_);_(* \(#,##0\);_(* &quot;-&quot;??_);_(@_)"/>
    <numFmt numFmtId="167" formatCode="0.0000%"/>
    <numFmt numFmtId="168" formatCode="0.000%"/>
    <numFmt numFmtId="169" formatCode="#,##0.0000"/>
    <numFmt numFmtId="170" formatCode="#,##0.00000"/>
    <numFmt numFmtId="171" formatCode="0.0%"/>
    <numFmt numFmtId="172" formatCode="0.00\x"/>
    <numFmt numFmtId="173" formatCode="\$#,##0"/>
    <numFmt numFmtId="174" formatCode="\$0.00"/>
    <numFmt numFmtId="175" formatCode="\$0"/>
    <numFmt numFmtId="176" formatCode="_(&quot;$&quot;* #,##0_);_(&quot;$&quot;* \(#,##0\);_(&quot;$&quot;* &quot;-&quot;??_);_(@_)"/>
    <numFmt numFmtId="177" formatCode="&quot;$&quot;#,##0"/>
  </numFmts>
  <fonts count="3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  <font>
      <sz val="16"/>
      <color rgb="FF70767D"/>
      <name val="Kanit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name val="Arial-BoldItalicMT"/>
    </font>
    <font>
      <b/>
      <i/>
      <sz val="10"/>
      <name val="Arial-BoldItalicMT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2"/>
      <color theme="4"/>
      <name val="Verdana"/>
      <family val="2"/>
    </font>
    <font>
      <b/>
      <sz val="12"/>
      <color theme="4"/>
      <name val="Calibri"/>
      <family val="2"/>
      <scheme val="minor"/>
    </font>
    <font>
      <sz val="12"/>
      <color rgb="FF3E4545"/>
      <name val="Museo Sans Cond 300"/>
      <family val="3"/>
    </font>
    <font>
      <sz val="14"/>
      <color theme="1"/>
      <name val="Museo Sans Cond 300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969696"/>
      </bottom>
      <diagonal/>
    </border>
    <border>
      <left/>
      <right/>
      <top style="medium">
        <color indexed="64"/>
      </top>
      <bottom style="thin">
        <color rgb="FF969696"/>
      </bottom>
      <diagonal/>
    </border>
    <border>
      <left/>
      <right style="medium">
        <color indexed="64"/>
      </right>
      <top style="medium">
        <color indexed="64"/>
      </top>
      <bottom style="thin">
        <color rgb="FF969696"/>
      </bottom>
      <diagonal/>
    </border>
    <border>
      <left style="medium">
        <color indexed="64"/>
      </left>
      <right style="thin">
        <color rgb="FF969696"/>
      </right>
      <top style="thin">
        <color rgb="FF969696"/>
      </top>
      <bottom/>
      <diagonal/>
    </border>
    <border>
      <left/>
      <right style="medium">
        <color indexed="64"/>
      </right>
      <top style="thin">
        <color rgb="FF969696"/>
      </top>
      <bottom style="thin">
        <color rgb="FF969696"/>
      </bottom>
      <diagonal/>
    </border>
    <border>
      <left style="medium">
        <color indexed="64"/>
      </left>
      <right style="thin">
        <color rgb="FF969696"/>
      </right>
      <top/>
      <bottom/>
      <diagonal/>
    </border>
    <border>
      <left/>
      <right style="medium">
        <color indexed="64"/>
      </right>
      <top style="thin">
        <color rgb="FF969696"/>
      </top>
      <bottom/>
      <diagonal/>
    </border>
    <border>
      <left style="medium">
        <color indexed="64"/>
      </left>
      <right style="thin">
        <color rgb="FF969696"/>
      </right>
      <top/>
      <bottom style="thin">
        <color rgb="FF969696"/>
      </bottom>
      <diagonal/>
    </border>
    <border>
      <left/>
      <right style="medium">
        <color indexed="64"/>
      </right>
      <top/>
      <bottom style="thin">
        <color rgb="FF969696"/>
      </bottom>
      <diagonal/>
    </border>
    <border>
      <left style="medium">
        <color indexed="64"/>
      </left>
      <right style="thin">
        <color rgb="FF969696"/>
      </right>
      <top style="thin">
        <color rgb="FF969696"/>
      </top>
      <bottom style="medium">
        <color indexed="64"/>
      </bottom>
      <diagonal/>
    </border>
    <border>
      <left style="thin">
        <color rgb="FF969696"/>
      </left>
      <right/>
      <top style="thin">
        <color rgb="FF969696"/>
      </top>
      <bottom style="medium">
        <color indexed="64"/>
      </bottom>
      <diagonal/>
    </border>
    <border>
      <left/>
      <right/>
      <top style="thin">
        <color rgb="FF969696"/>
      </top>
      <bottom style="medium">
        <color indexed="64"/>
      </bottom>
      <diagonal/>
    </border>
    <border>
      <left/>
      <right style="medium">
        <color indexed="64"/>
      </right>
      <top style="thin">
        <color rgb="FF96969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969696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" fontId="10" fillId="0" borderId="0"/>
    <xf numFmtId="9" fontId="10" fillId="0" borderId="0" applyFont="0" applyFill="0" applyBorder="0" applyAlignment="0" applyProtection="0"/>
    <xf numFmtId="3" fontId="17" fillId="0" borderId="0"/>
    <xf numFmtId="44" fontId="1" fillId="0" borderId="0" applyFont="0" applyFill="0" applyBorder="0" applyAlignment="0" applyProtection="0"/>
  </cellStyleXfs>
  <cellXfs count="654">
    <xf numFmtId="0" fontId="0" fillId="0" borderId="0" xfId="0"/>
    <xf numFmtId="0" fontId="3" fillId="0" borderId="1" xfId="3" applyBorder="1"/>
    <xf numFmtId="0" fontId="3" fillId="0" borderId="0" xfId="3"/>
    <xf numFmtId="0" fontId="5" fillId="0" borderId="1" xfId="3" applyFont="1" applyBorder="1"/>
    <xf numFmtId="0" fontId="3" fillId="0" borderId="1" xfId="3" applyBorder="1" applyAlignment="1">
      <alignment horizontal="center" vertical="center"/>
    </xf>
    <xf numFmtId="0" fontId="3" fillId="2" borderId="1" xfId="3" applyFill="1" applyBorder="1" applyAlignment="1">
      <alignment horizontal="center"/>
    </xf>
    <xf numFmtId="0" fontId="3" fillId="3" borderId="1" xfId="3" applyFill="1" applyBorder="1" applyAlignment="1">
      <alignment horizontal="center"/>
    </xf>
    <xf numFmtId="0" fontId="3" fillId="4" borderId="1" xfId="3" applyFill="1" applyBorder="1" applyAlignment="1">
      <alignment horizontal="center"/>
    </xf>
    <xf numFmtId="0" fontId="3" fillId="0" borderId="1" xfId="3" applyBorder="1" applyAlignment="1">
      <alignment horizontal="center"/>
    </xf>
    <xf numFmtId="0" fontId="3" fillId="2" borderId="1" xfId="3" applyFill="1" applyBorder="1"/>
    <xf numFmtId="0" fontId="3" fillId="3" borderId="1" xfId="3" applyFill="1" applyBorder="1"/>
    <xf numFmtId="0" fontId="3" fillId="4" borderId="1" xfId="3" applyFill="1" applyBorder="1"/>
    <xf numFmtId="0" fontId="3" fillId="5" borderId="6" xfId="3" applyFill="1" applyBorder="1" applyAlignment="1">
      <alignment horizontal="center"/>
    </xf>
    <xf numFmtId="0" fontId="3" fillId="6" borderId="6" xfId="3" applyFill="1" applyBorder="1" applyAlignment="1">
      <alignment horizontal="center"/>
    </xf>
    <xf numFmtId="0" fontId="3" fillId="7" borderId="6" xfId="3" applyFill="1" applyBorder="1" applyAlignment="1">
      <alignment horizontal="center"/>
    </xf>
    <xf numFmtId="0" fontId="3" fillId="8" borderId="6" xfId="3" applyFill="1" applyBorder="1" applyAlignment="1">
      <alignment horizontal="center"/>
    </xf>
    <xf numFmtId="0" fontId="3" fillId="0" borderId="6" xfId="3" applyBorder="1"/>
    <xf numFmtId="0" fontId="3" fillId="5" borderId="1" xfId="3" applyFill="1" applyBorder="1"/>
    <xf numFmtId="0" fontId="3" fillId="6" borderId="1" xfId="3" applyFill="1" applyBorder="1"/>
    <xf numFmtId="0" fontId="3" fillId="7" borderId="1" xfId="3" applyFill="1" applyBorder="1"/>
    <xf numFmtId="0" fontId="3" fillId="8" borderId="1" xfId="3" applyFill="1" applyBorder="1"/>
    <xf numFmtId="0" fontId="3" fillId="7" borderId="1" xfId="3" applyFill="1" applyBorder="1" applyAlignment="1">
      <alignment horizontal="center"/>
    </xf>
    <xf numFmtId="0" fontId="3" fillId="8" borderId="1" xfId="3" applyFill="1" applyBorder="1" applyAlignment="1">
      <alignment horizontal="center"/>
    </xf>
    <xf numFmtId="0" fontId="3" fillId="5" borderId="1" xfId="3" applyFill="1" applyBorder="1" applyAlignment="1">
      <alignment horizontal="center"/>
    </xf>
    <xf numFmtId="0" fontId="3" fillId="9" borderId="1" xfId="3" applyFill="1" applyBorder="1" applyAlignment="1">
      <alignment horizontal="center"/>
    </xf>
    <xf numFmtId="0" fontId="3" fillId="9" borderId="1" xfId="3" applyFill="1" applyBorder="1"/>
    <xf numFmtId="0" fontId="3" fillId="6" borderId="1" xfId="3" applyFill="1" applyBorder="1" applyAlignment="1">
      <alignment horizontal="center"/>
    </xf>
    <xf numFmtId="0" fontId="3" fillId="0" borderId="7" xfId="3" applyBorder="1"/>
    <xf numFmtId="0" fontId="5" fillId="0" borderId="7" xfId="3" applyFont="1" applyBorder="1" applyAlignment="1">
      <alignment horizontal="center"/>
    </xf>
    <xf numFmtId="0" fontId="3" fillId="3" borderId="7" xfId="3" applyFill="1" applyBorder="1" applyAlignment="1">
      <alignment horizontal="center"/>
    </xf>
    <xf numFmtId="0" fontId="3" fillId="2" borderId="7" xfId="3" applyFill="1" applyBorder="1" applyAlignment="1">
      <alignment horizontal="center"/>
    </xf>
    <xf numFmtId="0" fontId="3" fillId="4" borderId="7" xfId="3" applyFill="1" applyBorder="1" applyAlignment="1">
      <alignment horizontal="center"/>
    </xf>
    <xf numFmtId="0" fontId="3" fillId="6" borderId="7" xfId="3" applyFill="1" applyBorder="1"/>
    <xf numFmtId="0" fontId="3" fillId="8" borderId="7" xfId="3" applyFill="1" applyBorder="1" applyAlignment="1">
      <alignment horizontal="center"/>
    </xf>
    <xf numFmtId="0" fontId="3" fillId="9" borderId="7" xfId="3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3" fillId="5" borderId="10" xfId="3" applyFill="1" applyBorder="1" applyAlignment="1">
      <alignment horizontal="center"/>
    </xf>
    <xf numFmtId="0" fontId="3" fillId="3" borderId="7" xfId="3" applyFill="1" applyBorder="1" applyAlignment="1">
      <alignment horizontal="center" vertical="center"/>
    </xf>
    <xf numFmtId="0" fontId="3" fillId="2" borderId="7" xfId="3" applyFill="1" applyBorder="1" applyAlignment="1">
      <alignment horizontal="center" vertical="center"/>
    </xf>
    <xf numFmtId="0" fontId="3" fillId="4" borderId="7" xfId="3" applyFill="1" applyBorder="1" applyAlignment="1">
      <alignment horizontal="center" vertical="center"/>
    </xf>
    <xf numFmtId="0" fontId="3" fillId="6" borderId="7" xfId="3" applyFill="1" applyBorder="1" applyAlignment="1">
      <alignment horizontal="center" vertical="center"/>
    </xf>
    <xf numFmtId="0" fontId="3" fillId="5" borderId="10" xfId="3" applyFill="1" applyBorder="1" applyAlignment="1">
      <alignment horizontal="center" vertical="center"/>
    </xf>
    <xf numFmtId="0" fontId="3" fillId="8" borderId="7" xfId="3" applyFill="1" applyBorder="1" applyAlignment="1">
      <alignment horizontal="center" vertical="center"/>
    </xf>
    <xf numFmtId="0" fontId="3" fillId="9" borderId="7" xfId="3" applyFill="1" applyBorder="1" applyAlignment="1">
      <alignment horizontal="center" vertical="center"/>
    </xf>
    <xf numFmtId="9" fontId="3" fillId="3" borderId="7" xfId="3" applyNumberFormat="1" applyFill="1" applyBorder="1" applyAlignment="1">
      <alignment horizontal="center"/>
    </xf>
    <xf numFmtId="9" fontId="3" fillId="2" borderId="7" xfId="3" applyNumberFormat="1" applyFill="1" applyBorder="1" applyAlignment="1">
      <alignment horizontal="center"/>
    </xf>
    <xf numFmtId="9" fontId="3" fillId="4" borderId="7" xfId="3" applyNumberFormat="1" applyFill="1" applyBorder="1" applyAlignment="1">
      <alignment horizontal="center"/>
    </xf>
    <xf numFmtId="9" fontId="3" fillId="6" borderId="10" xfId="3" applyNumberFormat="1" applyFill="1" applyBorder="1" applyAlignment="1">
      <alignment horizontal="center"/>
    </xf>
    <xf numFmtId="9" fontId="3" fillId="5" borderId="10" xfId="3" applyNumberFormat="1" applyFill="1" applyBorder="1" applyAlignment="1">
      <alignment horizontal="center"/>
    </xf>
    <xf numFmtId="9" fontId="3" fillId="8" borderId="7" xfId="3" applyNumberFormat="1" applyFill="1" applyBorder="1" applyAlignment="1">
      <alignment horizontal="center"/>
    </xf>
    <xf numFmtId="9" fontId="3" fillId="9" borderId="7" xfId="3" applyNumberFormat="1" applyFill="1" applyBorder="1" applyAlignment="1">
      <alignment horizontal="center"/>
    </xf>
    <xf numFmtId="0" fontId="2" fillId="0" borderId="0" xfId="0" applyFont="1"/>
    <xf numFmtId="0" fontId="3" fillId="0" borderId="24" xfId="3" applyBorder="1"/>
    <xf numFmtId="0" fontId="5" fillId="0" borderId="27" xfId="3" applyFont="1" applyBorder="1" applyAlignment="1">
      <alignment horizontal="center"/>
    </xf>
    <xf numFmtId="0" fontId="3" fillId="0" borderId="10" xfId="3" applyBorder="1"/>
    <xf numFmtId="0" fontId="5" fillId="0" borderId="10" xfId="3" applyFont="1" applyBorder="1" applyAlignment="1">
      <alignment horizontal="center"/>
    </xf>
    <xf numFmtId="0" fontId="3" fillId="0" borderId="33" xfId="3" applyBorder="1"/>
    <xf numFmtId="0" fontId="3" fillId="0" borderId="18" xfId="3" applyBorder="1"/>
    <xf numFmtId="0" fontId="3" fillId="0" borderId="34" xfId="3" applyBorder="1"/>
    <xf numFmtId="0" fontId="3" fillId="0" borderId="36" xfId="3" applyBorder="1"/>
    <xf numFmtId="0" fontId="3" fillId="0" borderId="19" xfId="3" applyBorder="1"/>
    <xf numFmtId="0" fontId="3" fillId="0" borderId="38" xfId="3" applyBorder="1"/>
    <xf numFmtId="0" fontId="5" fillId="0" borderId="28" xfId="3" applyFont="1" applyBorder="1" applyAlignment="1">
      <alignment horizontal="center"/>
    </xf>
    <xf numFmtId="0" fontId="5" fillId="0" borderId="32" xfId="3" applyFont="1" applyBorder="1" applyAlignment="1">
      <alignment horizontal="center"/>
    </xf>
    <xf numFmtId="0" fontId="5" fillId="0" borderId="28" xfId="3" applyFont="1" applyBorder="1"/>
    <xf numFmtId="1" fontId="5" fillId="0" borderId="32" xfId="3" applyNumberFormat="1" applyFont="1" applyBorder="1"/>
    <xf numFmtId="0" fontId="5" fillId="0" borderId="32" xfId="3" applyFont="1" applyBorder="1"/>
    <xf numFmtId="37" fontId="6" fillId="0" borderId="23" xfId="3" applyNumberFormat="1" applyFont="1" applyBorder="1"/>
    <xf numFmtId="1" fontId="3" fillId="3" borderId="7" xfId="3" applyNumberFormat="1" applyFill="1" applyBorder="1" applyAlignment="1">
      <alignment horizontal="center"/>
    </xf>
    <xf numFmtId="1" fontId="3" fillId="2" borderId="7" xfId="3" applyNumberFormat="1" applyFill="1" applyBorder="1" applyAlignment="1">
      <alignment horizontal="center"/>
    </xf>
    <xf numFmtId="1" fontId="3" fillId="4" borderId="7" xfId="3" applyNumberFormat="1" applyFill="1" applyBorder="1" applyAlignment="1">
      <alignment horizontal="center"/>
    </xf>
    <xf numFmtId="1" fontId="3" fillId="6" borderId="7" xfId="3" applyNumberFormat="1" applyFill="1" applyBorder="1" applyAlignment="1">
      <alignment horizontal="center"/>
    </xf>
    <xf numFmtId="1" fontId="3" fillId="5" borderId="10" xfId="3" applyNumberFormat="1" applyFill="1" applyBorder="1" applyAlignment="1">
      <alignment horizontal="center"/>
    </xf>
    <xf numFmtId="1" fontId="3" fillId="8" borderId="7" xfId="3" applyNumberFormat="1" applyFill="1" applyBorder="1" applyAlignment="1">
      <alignment horizontal="center"/>
    </xf>
    <xf numFmtId="1" fontId="3" fillId="9" borderId="7" xfId="3" applyNumberFormat="1" applyFill="1" applyBorder="1" applyAlignment="1">
      <alignment horizontal="center"/>
    </xf>
    <xf numFmtId="3" fontId="10" fillId="0" borderId="0" xfId="4"/>
    <xf numFmtId="3" fontId="11" fillId="0" borderId="0" xfId="4" applyFont="1"/>
    <xf numFmtId="3" fontId="10" fillId="0" borderId="12" xfId="4" applyBorder="1"/>
    <xf numFmtId="3" fontId="10" fillId="0" borderId="39" xfId="4" applyBorder="1"/>
    <xf numFmtId="3" fontId="10" fillId="0" borderId="13" xfId="4" applyBorder="1"/>
    <xf numFmtId="3" fontId="10" fillId="0" borderId="14" xfId="4" applyBorder="1"/>
    <xf numFmtId="3" fontId="10" fillId="0" borderId="3" xfId="4" applyBorder="1"/>
    <xf numFmtId="167" fontId="10" fillId="0" borderId="15" xfId="5" applyNumberFormat="1" applyFill="1" applyBorder="1"/>
    <xf numFmtId="166" fontId="10" fillId="0" borderId="15" xfId="1" applyNumberFormat="1" applyFont="1" applyBorder="1"/>
    <xf numFmtId="3" fontId="10" fillId="0" borderId="15" xfId="4" applyBorder="1"/>
    <xf numFmtId="3" fontId="10" fillId="0" borderId="16" xfId="4" applyBorder="1"/>
    <xf numFmtId="3" fontId="10" fillId="0" borderId="40" xfId="4" applyBorder="1"/>
    <xf numFmtId="3" fontId="10" fillId="0" borderId="17" xfId="4" applyBorder="1"/>
    <xf numFmtId="3" fontId="10" fillId="0" borderId="21" xfId="4" applyBorder="1"/>
    <xf numFmtId="3" fontId="10" fillId="0" borderId="22" xfId="4" applyBorder="1"/>
    <xf numFmtId="3" fontId="10" fillId="0" borderId="20" xfId="4" applyBorder="1"/>
    <xf numFmtId="3" fontId="10" fillId="0" borderId="23" xfId="4" applyBorder="1"/>
    <xf numFmtId="3" fontId="10" fillId="0" borderId="42" xfId="4" applyBorder="1"/>
    <xf numFmtId="3" fontId="10" fillId="0" borderId="24" xfId="4" applyBorder="1"/>
    <xf numFmtId="3" fontId="10" fillId="0" borderId="43" xfId="4" applyBorder="1"/>
    <xf numFmtId="3" fontId="10" fillId="0" borderId="36" xfId="4" applyBorder="1"/>
    <xf numFmtId="3" fontId="10" fillId="0" borderId="25" xfId="4" applyBorder="1"/>
    <xf numFmtId="3" fontId="10" fillId="0" borderId="26" xfId="4" applyBorder="1"/>
    <xf numFmtId="3" fontId="10" fillId="0" borderId="27" xfId="4" applyBorder="1"/>
    <xf numFmtId="3" fontId="10" fillId="0" borderId="44" xfId="4" applyBorder="1"/>
    <xf numFmtId="10" fontId="10" fillId="0" borderId="15" xfId="5" applyNumberFormat="1" applyFill="1" applyBorder="1"/>
    <xf numFmtId="0" fontId="12" fillId="0" borderId="0" xfId="0" applyFont="1"/>
    <xf numFmtId="14" fontId="0" fillId="0" borderId="0" xfId="0" applyNumberFormat="1"/>
    <xf numFmtId="10" fontId="14" fillId="0" borderId="0" xfId="0" applyNumberFormat="1" applyFont="1"/>
    <xf numFmtId="10" fontId="12" fillId="0" borderId="0" xfId="2" applyNumberFormat="1" applyFont="1"/>
    <xf numFmtId="10" fontId="10" fillId="0" borderId="43" xfId="2" applyNumberFormat="1" applyFont="1" applyBorder="1"/>
    <xf numFmtId="10" fontId="10" fillId="0" borderId="3" xfId="2" applyNumberFormat="1" applyFont="1" applyBorder="1"/>
    <xf numFmtId="0" fontId="7" fillId="3" borderId="20" xfId="0" applyFont="1" applyFill="1" applyBorder="1"/>
    <xf numFmtId="0" fontId="0" fillId="3" borderId="22" xfId="0" applyFill="1" applyBorder="1"/>
    <xf numFmtId="37" fontId="6" fillId="0" borderId="24" xfId="3" applyNumberFormat="1" applyFont="1" applyBorder="1" applyAlignment="1">
      <alignment horizontal="center"/>
    </xf>
    <xf numFmtId="164" fontId="6" fillId="0" borderId="24" xfId="3" applyNumberFormat="1" applyFont="1" applyBorder="1" applyAlignment="1">
      <alignment horizontal="center"/>
    </xf>
    <xf numFmtId="165" fontId="6" fillId="0" borderId="24" xfId="3" applyNumberFormat="1" applyFont="1" applyBorder="1" applyAlignment="1">
      <alignment horizontal="center"/>
    </xf>
    <xf numFmtId="37" fontId="6" fillId="0" borderId="25" xfId="3" applyNumberFormat="1" applyFont="1" applyBorder="1"/>
    <xf numFmtId="165" fontId="6" fillId="0" borderId="27" xfId="3" applyNumberFormat="1" applyFont="1" applyBorder="1" applyAlignment="1">
      <alignment horizontal="center"/>
    </xf>
    <xf numFmtId="0" fontId="0" fillId="0" borderId="24" xfId="0" applyBorder="1"/>
    <xf numFmtId="37" fontId="15" fillId="0" borderId="23" xfId="3" applyNumberFormat="1" applyFont="1" applyBorder="1" applyAlignment="1">
      <alignment horizontal="left" indent="1"/>
    </xf>
    <xf numFmtId="10" fontId="9" fillId="0" borderId="24" xfId="0" applyNumberFormat="1" applyFont="1" applyBorder="1"/>
    <xf numFmtId="0" fontId="9" fillId="0" borderId="24" xfId="0" applyFont="1" applyBorder="1"/>
    <xf numFmtId="9" fontId="9" fillId="0" borderId="24" xfId="0" applyNumberFormat="1" applyFont="1" applyBorder="1"/>
    <xf numFmtId="0" fontId="2" fillId="0" borderId="23" xfId="0" applyFont="1" applyBorder="1"/>
    <xf numFmtId="0" fontId="0" fillId="0" borderId="23" xfId="0" applyBorder="1"/>
    <xf numFmtId="0" fontId="2" fillId="0" borderId="23" xfId="0" applyFont="1" applyBorder="1" applyAlignment="1">
      <alignment horizontal="left"/>
    </xf>
    <xf numFmtId="0" fontId="2" fillId="0" borderId="23" xfId="0" applyFont="1" applyBorder="1" applyAlignment="1">
      <alignment horizontal="left" indent="1"/>
    </xf>
    <xf numFmtId="0" fontId="0" fillId="0" borderId="23" xfId="0" applyBorder="1" applyAlignment="1">
      <alignment horizontal="left" indent="2"/>
    </xf>
    <xf numFmtId="0" fontId="0" fillId="0" borderId="23" xfId="0" applyBorder="1" applyAlignment="1">
      <alignment horizontal="left" indent="1"/>
    </xf>
    <xf numFmtId="0" fontId="2" fillId="0" borderId="25" xfId="0" applyFont="1" applyBorder="1" applyAlignment="1">
      <alignment horizontal="left"/>
    </xf>
    <xf numFmtId="0" fontId="2" fillId="3" borderId="20" xfId="0" applyFont="1" applyFill="1" applyBorder="1"/>
    <xf numFmtId="0" fontId="0" fillId="3" borderId="21" xfId="0" applyFill="1" applyBorder="1"/>
    <xf numFmtId="0" fontId="2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6" xfId="0" applyBorder="1"/>
    <xf numFmtId="0" fontId="2" fillId="3" borderId="21" xfId="0" applyFont="1" applyFill="1" applyBorder="1"/>
    <xf numFmtId="0" fontId="2" fillId="3" borderId="22" xfId="0" applyFont="1" applyFill="1" applyBorder="1"/>
    <xf numFmtId="37" fontId="1" fillId="0" borderId="23" xfId="3" applyNumberFormat="1" applyFont="1" applyBorder="1"/>
    <xf numFmtId="0" fontId="16" fillId="0" borderId="23" xfId="0" applyFont="1" applyBorder="1"/>
    <xf numFmtId="0" fontId="16" fillId="0" borderId="25" xfId="0" applyFont="1" applyBorder="1"/>
    <xf numFmtId="37" fontId="6" fillId="0" borderId="23" xfId="3" applyNumberFormat="1" applyFont="1" applyBorder="1" applyAlignment="1">
      <alignment horizontal="left" indent="1"/>
    </xf>
    <xf numFmtId="9" fontId="0" fillId="0" borderId="0" xfId="0" applyNumberFormat="1"/>
    <xf numFmtId="166" fontId="9" fillId="0" borderId="24" xfId="1" applyNumberFormat="1" applyFont="1" applyBorder="1"/>
    <xf numFmtId="166" fontId="0" fillId="0" borderId="24" xfId="0" applyNumberFormat="1" applyBorder="1"/>
    <xf numFmtId="0" fontId="2" fillId="0" borderId="25" xfId="0" applyFont="1" applyBorder="1"/>
    <xf numFmtId="0" fontId="0" fillId="0" borderId="46" xfId="0" applyBorder="1"/>
    <xf numFmtId="14" fontId="0" fillId="0" borderId="47" xfId="0" applyNumberFormat="1" applyBorder="1"/>
    <xf numFmtId="0" fontId="2" fillId="0" borderId="45" xfId="0" applyFont="1" applyBorder="1"/>
    <xf numFmtId="166" fontId="2" fillId="0" borderId="38" xfId="0" applyNumberFormat="1" applyFont="1" applyBorder="1"/>
    <xf numFmtId="37" fontId="6" fillId="0" borderId="16" xfId="3" applyNumberFormat="1" applyFont="1" applyBorder="1" applyAlignment="1">
      <alignment horizontal="left"/>
    </xf>
    <xf numFmtId="0" fontId="0" fillId="0" borderId="40" xfId="0" applyBorder="1"/>
    <xf numFmtId="166" fontId="2" fillId="0" borderId="17" xfId="0" applyNumberFormat="1" applyFont="1" applyBorder="1"/>
    <xf numFmtId="0" fontId="2" fillId="0" borderId="16" xfId="0" applyFont="1" applyBorder="1"/>
    <xf numFmtId="0" fontId="2" fillId="0" borderId="46" xfId="0" applyFont="1" applyBorder="1"/>
    <xf numFmtId="1" fontId="2" fillId="0" borderId="46" xfId="0" applyNumberFormat="1" applyFont="1" applyBorder="1"/>
    <xf numFmtId="0" fontId="0" fillId="0" borderId="38" xfId="0" applyBorder="1"/>
    <xf numFmtId="3" fontId="10" fillId="0" borderId="0" xfId="6" applyFont="1"/>
    <xf numFmtId="169" fontId="10" fillId="0" borderId="0" xfId="6" applyNumberFormat="1" applyFont="1"/>
    <xf numFmtId="3" fontId="17" fillId="0" borderId="0" xfId="6"/>
    <xf numFmtId="37" fontId="19" fillId="0" borderId="24" xfId="3" applyNumberFormat="1" applyFont="1" applyBorder="1" applyAlignment="1">
      <alignment horizontal="center"/>
    </xf>
    <xf numFmtId="10" fontId="0" fillId="0" borderId="0" xfId="2" applyNumberFormat="1" applyFont="1"/>
    <xf numFmtId="166" fontId="9" fillId="0" borderId="0" xfId="1" applyNumberFormat="1" applyFont="1" applyBorder="1"/>
    <xf numFmtId="166" fontId="0" fillId="0" borderId="0" xfId="1" applyNumberFormat="1" applyFont="1"/>
    <xf numFmtId="0" fontId="9" fillId="0" borderId="27" xfId="0" applyFont="1" applyBorder="1"/>
    <xf numFmtId="3" fontId="9" fillId="0" borderId="24" xfId="0" applyNumberFormat="1" applyFont="1" applyBorder="1"/>
    <xf numFmtId="0" fontId="16" fillId="0" borderId="0" xfId="0" applyFont="1"/>
    <xf numFmtId="16" fontId="0" fillId="0" borderId="0" xfId="0" applyNumberFormat="1"/>
    <xf numFmtId="0" fontId="21" fillId="0" borderId="0" xfId="0" applyFont="1"/>
    <xf numFmtId="2" fontId="0" fillId="0" borderId="0" xfId="0" applyNumberFormat="1"/>
    <xf numFmtId="166" fontId="0" fillId="0" borderId="24" xfId="1" applyNumberFormat="1" applyFont="1" applyBorder="1"/>
    <xf numFmtId="2" fontId="2" fillId="0" borderId="46" xfId="0" applyNumberFormat="1" applyFont="1" applyBorder="1"/>
    <xf numFmtId="43" fontId="0" fillId="0" borderId="0" xfId="1" applyFont="1" applyBorder="1"/>
    <xf numFmtId="166" fontId="0" fillId="0" borderId="0" xfId="1" applyNumberFormat="1" applyFont="1" applyBorder="1"/>
    <xf numFmtId="166" fontId="0" fillId="0" borderId="17" xfId="0" applyNumberFormat="1" applyBorder="1"/>
    <xf numFmtId="0" fontId="2" fillId="0" borderId="40" xfId="0" applyFont="1" applyBorder="1"/>
    <xf numFmtId="166" fontId="2" fillId="0" borderId="40" xfId="0" applyNumberFormat="1" applyFont="1" applyBorder="1"/>
    <xf numFmtId="0" fontId="9" fillId="0" borderId="0" xfId="0" applyFont="1"/>
    <xf numFmtId="1" fontId="9" fillId="0" borderId="0" xfId="0" applyNumberFormat="1" applyFont="1"/>
    <xf numFmtId="43" fontId="0" fillId="0" borderId="0" xfId="0" applyNumberFormat="1"/>
    <xf numFmtId="43" fontId="0" fillId="0" borderId="0" xfId="1" applyFont="1"/>
    <xf numFmtId="4" fontId="0" fillId="0" borderId="0" xfId="0" applyNumberFormat="1"/>
    <xf numFmtId="9" fontId="18" fillId="0" borderId="0" xfId="2" applyFont="1" applyBorder="1"/>
    <xf numFmtId="3" fontId="23" fillId="0" borderId="25" xfId="4" applyFont="1" applyBorder="1"/>
    <xf numFmtId="3" fontId="23" fillId="0" borderId="26" xfId="4" applyFont="1" applyBorder="1"/>
    <xf numFmtId="3" fontId="23" fillId="0" borderId="27" xfId="4" applyFont="1" applyBorder="1"/>
    <xf numFmtId="49" fontId="0" fillId="0" borderId="0" xfId="0" applyNumberFormat="1"/>
    <xf numFmtId="10" fontId="0" fillId="0" borderId="24" xfId="0" applyNumberFormat="1" applyBorder="1"/>
    <xf numFmtId="9" fontId="0" fillId="0" borderId="27" xfId="0" applyNumberFormat="1" applyBorder="1"/>
    <xf numFmtId="172" fontId="0" fillId="0" borderId="24" xfId="0" applyNumberFormat="1" applyBorder="1"/>
    <xf numFmtId="14" fontId="0" fillId="0" borderId="24" xfId="0" applyNumberFormat="1" applyBorder="1"/>
    <xf numFmtId="0" fontId="22" fillId="0" borderId="23" xfId="0" applyFont="1" applyBorder="1"/>
    <xf numFmtId="0" fontId="2" fillId="0" borderId="23" xfId="0" applyFont="1" applyBorder="1" applyAlignment="1">
      <alignment horizontal="left" indent="2"/>
    </xf>
    <xf numFmtId="0" fontId="16" fillId="0" borderId="23" xfId="0" applyFont="1" applyBorder="1" applyAlignment="1">
      <alignment horizontal="left" indent="2"/>
    </xf>
    <xf numFmtId="166" fontId="0" fillId="0" borderId="46" xfId="1" applyNumberFormat="1" applyFont="1" applyBorder="1"/>
    <xf numFmtId="166" fontId="0" fillId="0" borderId="38" xfId="1" applyNumberFormat="1" applyFont="1" applyBorder="1"/>
    <xf numFmtId="166" fontId="0" fillId="0" borderId="27" xfId="1" applyNumberFormat="1" applyFont="1" applyBorder="1"/>
    <xf numFmtId="0" fontId="9" fillId="0" borderId="0" xfId="0" applyFont="1" applyAlignment="1">
      <alignment horizontal="center"/>
    </xf>
    <xf numFmtId="3" fontId="0" fillId="0" borderId="24" xfId="0" applyNumberFormat="1" applyBorder="1"/>
    <xf numFmtId="4" fontId="24" fillId="0" borderId="0" xfId="0" applyNumberFormat="1" applyFont="1"/>
    <xf numFmtId="3" fontId="24" fillId="0" borderId="0" xfId="0" applyNumberFormat="1" applyFont="1"/>
    <xf numFmtId="3" fontId="0" fillId="0" borderId="0" xfId="0" applyNumberFormat="1"/>
    <xf numFmtId="0" fontId="23" fillId="0" borderId="52" xfId="0" applyFont="1" applyBorder="1" applyAlignment="1">
      <alignment horizontal="left" wrapText="1"/>
    </xf>
    <xf numFmtId="0" fontId="23" fillId="0" borderId="52" xfId="0" applyFont="1" applyBorder="1" applyAlignment="1">
      <alignment horizontal="left" textRotation="90" wrapText="1"/>
    </xf>
    <xf numFmtId="0" fontId="23" fillId="0" borderId="52" xfId="0" applyFont="1" applyBorder="1" applyAlignment="1">
      <alignment horizontal="left" wrapText="1" indent="1"/>
    </xf>
    <xf numFmtId="1" fontId="26" fillId="0" borderId="55" xfId="0" applyNumberFormat="1" applyFont="1" applyBorder="1" applyAlignment="1">
      <alignment horizontal="left" vertical="top" indent="1" shrinkToFit="1"/>
    </xf>
    <xf numFmtId="0" fontId="10" fillId="0" borderId="56" xfId="0" applyFont="1" applyBorder="1" applyAlignment="1">
      <alignment horizontal="left" vertical="top" wrapText="1"/>
    </xf>
    <xf numFmtId="1" fontId="26" fillId="0" borderId="56" xfId="0" applyNumberFormat="1" applyFont="1" applyBorder="1" applyAlignment="1">
      <alignment horizontal="center" vertical="top" shrinkToFit="1"/>
    </xf>
    <xf numFmtId="1" fontId="26" fillId="0" borderId="56" xfId="0" applyNumberFormat="1" applyFont="1" applyBorder="1" applyAlignment="1">
      <alignment horizontal="left" vertical="top" indent="1" shrinkToFit="1"/>
    </xf>
    <xf numFmtId="0" fontId="10" fillId="0" borderId="60" xfId="0" applyFont="1" applyBorder="1" applyAlignment="1">
      <alignment horizontal="left" vertical="top" wrapText="1"/>
    </xf>
    <xf numFmtId="0" fontId="25" fillId="0" borderId="60" xfId="0" applyFont="1" applyBorder="1" applyAlignment="1">
      <alignment horizontal="left" wrapText="1"/>
    </xf>
    <xf numFmtId="0" fontId="25" fillId="0" borderId="62" xfId="0" applyFont="1" applyBorder="1" applyAlignment="1">
      <alignment horizontal="left" wrapText="1"/>
    </xf>
    <xf numFmtId="0" fontId="10" fillId="0" borderId="62" xfId="0" applyFont="1" applyBorder="1" applyAlignment="1">
      <alignment horizontal="left" vertical="top" wrapText="1"/>
    </xf>
    <xf numFmtId="1" fontId="26" fillId="0" borderId="57" xfId="0" applyNumberFormat="1" applyFont="1" applyBorder="1" applyAlignment="1">
      <alignment horizontal="right" vertical="top" shrinkToFit="1"/>
    </xf>
    <xf numFmtId="1" fontId="26" fillId="0" borderId="58" xfId="0" applyNumberFormat="1" applyFont="1" applyBorder="1" applyAlignment="1">
      <alignment horizontal="right" vertical="top" indent="1" shrinkToFit="1"/>
    </xf>
    <xf numFmtId="173" fontId="26" fillId="0" borderId="57" xfId="0" applyNumberFormat="1" applyFont="1" applyBorder="1" applyAlignment="1">
      <alignment horizontal="center" vertical="top" shrinkToFit="1"/>
    </xf>
    <xf numFmtId="173" fontId="26" fillId="0" borderId="58" xfId="0" applyNumberFormat="1" applyFont="1" applyBorder="1" applyAlignment="1">
      <alignment horizontal="left" vertical="top" indent="1" shrinkToFit="1"/>
    </xf>
    <xf numFmtId="173" fontId="26" fillId="0" borderId="55" xfId="0" applyNumberFormat="1" applyFont="1" applyBorder="1" applyAlignment="1">
      <alignment horizontal="right" vertical="top" shrinkToFit="1"/>
    </xf>
    <xf numFmtId="174" fontId="26" fillId="0" borderId="57" xfId="0" applyNumberFormat="1" applyFont="1" applyBorder="1" applyAlignment="1">
      <alignment horizontal="right" vertical="top" shrinkToFit="1"/>
    </xf>
    <xf numFmtId="174" fontId="26" fillId="0" borderId="58" xfId="0" applyNumberFormat="1" applyFont="1" applyBorder="1" applyAlignment="1">
      <alignment horizontal="right" vertical="top" shrinkToFit="1"/>
    </xf>
    <xf numFmtId="1" fontId="26" fillId="0" borderId="60" xfId="0" applyNumberFormat="1" applyFont="1" applyBorder="1" applyAlignment="1">
      <alignment horizontal="center" vertical="top" shrinkToFit="1"/>
    </xf>
    <xf numFmtId="1" fontId="26" fillId="0" borderId="60" xfId="0" applyNumberFormat="1" applyFont="1" applyBorder="1" applyAlignment="1">
      <alignment horizontal="left" vertical="top" indent="1" shrinkToFit="1"/>
    </xf>
    <xf numFmtId="1" fontId="26" fillId="0" borderId="61" xfId="0" applyNumberFormat="1" applyFont="1" applyBorder="1" applyAlignment="1">
      <alignment horizontal="right" vertical="top" shrinkToFit="1"/>
    </xf>
    <xf numFmtId="1" fontId="26" fillId="0" borderId="59" xfId="0" applyNumberFormat="1" applyFont="1" applyBorder="1" applyAlignment="1">
      <alignment horizontal="left" vertical="top" indent="1" shrinkToFit="1"/>
    </xf>
    <xf numFmtId="173" fontId="26" fillId="0" borderId="61" xfId="0" applyNumberFormat="1" applyFont="1" applyBorder="1" applyAlignment="1">
      <alignment horizontal="center" vertical="top" shrinkToFit="1"/>
    </xf>
    <xf numFmtId="173" fontId="26" fillId="0" borderId="59" xfId="0" applyNumberFormat="1" applyFont="1" applyBorder="1" applyAlignment="1">
      <alignment horizontal="right" vertical="top" shrinkToFit="1"/>
    </xf>
    <xf numFmtId="174" fontId="26" fillId="0" borderId="61" xfId="0" applyNumberFormat="1" applyFont="1" applyBorder="1" applyAlignment="1">
      <alignment horizontal="right" vertical="top" shrinkToFit="1"/>
    </xf>
    <xf numFmtId="9" fontId="26" fillId="0" borderId="66" xfId="0" applyNumberFormat="1" applyFont="1" applyBorder="1" applyAlignment="1">
      <alignment horizontal="left" vertical="center" indent="1" shrinkToFit="1"/>
    </xf>
    <xf numFmtId="0" fontId="25" fillId="0" borderId="67" xfId="0" applyFont="1" applyBorder="1" applyAlignment="1">
      <alignment horizontal="left" vertical="center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wrapText="1"/>
    </xf>
    <xf numFmtId="0" fontId="25" fillId="0" borderId="70" xfId="0" applyFont="1" applyBorder="1" applyAlignment="1">
      <alignment horizontal="left" wrapText="1"/>
    </xf>
    <xf numFmtId="175" fontId="26" fillId="0" borderId="70" xfId="0" applyNumberFormat="1" applyFont="1" applyBorder="1" applyAlignment="1">
      <alignment horizontal="left" vertical="top" shrinkToFit="1"/>
    </xf>
    <xf numFmtId="171" fontId="26" fillId="0" borderId="69" xfId="0" applyNumberFormat="1" applyFont="1" applyBorder="1" applyAlignment="1">
      <alignment horizontal="right" vertical="top" shrinkToFit="1"/>
    </xf>
    <xf numFmtId="174" fontId="26" fillId="0" borderId="70" xfId="0" applyNumberFormat="1" applyFont="1" applyBorder="1" applyAlignment="1">
      <alignment horizontal="right" vertical="top" shrinkToFit="1"/>
    </xf>
    <xf numFmtId="174" fontId="26" fillId="0" borderId="70" xfId="0" applyNumberFormat="1" applyFont="1" applyBorder="1" applyAlignment="1">
      <alignment horizontal="left" vertical="top" indent="1" shrinkToFit="1"/>
    </xf>
    <xf numFmtId="171" fontId="26" fillId="0" borderId="71" xfId="0" applyNumberFormat="1" applyFont="1" applyBorder="1" applyAlignment="1">
      <alignment horizontal="right" vertical="top" shrinkToFit="1"/>
    </xf>
    <xf numFmtId="173" fontId="26" fillId="0" borderId="72" xfId="0" applyNumberFormat="1" applyFont="1" applyBorder="1" applyAlignment="1">
      <alignment horizontal="right" vertical="top" shrinkToFit="1"/>
    </xf>
    <xf numFmtId="174" fontId="26" fillId="0" borderId="73" xfId="0" applyNumberFormat="1" applyFont="1" applyBorder="1" applyAlignment="1">
      <alignment horizontal="right" vertical="top" shrinkToFit="1"/>
    </xf>
    <xf numFmtId="0" fontId="0" fillId="0" borderId="20" xfId="0" applyBorder="1"/>
    <xf numFmtId="0" fontId="0" fillId="0" borderId="21" xfId="0" applyBorder="1"/>
    <xf numFmtId="0" fontId="22" fillId="0" borderId="0" xfId="0" applyFont="1"/>
    <xf numFmtId="9" fontId="9" fillId="0" borderId="0" xfId="0" applyNumberFormat="1" applyFont="1"/>
    <xf numFmtId="0" fontId="0" fillId="0" borderId="25" xfId="0" applyBorder="1"/>
    <xf numFmtId="9" fontId="16" fillId="0" borderId="26" xfId="2" applyFont="1" applyBorder="1"/>
    <xf numFmtId="9" fontId="16" fillId="0" borderId="27" xfId="2" applyFont="1" applyBorder="1"/>
    <xf numFmtId="10" fontId="0" fillId="0" borderId="24" xfId="2" applyNumberFormat="1" applyFont="1" applyBorder="1"/>
    <xf numFmtId="9" fontId="0" fillId="0" borderId="24" xfId="0" applyNumberFormat="1" applyBorder="1"/>
    <xf numFmtId="0" fontId="0" fillId="0" borderId="45" xfId="0" applyBorder="1"/>
    <xf numFmtId="0" fontId="0" fillId="0" borderId="75" xfId="0" applyBorder="1"/>
    <xf numFmtId="166" fontId="0" fillId="0" borderId="76" xfId="1" applyNumberFormat="1" applyFont="1" applyBorder="1"/>
    <xf numFmtId="166" fontId="0" fillId="0" borderId="77" xfId="1" applyNumberFormat="1" applyFont="1" applyBorder="1"/>
    <xf numFmtId="14" fontId="0" fillId="0" borderId="46" xfId="0" applyNumberFormat="1" applyBorder="1"/>
    <xf numFmtId="14" fontId="0" fillId="0" borderId="38" xfId="0" applyNumberFormat="1" applyBorder="1"/>
    <xf numFmtId="0" fontId="0" fillId="0" borderId="78" xfId="0" applyBorder="1"/>
    <xf numFmtId="0" fontId="0" fillId="0" borderId="43" xfId="0" applyBorder="1"/>
    <xf numFmtId="0" fontId="0" fillId="0" borderId="4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6" xfId="0" applyBorder="1"/>
    <xf numFmtId="0" fontId="0" fillId="0" borderId="18" xfId="0" applyBorder="1"/>
    <xf numFmtId="166" fontId="9" fillId="0" borderId="18" xfId="1" applyNumberFormat="1" applyFont="1" applyBorder="1"/>
    <xf numFmtId="9" fontId="9" fillId="0" borderId="18" xfId="2" applyFont="1" applyBorder="1"/>
    <xf numFmtId="10" fontId="9" fillId="0" borderId="18" xfId="0" applyNumberFormat="1" applyFont="1" applyBorder="1"/>
    <xf numFmtId="166" fontId="0" fillId="0" borderId="18" xfId="0" applyNumberFormat="1" applyBorder="1"/>
    <xf numFmtId="171" fontId="9" fillId="0" borderId="18" xfId="2" applyNumberFormat="1" applyFont="1" applyBorder="1"/>
    <xf numFmtId="10" fontId="9" fillId="0" borderId="18" xfId="2" applyNumberFormat="1" applyFont="1" applyBorder="1"/>
    <xf numFmtId="9" fontId="9" fillId="0" borderId="18" xfId="0" applyNumberFormat="1" applyFont="1" applyBorder="1"/>
    <xf numFmtId="0" fontId="0" fillId="0" borderId="37" xfId="0" applyBorder="1"/>
    <xf numFmtId="0" fontId="0" fillId="0" borderId="35" xfId="0" applyBorder="1"/>
    <xf numFmtId="0" fontId="21" fillId="0" borderId="30" xfId="0" applyFont="1" applyBorder="1"/>
    <xf numFmtId="0" fontId="0" fillId="0" borderId="30" xfId="0" applyBorder="1"/>
    <xf numFmtId="166" fontId="0" fillId="0" borderId="0" xfId="0" applyNumberFormat="1"/>
    <xf numFmtId="0" fontId="2" fillId="0" borderId="30" xfId="0" applyFont="1" applyBorder="1"/>
    <xf numFmtId="0" fontId="16" fillId="0" borderId="30" xfId="0" applyFont="1" applyBorder="1"/>
    <xf numFmtId="0" fontId="22" fillId="0" borderId="30" xfId="0" applyFont="1" applyBorder="1"/>
    <xf numFmtId="0" fontId="0" fillId="0" borderId="79" xfId="0" applyBorder="1"/>
    <xf numFmtId="0" fontId="2" fillId="0" borderId="37" xfId="0" applyFont="1" applyBorder="1"/>
    <xf numFmtId="0" fontId="2" fillId="0" borderId="19" xfId="0" applyFont="1" applyBorder="1"/>
    <xf numFmtId="166" fontId="2" fillId="0" borderId="46" xfId="1" applyNumberFormat="1" applyFont="1" applyBorder="1"/>
    <xf numFmtId="166" fontId="2" fillId="0" borderId="38" xfId="1" applyNumberFormat="1" applyFont="1" applyBorder="1"/>
    <xf numFmtId="43" fontId="2" fillId="0" borderId="46" xfId="1" applyFont="1" applyBorder="1"/>
    <xf numFmtId="166" fontId="2" fillId="0" borderId="46" xfId="0" applyNumberFormat="1" applyFont="1" applyBorder="1"/>
    <xf numFmtId="0" fontId="2" fillId="0" borderId="80" xfId="0" applyFont="1" applyBorder="1"/>
    <xf numFmtId="0" fontId="2" fillId="0" borderId="81" xfId="0" applyFont="1" applyBorder="1"/>
    <xf numFmtId="0" fontId="2" fillId="0" borderId="76" xfId="0" applyFont="1" applyBorder="1"/>
    <xf numFmtId="166" fontId="2" fillId="0" borderId="76" xfId="0" applyNumberFormat="1" applyFont="1" applyBorder="1"/>
    <xf numFmtId="166" fontId="2" fillId="0" borderId="77" xfId="0" applyNumberFormat="1" applyFont="1" applyBorder="1"/>
    <xf numFmtId="166" fontId="0" fillId="0" borderId="26" xfId="0" applyNumberFormat="1" applyBorder="1"/>
    <xf numFmtId="9" fontId="0" fillId="0" borderId="26" xfId="2" applyFont="1" applyBorder="1"/>
    <xf numFmtId="10" fontId="16" fillId="0" borderId="26" xfId="2" applyNumberFormat="1" applyFont="1" applyBorder="1"/>
    <xf numFmtId="10" fontId="16" fillId="0" borderId="27" xfId="2" applyNumberFormat="1" applyFont="1" applyBorder="1"/>
    <xf numFmtId="9" fontId="16" fillId="0" borderId="0" xfId="2" applyFont="1" applyBorder="1"/>
    <xf numFmtId="9" fontId="16" fillId="0" borderId="24" xfId="2" applyFont="1" applyBorder="1"/>
    <xf numFmtId="2" fontId="16" fillId="0" borderId="0" xfId="2" applyNumberFormat="1" applyFont="1" applyBorder="1"/>
    <xf numFmtId="43" fontId="9" fillId="0" borderId="24" xfId="1" applyFont="1" applyBorder="1"/>
    <xf numFmtId="0" fontId="25" fillId="3" borderId="53" xfId="0" applyFont="1" applyFill="1" applyBorder="1" applyAlignment="1">
      <alignment horizontal="left" wrapText="1"/>
    </xf>
    <xf numFmtId="0" fontId="6" fillId="3" borderId="54" xfId="0" applyFont="1" applyFill="1" applyBorder="1" applyAlignment="1">
      <alignment horizontal="right" vertical="top" wrapText="1"/>
    </xf>
    <xf numFmtId="0" fontId="6" fillId="3" borderId="54" xfId="0" applyFont="1" applyFill="1" applyBorder="1" applyAlignment="1">
      <alignment horizontal="left" vertical="top" wrapText="1"/>
    </xf>
    <xf numFmtId="0" fontId="6" fillId="3" borderId="54" xfId="0" applyFont="1" applyFill="1" applyBorder="1" applyAlignment="1">
      <alignment horizontal="center" vertical="top" wrapText="1"/>
    </xf>
    <xf numFmtId="0" fontId="23" fillId="0" borderId="84" xfId="0" applyFont="1" applyBorder="1" applyAlignment="1">
      <alignment horizontal="left" wrapText="1"/>
    </xf>
    <xf numFmtId="1" fontId="26" fillId="0" borderId="86" xfId="0" applyNumberFormat="1" applyFont="1" applyBorder="1" applyAlignment="1">
      <alignment horizontal="left" vertical="top" indent="1" shrinkToFit="1"/>
    </xf>
    <xf numFmtId="0" fontId="25" fillId="0" borderId="88" xfId="0" applyFont="1" applyBorder="1" applyAlignment="1">
      <alignment horizontal="left" wrapText="1"/>
    </xf>
    <xf numFmtId="0" fontId="25" fillId="0" borderId="89" xfId="0" applyFont="1" applyBorder="1" applyAlignment="1">
      <alignment horizontal="left" wrapText="1"/>
    </xf>
    <xf numFmtId="0" fontId="6" fillId="3" borderId="85" xfId="0" applyFont="1" applyFill="1" applyBorder="1" applyAlignment="1">
      <alignment horizontal="left" vertical="top" wrapText="1"/>
    </xf>
    <xf numFmtId="174" fontId="26" fillId="0" borderId="87" xfId="0" applyNumberFormat="1" applyFont="1" applyBorder="1" applyAlignment="1">
      <alignment horizontal="right" vertical="top" indent="1" shrinkToFit="1"/>
    </xf>
    <xf numFmtId="1" fontId="26" fillId="0" borderId="0" xfId="0" applyNumberFormat="1" applyFont="1" applyAlignment="1">
      <alignment horizontal="right" vertical="top" indent="1" shrinkToFit="1"/>
    </xf>
    <xf numFmtId="173" fontId="26" fillId="0" borderId="0" xfId="0" applyNumberFormat="1" applyFont="1" applyAlignment="1">
      <alignment horizontal="left" vertical="top" indent="1" shrinkToFit="1"/>
    </xf>
    <xf numFmtId="174" fontId="26" fillId="0" borderId="0" xfId="0" applyNumberFormat="1" applyFont="1" applyAlignment="1">
      <alignment horizontal="right" vertical="top" shrinkToFit="1"/>
    </xf>
    <xf numFmtId="174" fontId="26" fillId="0" borderId="24" xfId="0" applyNumberFormat="1" applyFont="1" applyBorder="1" applyAlignment="1">
      <alignment horizontal="right" vertical="top" indent="1" shrinkToFit="1"/>
    </xf>
    <xf numFmtId="3" fontId="26" fillId="0" borderId="0" xfId="0" applyNumberFormat="1" applyFont="1" applyAlignment="1">
      <alignment horizontal="right" vertical="top" shrinkToFit="1"/>
    </xf>
    <xf numFmtId="3" fontId="26" fillId="0" borderId="93" xfId="0" applyNumberFormat="1" applyFont="1" applyBorder="1" applyAlignment="1">
      <alignment horizontal="center" vertical="top" shrinkToFit="1"/>
    </xf>
    <xf numFmtId="0" fontId="25" fillId="0" borderId="93" xfId="0" applyFont="1" applyBorder="1" applyAlignment="1">
      <alignment horizontal="left" wrapText="1"/>
    </xf>
    <xf numFmtId="0" fontId="10" fillId="0" borderId="93" xfId="0" applyFont="1" applyBorder="1" applyAlignment="1">
      <alignment horizontal="left" vertical="top" wrapText="1"/>
    </xf>
    <xf numFmtId="1" fontId="26" fillId="0" borderId="94" xfId="0" applyNumberFormat="1" applyFont="1" applyBorder="1" applyAlignment="1">
      <alignment horizontal="right" vertical="top" shrinkToFit="1"/>
    </xf>
    <xf numFmtId="3" fontId="26" fillId="0" borderId="26" xfId="0" applyNumberFormat="1" applyFont="1" applyBorder="1" applyAlignment="1">
      <alignment horizontal="right" vertical="top" shrinkToFit="1"/>
    </xf>
    <xf numFmtId="3" fontId="26" fillId="0" borderId="92" xfId="0" applyNumberFormat="1" applyFont="1" applyBorder="1" applyAlignment="1">
      <alignment horizontal="left" vertical="top" indent="1" shrinkToFit="1"/>
    </xf>
    <xf numFmtId="173" fontId="26" fillId="0" borderId="94" xfId="0" applyNumberFormat="1" applyFont="1" applyBorder="1" applyAlignment="1">
      <alignment horizontal="center" vertical="top" shrinkToFit="1"/>
    </xf>
    <xf numFmtId="173" fontId="26" fillId="0" borderId="26" xfId="0" applyNumberFormat="1" applyFont="1" applyBorder="1" applyAlignment="1">
      <alignment horizontal="left" vertical="top" shrinkToFit="1"/>
    </xf>
    <xf numFmtId="173" fontId="26" fillId="0" borderId="92" xfId="0" applyNumberFormat="1" applyFont="1" applyBorder="1" applyAlignment="1">
      <alignment horizontal="right" vertical="top" shrinkToFit="1"/>
    </xf>
    <xf numFmtId="174" fontId="26" fillId="0" borderId="94" xfId="0" applyNumberFormat="1" applyFont="1" applyBorder="1" applyAlignment="1">
      <alignment horizontal="right" vertical="top" shrinkToFit="1"/>
    </xf>
    <xf numFmtId="174" fontId="26" fillId="0" borderId="26" xfId="0" applyNumberFormat="1" applyFont="1" applyBorder="1" applyAlignment="1">
      <alignment horizontal="right" vertical="top" shrinkToFit="1"/>
    </xf>
    <xf numFmtId="174" fontId="26" fillId="0" borderId="27" xfId="0" applyNumberFormat="1" applyFont="1" applyBorder="1" applyAlignment="1">
      <alignment horizontal="right" vertical="top" indent="1" shrinkToFit="1"/>
    </xf>
    <xf numFmtId="0" fontId="10" fillId="0" borderId="100" xfId="0" applyFont="1" applyBorder="1" applyAlignment="1">
      <alignment horizontal="left" vertical="center" wrapText="1"/>
    </xf>
    <xf numFmtId="0" fontId="25" fillId="0" borderId="101" xfId="0" applyFont="1" applyBorder="1" applyAlignment="1">
      <alignment horizontal="left" vertical="center" wrapText="1"/>
    </xf>
    <xf numFmtId="0" fontId="10" fillId="0" borderId="10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5" fillId="0" borderId="24" xfId="0" applyFont="1" applyBorder="1" applyAlignment="1">
      <alignment horizontal="left" wrapText="1"/>
    </xf>
    <xf numFmtId="0" fontId="25" fillId="0" borderId="0" xfId="0" applyFont="1" applyAlignment="1">
      <alignment horizontal="left" wrapText="1"/>
    </xf>
    <xf numFmtId="175" fontId="26" fillId="0" borderId="24" xfId="0" applyNumberFormat="1" applyFont="1" applyBorder="1" applyAlignment="1">
      <alignment horizontal="left" vertical="top" shrinkToFit="1"/>
    </xf>
    <xf numFmtId="173" fontId="26" fillId="0" borderId="0" xfId="0" applyNumberFormat="1" applyFont="1" applyAlignment="1">
      <alignment horizontal="right" vertical="top" shrinkToFit="1"/>
    </xf>
    <xf numFmtId="174" fontId="26" fillId="0" borderId="24" xfId="0" applyNumberFormat="1" applyFont="1" applyBorder="1" applyAlignment="1">
      <alignment horizontal="right" vertical="top" shrinkToFit="1"/>
    </xf>
    <xf numFmtId="175" fontId="26" fillId="0" borderId="0" xfId="0" applyNumberFormat="1" applyFont="1" applyAlignment="1">
      <alignment horizontal="right" vertical="top" shrinkToFit="1"/>
    </xf>
    <xf numFmtId="0" fontId="10" fillId="0" borderId="102" xfId="0" applyFont="1" applyBorder="1" applyAlignment="1">
      <alignment horizontal="left" vertical="top" wrapText="1"/>
    </xf>
    <xf numFmtId="174" fontId="26" fillId="0" borderId="103" xfId="0" applyNumberFormat="1" applyFont="1" applyBorder="1" applyAlignment="1">
      <alignment horizontal="right" vertical="top" shrinkToFit="1"/>
    </xf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0" xfId="0" applyFill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14" fontId="14" fillId="0" borderId="0" xfId="0" applyNumberFormat="1" applyFont="1"/>
    <xf numFmtId="10" fontId="0" fillId="0" borderId="0" xfId="0" applyNumberFormat="1"/>
    <xf numFmtId="3" fontId="10" fillId="0" borderId="43" xfId="6" applyFont="1" applyBorder="1"/>
    <xf numFmtId="169" fontId="10" fillId="0" borderId="43" xfId="6" applyNumberFormat="1" applyFont="1" applyBorder="1"/>
    <xf numFmtId="170" fontId="10" fillId="0" borderId="43" xfId="6" applyNumberFormat="1" applyFont="1" applyBorder="1"/>
    <xf numFmtId="166" fontId="0" fillId="0" borderId="43" xfId="0" applyNumberFormat="1" applyBorder="1"/>
    <xf numFmtId="9" fontId="0" fillId="0" borderId="43" xfId="0" applyNumberFormat="1" applyBorder="1"/>
    <xf numFmtId="9" fontId="0" fillId="0" borderId="43" xfId="2" applyFont="1" applyBorder="1"/>
    <xf numFmtId="0" fontId="0" fillId="0" borderId="109" xfId="0" applyBorder="1"/>
    <xf numFmtId="0" fontId="0" fillId="0" borderId="108" xfId="0" applyBorder="1"/>
    <xf numFmtId="169" fontId="10" fillId="0" borderId="109" xfId="6" applyNumberFormat="1" applyFont="1" applyBorder="1"/>
    <xf numFmtId="3" fontId="17" fillId="0" borderId="109" xfId="6" applyBorder="1"/>
    <xf numFmtId="3" fontId="17" fillId="0" borderId="108" xfId="6" applyBorder="1"/>
    <xf numFmtId="0" fontId="2" fillId="0" borderId="109" xfId="0" applyFont="1" applyBorder="1"/>
    <xf numFmtId="0" fontId="0" fillId="0" borderId="109" xfId="0" applyBorder="1" applyAlignment="1">
      <alignment horizontal="left" indent="1"/>
    </xf>
    <xf numFmtId="37" fontId="15" fillId="0" borderId="109" xfId="3" applyNumberFormat="1" applyFont="1" applyBorder="1" applyAlignment="1">
      <alignment horizontal="left" indent="1"/>
    </xf>
    <xf numFmtId="37" fontId="15" fillId="0" borderId="108" xfId="3" applyNumberFormat="1" applyFont="1" applyBorder="1" applyAlignment="1">
      <alignment horizontal="left" indent="1"/>
    </xf>
    <xf numFmtId="37" fontId="6" fillId="0" borderId="109" xfId="3" applyNumberFormat="1" applyFont="1" applyBorder="1" applyAlignment="1">
      <alignment horizontal="left"/>
    </xf>
    <xf numFmtId="37" fontId="2" fillId="0" borderId="109" xfId="3" applyNumberFormat="1" applyFont="1" applyBorder="1" applyAlignment="1">
      <alignment horizontal="left"/>
    </xf>
    <xf numFmtId="0" fontId="0" fillId="0" borderId="110" xfId="0" applyBorder="1" applyAlignment="1">
      <alignment horizontal="left" indent="1"/>
    </xf>
    <xf numFmtId="0" fontId="2" fillId="0" borderId="74" xfId="0" applyFont="1" applyBorder="1"/>
    <xf numFmtId="0" fontId="0" fillId="0" borderId="110" xfId="0" applyBorder="1"/>
    <xf numFmtId="0" fontId="0" fillId="11" borderId="23" xfId="0" applyFill="1" applyBorder="1"/>
    <xf numFmtId="0" fontId="0" fillId="11" borderId="20" xfId="0" applyFill="1" applyBorder="1" applyAlignment="1">
      <alignment horizontal="center"/>
    </xf>
    <xf numFmtId="49" fontId="0" fillId="11" borderId="21" xfId="0" applyNumberFormat="1" applyFill="1" applyBorder="1" applyAlignment="1">
      <alignment horizontal="center"/>
    </xf>
    <xf numFmtId="49" fontId="2" fillId="11" borderId="21" xfId="0" applyNumberFormat="1" applyFont="1" applyFill="1" applyBorder="1" applyAlignment="1">
      <alignment horizontal="center"/>
    </xf>
    <xf numFmtId="49" fontId="0" fillId="11" borderId="22" xfId="0" applyNumberFormat="1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49" fontId="0" fillId="11" borderId="24" xfId="0" applyNumberFormat="1" applyFill="1" applyBorder="1" applyAlignment="1">
      <alignment horizontal="center"/>
    </xf>
    <xf numFmtId="0" fontId="21" fillId="11" borderId="20" xfId="0" applyFont="1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1" xfId="0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14" fontId="0" fillId="11" borderId="24" xfId="0" applyNumberFormat="1" applyFill="1" applyBorder="1" applyAlignment="1">
      <alignment horizontal="center"/>
    </xf>
    <xf numFmtId="0" fontId="0" fillId="11" borderId="8" xfId="0" applyFill="1" applyBorder="1"/>
    <xf numFmtId="0" fontId="0" fillId="11" borderId="109" xfId="0" applyFill="1" applyBorder="1"/>
    <xf numFmtId="0" fontId="0" fillId="11" borderId="24" xfId="0" applyFill="1" applyBorder="1"/>
    <xf numFmtId="0" fontId="0" fillId="11" borderId="108" xfId="0" applyFill="1" applyBorder="1"/>
    <xf numFmtId="0" fontId="0" fillId="11" borderId="43" xfId="0" applyFill="1" applyBorder="1"/>
    <xf numFmtId="14" fontId="0" fillId="11" borderId="43" xfId="0" applyNumberFormat="1" applyFill="1" applyBorder="1"/>
    <xf numFmtId="0" fontId="0" fillId="11" borderId="74" xfId="0" applyFill="1" applyBorder="1"/>
    <xf numFmtId="0" fontId="0" fillId="11" borderId="46" xfId="0" applyFill="1" applyBorder="1"/>
    <xf numFmtId="0" fontId="2" fillId="11" borderId="46" xfId="0" applyFont="1" applyFill="1" applyBorder="1"/>
    <xf numFmtId="0" fontId="16" fillId="11" borderId="46" xfId="0" applyFont="1" applyFill="1" applyBorder="1"/>
    <xf numFmtId="10" fontId="16" fillId="11" borderId="46" xfId="2" applyNumberFormat="1" applyFont="1" applyFill="1" applyBorder="1"/>
    <xf numFmtId="10" fontId="16" fillId="11" borderId="0" xfId="2" applyNumberFormat="1" applyFont="1" applyFill="1" applyBorder="1"/>
    <xf numFmtId="10" fontId="16" fillId="11" borderId="24" xfId="2" applyNumberFormat="1" applyFont="1" applyFill="1" applyBorder="1"/>
    <xf numFmtId="0" fontId="2" fillId="11" borderId="43" xfId="0" applyFont="1" applyFill="1" applyBorder="1"/>
    <xf numFmtId="0" fontId="16" fillId="11" borderId="43" xfId="0" applyFont="1" applyFill="1" applyBorder="1"/>
    <xf numFmtId="10" fontId="16" fillId="11" borderId="43" xfId="0" applyNumberFormat="1" applyFont="1" applyFill="1" applyBorder="1"/>
    <xf numFmtId="10" fontId="16" fillId="11" borderId="43" xfId="2" applyNumberFormat="1" applyFont="1" applyFill="1" applyBorder="1"/>
    <xf numFmtId="3" fontId="10" fillId="11" borderId="20" xfId="4" applyFill="1" applyBorder="1"/>
    <xf numFmtId="3" fontId="10" fillId="11" borderId="21" xfId="4" applyFill="1" applyBorder="1"/>
    <xf numFmtId="168" fontId="10" fillId="11" borderId="21" xfId="5" applyNumberFormat="1" applyFill="1" applyBorder="1"/>
    <xf numFmtId="3" fontId="10" fillId="11" borderId="22" xfId="4" applyFill="1" applyBorder="1"/>
    <xf numFmtId="3" fontId="10" fillId="11" borderId="23" xfId="4" applyFill="1" applyBorder="1"/>
    <xf numFmtId="3" fontId="10" fillId="11" borderId="0" xfId="4" applyFill="1"/>
    <xf numFmtId="3" fontId="10" fillId="11" borderId="24" xfId="4" applyFill="1" applyBorder="1"/>
    <xf numFmtId="168" fontId="10" fillId="11" borderId="20" xfId="5" applyNumberFormat="1" applyFont="1" applyFill="1" applyBorder="1"/>
    <xf numFmtId="3" fontId="10" fillId="11" borderId="41" xfId="4" applyFill="1" applyBorder="1"/>
    <xf numFmtId="3" fontId="10" fillId="11" borderId="42" xfId="4" applyFill="1" applyBorder="1"/>
    <xf numFmtId="3" fontId="10" fillId="11" borderId="78" xfId="4" applyFill="1" applyBorder="1"/>
    <xf numFmtId="3" fontId="10" fillId="11" borderId="43" xfId="4" applyFill="1" applyBorder="1"/>
    <xf numFmtId="3" fontId="10" fillId="11" borderId="36" xfId="4" applyFill="1" applyBorder="1"/>
    <xf numFmtId="3" fontId="10" fillId="11" borderId="111" xfId="4" applyFill="1" applyBorder="1"/>
    <xf numFmtId="0" fontId="21" fillId="11" borderId="8" xfId="0" applyFont="1" applyFill="1" applyBorder="1"/>
    <xf numFmtId="0" fontId="23" fillId="11" borderId="63" xfId="0" applyFont="1" applyFill="1" applyBorder="1" applyAlignment="1">
      <alignment horizontal="left" vertical="top" wrapText="1"/>
    </xf>
    <xf numFmtId="0" fontId="23" fillId="11" borderId="64" xfId="0" applyFont="1" applyFill="1" applyBorder="1" applyAlignment="1">
      <alignment horizontal="left" wrapText="1" indent="1"/>
    </xf>
    <xf numFmtId="0" fontId="23" fillId="11" borderId="65" xfId="0" applyFont="1" applyFill="1" applyBorder="1" applyAlignment="1">
      <alignment horizontal="left" wrapText="1" indent="1"/>
    </xf>
    <xf numFmtId="0" fontId="23" fillId="11" borderId="99" xfId="0" applyFont="1" applyFill="1" applyBorder="1" applyAlignment="1">
      <alignment horizontal="left" wrapText="1" indent="1"/>
    </xf>
    <xf numFmtId="0" fontId="25" fillId="11" borderId="104" xfId="0" applyFont="1" applyFill="1" applyBorder="1" applyAlignment="1">
      <alignment horizontal="left" wrapText="1"/>
    </xf>
    <xf numFmtId="43" fontId="16" fillId="0" borderId="0" xfId="1" applyFont="1" applyBorder="1"/>
    <xf numFmtId="43" fontId="16" fillId="0" borderId="24" xfId="1" applyFont="1" applyBorder="1"/>
    <xf numFmtId="10" fontId="32" fillId="0" borderId="0" xfId="2" applyNumberFormat="1" applyFont="1"/>
    <xf numFmtId="0" fontId="0" fillId="0" borderId="36" xfId="0" applyBorder="1"/>
    <xf numFmtId="9" fontId="10" fillId="0" borderId="0" xfId="2" applyFont="1"/>
    <xf numFmtId="1" fontId="2" fillId="0" borderId="0" xfId="0" applyNumberFormat="1" applyFont="1"/>
    <xf numFmtId="2" fontId="2" fillId="0" borderId="0" xfId="0" applyNumberFormat="1" applyFont="1"/>
    <xf numFmtId="166" fontId="2" fillId="0" borderId="24" xfId="0" applyNumberFormat="1" applyFont="1" applyBorder="1"/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24" xfId="0" applyNumberFormat="1" applyFont="1" applyBorder="1" applyAlignment="1">
      <alignment horizontal="center"/>
    </xf>
    <xf numFmtId="166" fontId="1" fillId="0" borderId="0" xfId="1" applyNumberFormat="1" applyFont="1" applyBorder="1"/>
    <xf numFmtId="0" fontId="15" fillId="0" borderId="23" xfId="0" applyFont="1" applyBorder="1"/>
    <xf numFmtId="0" fontId="15" fillId="0" borderId="0" xfId="0" applyFont="1"/>
    <xf numFmtId="6" fontId="15" fillId="0" borderId="0" xfId="0" applyNumberFormat="1" applyFont="1"/>
    <xf numFmtId="176" fontId="15" fillId="0" borderId="24" xfId="0" applyNumberFormat="1" applyFont="1" applyBorder="1"/>
    <xf numFmtId="44" fontId="15" fillId="0" borderId="0" xfId="7" applyFont="1" applyBorder="1"/>
    <xf numFmtId="176" fontId="15" fillId="0" borderId="24" xfId="7" applyNumberFormat="1" applyFont="1" applyBorder="1"/>
    <xf numFmtId="0" fontId="15" fillId="0" borderId="25" xfId="0" applyFont="1" applyBorder="1"/>
    <xf numFmtId="0" fontId="15" fillId="0" borderId="26" xfId="0" applyFont="1" applyBorder="1"/>
    <xf numFmtId="6" fontId="15" fillId="0" borderId="26" xfId="0" applyNumberFormat="1" applyFont="1" applyBorder="1"/>
    <xf numFmtId="176" fontId="15" fillId="0" borderId="27" xfId="7" applyNumberFormat="1" applyFont="1" applyBorder="1"/>
    <xf numFmtId="0" fontId="6" fillId="0" borderId="23" xfId="0" applyFont="1" applyBorder="1"/>
    <xf numFmtId="0" fontId="6" fillId="0" borderId="0" xfId="0" applyFont="1"/>
    <xf numFmtId="0" fontId="6" fillId="0" borderId="24" xfId="0" applyFont="1" applyBorder="1"/>
    <xf numFmtId="0" fontId="21" fillId="3" borderId="12" xfId="0" applyFont="1" applyFill="1" applyBorder="1"/>
    <xf numFmtId="0" fontId="0" fillId="3" borderId="39" xfId="0" applyFill="1" applyBorder="1"/>
    <xf numFmtId="0" fontId="0" fillId="3" borderId="13" xfId="0" applyFill="1" applyBorder="1"/>
    <xf numFmtId="0" fontId="6" fillId="0" borderId="20" xfId="0" applyFont="1" applyBorder="1"/>
    <xf numFmtId="0" fontId="15" fillId="0" borderId="21" xfId="0" applyFont="1" applyBorder="1"/>
    <xf numFmtId="176" fontId="15" fillId="0" borderId="22" xfId="7" applyNumberFormat="1" applyFont="1" applyBorder="1"/>
    <xf numFmtId="44" fontId="15" fillId="0" borderId="21" xfId="0" applyNumberFormat="1" applyFont="1" applyBorder="1"/>
    <xf numFmtId="44" fontId="15" fillId="0" borderId="0" xfId="0" applyNumberFormat="1" applyFont="1"/>
    <xf numFmtId="1" fontId="15" fillId="0" borderId="21" xfId="0" applyNumberFormat="1" applyFont="1" applyBorder="1"/>
    <xf numFmtId="1" fontId="15" fillId="0" borderId="0" xfId="0" applyNumberFormat="1" applyFont="1"/>
    <xf numFmtId="1" fontId="15" fillId="0" borderId="26" xfId="0" applyNumberFormat="1" applyFont="1" applyBorder="1"/>
    <xf numFmtId="44" fontId="15" fillId="0" borderId="26" xfId="0" applyNumberFormat="1" applyFont="1" applyBorder="1"/>
    <xf numFmtId="177" fontId="15" fillId="0" borderId="0" xfId="1" applyNumberFormat="1" applyFont="1" applyBorder="1"/>
    <xf numFmtId="9" fontId="0" fillId="0" borderId="26" xfId="0" applyNumberFormat="1" applyBorder="1"/>
    <xf numFmtId="172" fontId="0" fillId="0" borderId="0" xfId="0" applyNumberFormat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9" fillId="0" borderId="18" xfId="0" applyFont="1" applyBorder="1"/>
    <xf numFmtId="10" fontId="33" fillId="0" borderId="19" xfId="0" applyNumberFormat="1" applyFont="1" applyBorder="1"/>
    <xf numFmtId="166" fontId="2" fillId="0" borderId="0" xfId="2" applyNumberFormat="1" applyFont="1" applyBorder="1"/>
    <xf numFmtId="0" fontId="9" fillId="0" borderId="24" xfId="0" applyFont="1" applyBorder="1" applyAlignment="1">
      <alignment horizontal="right"/>
    </xf>
    <xf numFmtId="38" fontId="34" fillId="12" borderId="113" xfId="0" applyNumberFormat="1" applyFont="1" applyFill="1" applyBorder="1" applyAlignment="1">
      <alignment horizontal="center" vertical="center"/>
    </xf>
    <xf numFmtId="1" fontId="34" fillId="12" borderId="113" xfId="0" applyNumberFormat="1" applyFont="1" applyFill="1" applyBorder="1" applyAlignment="1">
      <alignment horizontal="center" vertical="center"/>
    </xf>
    <xf numFmtId="6" fontId="34" fillId="12" borderId="113" xfId="0" applyNumberFormat="1" applyFont="1" applyFill="1" applyBorder="1" applyAlignment="1">
      <alignment horizontal="center" vertical="center"/>
    </xf>
    <xf numFmtId="9" fontId="34" fillId="12" borderId="113" xfId="0" applyNumberFormat="1" applyFont="1" applyFill="1" applyBorder="1" applyAlignment="1">
      <alignment horizontal="center" vertical="center"/>
    </xf>
    <xf numFmtId="168" fontId="34" fillId="12" borderId="113" xfId="0" applyNumberFormat="1" applyFont="1" applyFill="1" applyBorder="1" applyAlignment="1">
      <alignment horizontal="center" vertical="center"/>
    </xf>
    <xf numFmtId="166" fontId="0" fillId="0" borderId="0" xfId="1" quotePrefix="1" applyNumberFormat="1" applyFont="1"/>
    <xf numFmtId="166" fontId="34" fillId="12" borderId="113" xfId="0" applyNumberFormat="1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 wrapText="1"/>
    </xf>
    <xf numFmtId="177" fontId="35" fillId="3" borderId="0" xfId="0" applyNumberFormat="1" applyFont="1" applyFill="1" applyAlignment="1">
      <alignment horizontal="center" vertical="center" wrapText="1"/>
    </xf>
    <xf numFmtId="166" fontId="1" fillId="0" borderId="24" xfId="1" applyNumberFormat="1" applyFont="1" applyBorder="1"/>
    <xf numFmtId="14" fontId="0" fillId="11" borderId="24" xfId="0" applyNumberFormat="1" applyFill="1" applyBorder="1"/>
    <xf numFmtId="10" fontId="16" fillId="11" borderId="36" xfId="2" applyNumberFormat="1" applyFont="1" applyFill="1" applyBorder="1"/>
    <xf numFmtId="3" fontId="10" fillId="0" borderId="24" xfId="6" applyFont="1" applyBorder="1"/>
    <xf numFmtId="4" fontId="10" fillId="0" borderId="24" xfId="6" applyNumberFormat="1" applyFont="1" applyBorder="1"/>
    <xf numFmtId="170" fontId="10" fillId="0" borderId="24" xfId="6" applyNumberFormat="1" applyFont="1" applyBorder="1"/>
    <xf numFmtId="170" fontId="10" fillId="0" borderId="36" xfId="6" applyNumberFormat="1" applyFont="1" applyBorder="1"/>
    <xf numFmtId="166" fontId="0" fillId="0" borderId="36" xfId="0" applyNumberFormat="1" applyBorder="1"/>
    <xf numFmtId="166" fontId="0" fillId="0" borderId="27" xfId="0" applyNumberFormat="1" applyBorder="1"/>
    <xf numFmtId="9" fontId="0" fillId="0" borderId="27" xfId="2" applyFont="1" applyBorder="1"/>
    <xf numFmtId="0" fontId="0" fillId="11" borderId="36" xfId="0" applyFill="1" applyBorder="1"/>
    <xf numFmtId="9" fontId="0" fillId="0" borderId="36" xfId="2" applyFont="1" applyBorder="1"/>
    <xf numFmtId="0" fontId="2" fillId="11" borderId="0" xfId="0" applyFont="1" applyFill="1" applyAlignment="1">
      <alignment horizontal="center"/>
    </xf>
    <xf numFmtId="14" fontId="2" fillId="11" borderId="0" xfId="0" applyNumberFormat="1" applyFont="1" applyFill="1" applyAlignment="1">
      <alignment horizontal="center"/>
    </xf>
    <xf numFmtId="43" fontId="2" fillId="0" borderId="38" xfId="1" applyFont="1" applyBorder="1"/>
    <xf numFmtId="166" fontId="2" fillId="0" borderId="24" xfId="2" applyNumberFormat="1" applyFont="1" applyBorder="1"/>
    <xf numFmtId="2" fontId="16" fillId="0" borderId="24" xfId="2" applyNumberFormat="1" applyFont="1" applyBorder="1"/>
    <xf numFmtId="0" fontId="2" fillId="11" borderId="22" xfId="0" applyFont="1" applyFill="1" applyBorder="1" applyAlignment="1">
      <alignment horizontal="center"/>
    </xf>
    <xf numFmtId="14" fontId="2" fillId="11" borderId="24" xfId="0" applyNumberFormat="1" applyFont="1" applyFill="1" applyBorder="1" applyAlignment="1">
      <alignment horizontal="center"/>
    </xf>
    <xf numFmtId="0" fontId="0" fillId="0" borderId="22" xfId="0" applyBorder="1"/>
    <xf numFmtId="0" fontId="32" fillId="0" borderId="0" xfId="0" applyFont="1"/>
    <xf numFmtId="10" fontId="12" fillId="0" borderId="24" xfId="2" applyNumberFormat="1" applyFont="1" applyBorder="1"/>
    <xf numFmtId="0" fontId="12" fillId="0" borderId="24" xfId="0" applyFont="1" applyBorder="1"/>
    <xf numFmtId="10" fontId="14" fillId="0" borderId="24" xfId="0" applyNumberFormat="1" applyFont="1" applyBorder="1"/>
    <xf numFmtId="10" fontId="32" fillId="0" borderId="0" xfId="2" applyNumberFormat="1" applyFont="1" applyBorder="1"/>
    <xf numFmtId="10" fontId="32" fillId="0" borderId="26" xfId="2" applyNumberFormat="1" applyFont="1" applyBorder="1"/>
    <xf numFmtId="0" fontId="0" fillId="0" borderId="27" xfId="0" applyBorder="1"/>
    <xf numFmtId="0" fontId="13" fillId="0" borderId="23" xfId="0" applyFont="1" applyBorder="1"/>
    <xf numFmtId="14" fontId="13" fillId="0" borderId="23" xfId="0" applyNumberFormat="1" applyFont="1" applyBorder="1"/>
    <xf numFmtId="14" fontId="13" fillId="0" borderId="25" xfId="0" applyNumberFormat="1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24" xfId="0" applyNumberFormat="1" applyBorder="1"/>
    <xf numFmtId="0" fontId="0" fillId="0" borderId="25" xfId="0" applyBorder="1" applyAlignment="1">
      <alignment horizontal="left" indent="1"/>
    </xf>
    <xf numFmtId="3" fontId="0" fillId="0" borderId="27" xfId="0" applyNumberFormat="1" applyBorder="1"/>
    <xf numFmtId="0" fontId="20" fillId="0" borderId="0" xfId="0" applyFont="1"/>
    <xf numFmtId="0" fontId="0" fillId="11" borderId="0" xfId="0" applyFill="1"/>
    <xf numFmtId="14" fontId="0" fillId="11" borderId="0" xfId="0" applyNumberFormat="1" applyFill="1"/>
    <xf numFmtId="3" fontId="18" fillId="0" borderId="0" xfId="6" applyFont="1"/>
    <xf numFmtId="3" fontId="15" fillId="0" borderId="0" xfId="6" applyFont="1"/>
    <xf numFmtId="4" fontId="10" fillId="0" borderId="0" xfId="6" applyNumberFormat="1" applyFont="1"/>
    <xf numFmtId="170" fontId="10" fillId="0" borderId="0" xfId="6" applyNumberFormat="1" applyFont="1"/>
    <xf numFmtId="2" fontId="2" fillId="11" borderId="0" xfId="0" applyNumberFormat="1" applyFont="1" applyFill="1" applyAlignment="1">
      <alignment horizontal="center"/>
    </xf>
    <xf numFmtId="14" fontId="0" fillId="11" borderId="0" xfId="0" applyNumberFormat="1" applyFill="1" applyAlignment="1">
      <alignment horizontal="center"/>
    </xf>
    <xf numFmtId="166" fontId="16" fillId="0" borderId="0" xfId="0" applyNumberFormat="1" applyFont="1"/>
    <xf numFmtId="49" fontId="2" fillId="11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29" fillId="10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left" vertical="top" wrapText="1" indent="1"/>
    </xf>
    <xf numFmtId="0" fontId="6" fillId="3" borderId="21" xfId="0" applyFont="1" applyFill="1" applyBorder="1" applyAlignment="1">
      <alignment horizontal="left" vertical="top" wrapText="1" indent="1"/>
    </xf>
    <xf numFmtId="0" fontId="6" fillId="3" borderId="22" xfId="0" applyFont="1" applyFill="1" applyBorder="1" applyAlignment="1">
      <alignment horizontal="left" vertical="top" wrapText="1" indent="1"/>
    </xf>
    <xf numFmtId="0" fontId="23" fillId="11" borderId="82" xfId="0" applyFont="1" applyFill="1" applyBorder="1" applyAlignment="1">
      <alignment horizontal="left" vertical="top" wrapText="1" indent="7"/>
    </xf>
    <xf numFmtId="0" fontId="23" fillId="11" borderId="48" xfId="0" applyFont="1" applyFill="1" applyBorder="1" applyAlignment="1">
      <alignment horizontal="left" vertical="top" wrapText="1" indent="7"/>
    </xf>
    <xf numFmtId="0" fontId="23" fillId="11" borderId="49" xfId="0" applyFont="1" applyFill="1" applyBorder="1" applyAlignment="1">
      <alignment horizontal="left" vertical="top" wrapText="1" indent="7"/>
    </xf>
    <xf numFmtId="0" fontId="23" fillId="11" borderId="50" xfId="0" applyFont="1" applyFill="1" applyBorder="1" applyAlignment="1">
      <alignment horizontal="center" vertical="top" wrapText="1"/>
    </xf>
    <xf numFmtId="0" fontId="23" fillId="11" borderId="48" xfId="0" applyFont="1" applyFill="1" applyBorder="1" applyAlignment="1">
      <alignment horizontal="center" vertical="top" wrapText="1"/>
    </xf>
    <xf numFmtId="0" fontId="23" fillId="11" borderId="83" xfId="0" applyFont="1" applyFill="1" applyBorder="1" applyAlignment="1">
      <alignment horizontal="center" vertical="top" wrapText="1"/>
    </xf>
    <xf numFmtId="0" fontId="23" fillId="0" borderId="53" xfId="0" applyFont="1" applyBorder="1" applyAlignment="1">
      <alignment horizontal="left" wrapText="1" indent="2"/>
    </xf>
    <xf numFmtId="0" fontId="23" fillId="0" borderId="54" xfId="0" applyFont="1" applyBorder="1" applyAlignment="1">
      <alignment horizontal="left" wrapText="1" indent="2"/>
    </xf>
    <xf numFmtId="0" fontId="23" fillId="0" borderId="51" xfId="0" applyFont="1" applyBorder="1" applyAlignment="1">
      <alignment horizontal="left" wrapText="1" indent="2"/>
    </xf>
    <xf numFmtId="0" fontId="23" fillId="0" borderId="53" xfId="0" applyFont="1" applyBorder="1" applyAlignment="1">
      <alignment horizontal="left" wrapText="1"/>
    </xf>
    <xf numFmtId="0" fontId="23" fillId="0" borderId="54" xfId="0" applyFont="1" applyBorder="1" applyAlignment="1">
      <alignment horizontal="left" wrapText="1"/>
    </xf>
    <xf numFmtId="0" fontId="23" fillId="0" borderId="51" xfId="0" applyFont="1" applyBorder="1" applyAlignment="1">
      <alignment horizontal="left" wrapText="1"/>
    </xf>
    <xf numFmtId="0" fontId="25" fillId="0" borderId="53" xfId="0" applyFont="1" applyBorder="1" applyAlignment="1">
      <alignment horizontal="right" wrapText="1" indent="3"/>
    </xf>
    <xf numFmtId="0" fontId="25" fillId="0" borderId="54" xfId="0" applyFont="1" applyBorder="1" applyAlignment="1">
      <alignment horizontal="right" wrapText="1" indent="3"/>
    </xf>
    <xf numFmtId="0" fontId="25" fillId="0" borderId="85" xfId="0" applyFont="1" applyBorder="1" applyAlignment="1">
      <alignment horizontal="right" wrapText="1" indent="3"/>
    </xf>
    <xf numFmtId="0" fontId="25" fillId="0" borderId="57" xfId="0" applyFont="1" applyBorder="1" applyAlignment="1">
      <alignment horizontal="left" vertical="top" wrapText="1"/>
    </xf>
    <xf numFmtId="0" fontId="25" fillId="0" borderId="58" xfId="0" applyFont="1" applyBorder="1" applyAlignment="1">
      <alignment horizontal="left" vertical="top" wrapText="1"/>
    </xf>
    <xf numFmtId="0" fontId="25" fillId="0" borderId="55" xfId="0" applyFont="1" applyBorder="1" applyAlignment="1">
      <alignment horizontal="left" vertical="top" wrapText="1"/>
    </xf>
    <xf numFmtId="0" fontId="25" fillId="0" borderId="61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59" xfId="0" applyFont="1" applyBorder="1" applyAlignment="1">
      <alignment horizontal="left" vertical="top" wrapText="1"/>
    </xf>
    <xf numFmtId="0" fontId="25" fillId="0" borderId="50" xfId="0" applyFont="1" applyBorder="1" applyAlignment="1">
      <alignment horizontal="left" vertical="top" wrapText="1"/>
    </xf>
    <xf numFmtId="0" fontId="25" fillId="0" borderId="48" xfId="0" applyFont="1" applyBorder="1" applyAlignment="1">
      <alignment horizontal="left" vertical="top" wrapText="1"/>
    </xf>
    <xf numFmtId="0" fontId="25" fillId="0" borderId="49" xfId="0" applyFont="1" applyBorder="1" applyAlignment="1">
      <alignment horizontal="left" vertical="top" wrapText="1"/>
    </xf>
    <xf numFmtId="173" fontId="26" fillId="0" borderId="57" xfId="0" applyNumberFormat="1" applyFont="1" applyBorder="1" applyAlignment="1">
      <alignment horizontal="center" vertical="top" shrinkToFit="1"/>
    </xf>
    <xf numFmtId="173" fontId="26" fillId="0" borderId="58" xfId="0" applyNumberFormat="1" applyFont="1" applyBorder="1" applyAlignment="1">
      <alignment horizontal="center" vertical="top" shrinkToFit="1"/>
    </xf>
    <xf numFmtId="173" fontId="26" fillId="0" borderId="55" xfId="0" applyNumberFormat="1" applyFont="1" applyBorder="1" applyAlignment="1">
      <alignment horizontal="center" vertical="top" shrinkToFit="1"/>
    </xf>
    <xf numFmtId="0" fontId="25" fillId="0" borderId="87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25" fillId="0" borderId="83" xfId="0" applyFont="1" applyBorder="1" applyAlignment="1">
      <alignment horizontal="left" vertical="top" wrapText="1"/>
    </xf>
    <xf numFmtId="173" fontId="26" fillId="0" borderId="61" xfId="0" applyNumberFormat="1" applyFont="1" applyBorder="1" applyAlignment="1">
      <alignment horizontal="center" vertical="top" shrinkToFit="1"/>
    </xf>
    <xf numFmtId="173" fontId="26" fillId="0" borderId="0" xfId="0" applyNumberFormat="1" applyFont="1" applyAlignment="1">
      <alignment horizontal="center" vertical="top" shrinkToFit="1"/>
    </xf>
    <xf numFmtId="173" fontId="26" fillId="0" borderId="59" xfId="0" applyNumberFormat="1" applyFont="1" applyBorder="1" applyAlignment="1">
      <alignment horizontal="center" vertical="top" shrinkToFit="1"/>
    </xf>
    <xf numFmtId="0" fontId="25" fillId="0" borderId="50" xfId="0" applyFont="1" applyBorder="1" applyAlignment="1">
      <alignment horizontal="left" wrapText="1"/>
    </xf>
    <xf numFmtId="0" fontId="25" fillId="0" borderId="48" xfId="0" applyFont="1" applyBorder="1" applyAlignment="1">
      <alignment horizontal="left" wrapText="1"/>
    </xf>
    <xf numFmtId="0" fontId="25" fillId="0" borderId="49" xfId="0" applyFont="1" applyBorder="1" applyAlignment="1">
      <alignment horizontal="left" wrapText="1"/>
    </xf>
    <xf numFmtId="1" fontId="26" fillId="0" borderId="57" xfId="0" applyNumberFormat="1" applyFont="1" applyBorder="1" applyAlignment="1">
      <alignment horizontal="center" vertical="top" shrinkToFit="1"/>
    </xf>
    <xf numFmtId="1" fontId="26" fillId="0" borderId="58" xfId="0" applyNumberFormat="1" applyFont="1" applyBorder="1" applyAlignment="1">
      <alignment horizontal="center" vertical="top" shrinkToFit="1"/>
    </xf>
    <xf numFmtId="1" fontId="26" fillId="0" borderId="55" xfId="0" applyNumberFormat="1" applyFont="1" applyBorder="1" applyAlignment="1">
      <alignment horizontal="center" vertical="top" shrinkToFit="1"/>
    </xf>
    <xf numFmtId="174" fontId="26" fillId="0" borderId="57" xfId="0" applyNumberFormat="1" applyFont="1" applyBorder="1" applyAlignment="1">
      <alignment horizontal="center" vertical="top" shrinkToFit="1"/>
    </xf>
    <xf numFmtId="174" fontId="26" fillId="0" borderId="58" xfId="0" applyNumberFormat="1" applyFont="1" applyBorder="1" applyAlignment="1">
      <alignment horizontal="center" vertical="top" shrinkToFit="1"/>
    </xf>
    <xf numFmtId="174" fontId="26" fillId="0" borderId="87" xfId="0" applyNumberFormat="1" applyFont="1" applyBorder="1" applyAlignment="1">
      <alignment horizontal="center" vertical="top" shrinkToFit="1"/>
    </xf>
    <xf numFmtId="1" fontId="26" fillId="0" borderId="61" xfId="0" applyNumberFormat="1" applyFont="1" applyBorder="1" applyAlignment="1">
      <alignment horizontal="center" vertical="top" shrinkToFit="1"/>
    </xf>
    <xf numFmtId="1" fontId="26" fillId="0" borderId="0" xfId="0" applyNumberFormat="1" applyFont="1" applyAlignment="1">
      <alignment horizontal="center" vertical="top" shrinkToFit="1"/>
    </xf>
    <xf numFmtId="1" fontId="26" fillId="0" borderId="59" xfId="0" applyNumberFormat="1" applyFont="1" applyBorder="1" applyAlignment="1">
      <alignment horizontal="center" vertical="top" shrinkToFit="1"/>
    </xf>
    <xf numFmtId="174" fontId="26" fillId="0" borderId="61" xfId="0" applyNumberFormat="1" applyFont="1" applyBorder="1" applyAlignment="1">
      <alignment horizontal="center" vertical="top" shrinkToFit="1"/>
    </xf>
    <xf numFmtId="174" fontId="26" fillId="0" borderId="0" xfId="0" applyNumberFormat="1" applyFont="1" applyAlignment="1">
      <alignment horizontal="center" vertical="top" shrinkToFit="1"/>
    </xf>
    <xf numFmtId="174" fontId="26" fillId="0" borderId="24" xfId="0" applyNumberFormat="1" applyFont="1" applyBorder="1" applyAlignment="1">
      <alignment horizontal="center" vertical="top" shrinkToFit="1"/>
    </xf>
    <xf numFmtId="3" fontId="26" fillId="0" borderId="61" xfId="0" applyNumberFormat="1" applyFont="1" applyBorder="1" applyAlignment="1">
      <alignment horizontal="center" vertical="top" shrinkToFit="1"/>
    </xf>
    <xf numFmtId="3" fontId="26" fillId="0" borderId="0" xfId="0" applyNumberFormat="1" applyFont="1" applyAlignment="1">
      <alignment horizontal="center" vertical="top" shrinkToFit="1"/>
    </xf>
    <xf numFmtId="3" fontId="26" fillId="0" borderId="59" xfId="0" applyNumberFormat="1" applyFont="1" applyBorder="1" applyAlignment="1">
      <alignment horizontal="center" vertical="top" shrinkToFit="1"/>
    </xf>
    <xf numFmtId="3" fontId="26" fillId="0" borderId="50" xfId="0" applyNumberFormat="1" applyFont="1" applyBorder="1" applyAlignment="1">
      <alignment horizontal="center" vertical="top" shrinkToFit="1"/>
    </xf>
    <xf numFmtId="3" fontId="26" fillId="0" borderId="48" xfId="0" applyNumberFormat="1" applyFont="1" applyBorder="1" applyAlignment="1">
      <alignment horizontal="center" vertical="top" shrinkToFit="1"/>
    </xf>
    <xf numFmtId="3" fontId="26" fillId="0" borderId="49" xfId="0" applyNumberFormat="1" applyFont="1" applyBorder="1" applyAlignment="1">
      <alignment horizontal="center" vertical="top" shrinkToFit="1"/>
    </xf>
    <xf numFmtId="173" fontId="26" fillId="0" borderId="50" xfId="0" applyNumberFormat="1" applyFont="1" applyBorder="1" applyAlignment="1">
      <alignment horizontal="center" vertical="top" shrinkToFit="1"/>
    </xf>
    <xf numFmtId="173" fontId="26" fillId="0" borderId="48" xfId="0" applyNumberFormat="1" applyFont="1" applyBorder="1" applyAlignment="1">
      <alignment horizontal="center" vertical="top" shrinkToFit="1"/>
    </xf>
    <xf numFmtId="173" fontId="26" fillId="0" borderId="49" xfId="0" applyNumberFormat="1" applyFont="1" applyBorder="1" applyAlignment="1">
      <alignment horizontal="center" vertical="top" shrinkToFit="1"/>
    </xf>
    <xf numFmtId="174" fontId="26" fillId="0" borderId="50" xfId="0" applyNumberFormat="1" applyFont="1" applyBorder="1" applyAlignment="1">
      <alignment horizontal="center" vertical="top" shrinkToFit="1"/>
    </xf>
    <xf numFmtId="174" fontId="26" fillId="0" borderId="48" xfId="0" applyNumberFormat="1" applyFont="1" applyBorder="1" applyAlignment="1">
      <alignment horizontal="center" vertical="top" shrinkToFit="1"/>
    </xf>
    <xf numFmtId="174" fontId="26" fillId="0" borderId="83" xfId="0" applyNumberFormat="1" applyFont="1" applyBorder="1" applyAlignment="1">
      <alignment horizontal="center" vertical="top" shrinkToFit="1"/>
    </xf>
    <xf numFmtId="0" fontId="25" fillId="0" borderId="83" xfId="0" applyFont="1" applyBorder="1" applyAlignment="1">
      <alignment horizontal="left" wrapText="1"/>
    </xf>
    <xf numFmtId="1" fontId="26" fillId="0" borderId="50" xfId="0" applyNumberFormat="1" applyFont="1" applyBorder="1" applyAlignment="1">
      <alignment horizontal="center" vertical="top" shrinkToFit="1"/>
    </xf>
    <xf numFmtId="1" fontId="26" fillId="0" borderId="48" xfId="0" applyNumberFormat="1" applyFont="1" applyBorder="1" applyAlignment="1">
      <alignment horizontal="center" vertical="top" shrinkToFit="1"/>
    </xf>
    <xf numFmtId="1" fontId="26" fillId="0" borderId="49" xfId="0" applyNumberFormat="1" applyFont="1" applyBorder="1" applyAlignment="1">
      <alignment horizontal="center" vertical="top" shrinkToFit="1"/>
    </xf>
    <xf numFmtId="0" fontId="6" fillId="3" borderId="90" xfId="0" applyFont="1" applyFill="1" applyBorder="1" applyAlignment="1">
      <alignment horizontal="left" vertical="top" wrapText="1"/>
    </xf>
    <xf numFmtId="0" fontId="6" fillId="3" borderId="54" xfId="0" applyFont="1" applyFill="1" applyBorder="1" applyAlignment="1">
      <alignment horizontal="left" vertical="top" wrapText="1"/>
    </xf>
    <xf numFmtId="0" fontId="6" fillId="3" borderId="51" xfId="0" applyFont="1" applyFill="1" applyBorder="1" applyAlignment="1">
      <alignment horizontal="left" vertical="top" wrapText="1"/>
    </xf>
    <xf numFmtId="0" fontId="10" fillId="0" borderId="91" xfId="0" applyFont="1" applyBorder="1" applyAlignment="1">
      <alignment horizontal="left" vertical="top" wrapText="1" indent="1"/>
    </xf>
    <xf numFmtId="0" fontId="10" fillId="0" borderId="55" xfId="0" applyFont="1" applyBorder="1" applyAlignment="1">
      <alignment horizontal="left" vertical="top" wrapText="1" indent="1"/>
    </xf>
    <xf numFmtId="0" fontId="25" fillId="0" borderId="56" xfId="0" applyFont="1" applyBorder="1" applyAlignment="1">
      <alignment horizontal="left" vertical="top" wrapText="1"/>
    </xf>
    <xf numFmtId="0" fontId="25" fillId="0" borderId="60" xfId="0" applyFont="1" applyBorder="1" applyAlignment="1">
      <alignment horizontal="left" vertical="top" wrapText="1"/>
    </xf>
    <xf numFmtId="0" fontId="25" fillId="0" borderId="93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59" xfId="0" applyFont="1" applyBorder="1" applyAlignment="1">
      <alignment horizontal="left" vertical="top" wrapText="1" indent="1"/>
    </xf>
    <xf numFmtId="0" fontId="10" fillId="0" borderId="25" xfId="0" applyFont="1" applyBorder="1" applyAlignment="1">
      <alignment horizontal="left" vertical="top" wrapText="1" indent="1"/>
    </xf>
    <xf numFmtId="0" fontId="10" fillId="0" borderId="92" xfId="0" applyFont="1" applyBorder="1" applyAlignment="1">
      <alignment horizontal="left" vertical="top" wrapText="1" indent="1"/>
    </xf>
    <xf numFmtId="0" fontId="25" fillId="11" borderId="105" xfId="0" applyFont="1" applyFill="1" applyBorder="1" applyAlignment="1">
      <alignment horizontal="left" wrapText="1"/>
    </xf>
    <xf numFmtId="0" fontId="25" fillId="11" borderId="106" xfId="0" applyFont="1" applyFill="1" applyBorder="1" applyAlignment="1">
      <alignment horizontal="left" wrapText="1"/>
    </xf>
    <xf numFmtId="0" fontId="25" fillId="11" borderId="107" xfId="0" applyFont="1" applyFill="1" applyBorder="1" applyAlignment="1">
      <alignment horizontal="left" wrapText="1"/>
    </xf>
    <xf numFmtId="0" fontId="6" fillId="3" borderId="95" xfId="0" applyFont="1" applyFill="1" applyBorder="1" applyAlignment="1">
      <alignment horizontal="left" vertical="top" wrapText="1"/>
    </xf>
    <xf numFmtId="0" fontId="6" fillId="3" borderId="96" xfId="0" applyFont="1" applyFill="1" applyBorder="1" applyAlignment="1">
      <alignment horizontal="left" vertical="top" wrapText="1"/>
    </xf>
    <xf numFmtId="0" fontId="6" fillId="3" borderId="97" xfId="0" applyFont="1" applyFill="1" applyBorder="1" applyAlignment="1">
      <alignment horizontal="left" vertical="top" wrapText="1"/>
    </xf>
    <xf numFmtId="0" fontId="25" fillId="11" borderId="98" xfId="0" applyFont="1" applyFill="1" applyBorder="1" applyAlignment="1">
      <alignment horizontal="left" vertical="top" wrapText="1"/>
    </xf>
    <xf numFmtId="0" fontId="25" fillId="11" borderId="112" xfId="0" applyFont="1" applyFill="1" applyBorder="1" applyAlignment="1">
      <alignment horizontal="left" vertical="top" wrapText="1"/>
    </xf>
    <xf numFmtId="0" fontId="27" fillId="11" borderId="63" xfId="0" applyFont="1" applyFill="1" applyBorder="1" applyAlignment="1">
      <alignment horizontal="left" vertical="top" wrapText="1" indent="4"/>
    </xf>
    <xf numFmtId="0" fontId="27" fillId="11" borderId="64" xfId="0" applyFont="1" applyFill="1" applyBorder="1" applyAlignment="1">
      <alignment horizontal="left" vertical="top" wrapText="1" indent="4"/>
    </xf>
    <xf numFmtId="0" fontId="27" fillId="11" borderId="65" xfId="0" applyFont="1" applyFill="1" applyBorder="1" applyAlignment="1">
      <alignment horizontal="left" vertical="top" wrapText="1" indent="4"/>
    </xf>
    <xf numFmtId="0" fontId="27" fillId="11" borderId="99" xfId="0" applyFont="1" applyFill="1" applyBorder="1" applyAlignment="1">
      <alignment horizontal="left" vertical="top" wrapText="1" indent="4"/>
    </xf>
    <xf numFmtId="0" fontId="6" fillId="12" borderId="23" xfId="0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24" xfId="0" applyFont="1" applyFill="1" applyBorder="1" applyAlignment="1">
      <alignment horizontal="center"/>
    </xf>
    <xf numFmtId="0" fontId="3" fillId="0" borderId="1" xfId="3" applyBorder="1" applyAlignment="1">
      <alignment horizontal="left" vertical="center"/>
    </xf>
    <xf numFmtId="0" fontId="3" fillId="0" borderId="1" xfId="3" applyBorder="1" applyAlignment="1">
      <alignment horizontal="center" vertical="center"/>
    </xf>
    <xf numFmtId="0" fontId="4" fillId="0" borderId="1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3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3" fillId="0" borderId="5" xfId="3" applyBorder="1" applyAlignment="1">
      <alignment horizontal="left" vertical="center"/>
    </xf>
    <xf numFmtId="0" fontId="3" fillId="0" borderId="5" xfId="3" applyBorder="1" applyAlignment="1">
      <alignment horizontal="center" vertical="center"/>
    </xf>
    <xf numFmtId="0" fontId="3" fillId="0" borderId="6" xfId="3" applyBorder="1" applyAlignment="1">
      <alignment horizontal="left" vertical="center"/>
    </xf>
    <xf numFmtId="0" fontId="3" fillId="0" borderId="6" xfId="3" applyBorder="1" applyAlignment="1">
      <alignment horizontal="center" vertical="center"/>
    </xf>
    <xf numFmtId="0" fontId="5" fillId="0" borderId="7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9" borderId="37" xfId="3" applyFont="1" applyFill="1" applyBorder="1" applyAlignment="1">
      <alignment horizontal="center" vertical="center"/>
    </xf>
    <xf numFmtId="0" fontId="5" fillId="9" borderId="30" xfId="3" applyFont="1" applyFill="1" applyBorder="1" applyAlignment="1">
      <alignment horizontal="center" vertical="center"/>
    </xf>
    <xf numFmtId="0" fontId="5" fillId="9" borderId="3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/>
    </xf>
    <xf numFmtId="0" fontId="5" fillId="11" borderId="11" xfId="3" applyFont="1" applyFill="1" applyBorder="1" applyAlignment="1">
      <alignment horizontal="center"/>
    </xf>
    <xf numFmtId="0" fontId="5" fillId="11" borderId="10" xfId="3" applyFont="1" applyFill="1" applyBorder="1" applyAlignment="1">
      <alignment horizontal="center"/>
    </xf>
    <xf numFmtId="0" fontId="5" fillId="0" borderId="10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0" fontId="5" fillId="3" borderId="29" xfId="3" applyFont="1" applyFill="1" applyBorder="1" applyAlignment="1">
      <alignment horizontal="center" vertical="center"/>
    </xf>
    <xf numFmtId="0" fontId="5" fillId="3" borderId="30" xfId="3" applyFont="1" applyFill="1" applyBorder="1" applyAlignment="1">
      <alignment horizontal="center" vertical="center"/>
    </xf>
    <xf numFmtId="0" fontId="5" fillId="3" borderId="35" xfId="3" applyFont="1" applyFill="1" applyBorder="1" applyAlignment="1">
      <alignment horizontal="center" vertical="center"/>
    </xf>
    <xf numFmtId="0" fontId="5" fillId="2" borderId="37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5" xfId="3" applyFont="1" applyFill="1" applyBorder="1" applyAlignment="1">
      <alignment horizontal="center" vertical="center"/>
    </xf>
    <xf numFmtId="0" fontId="5" fillId="4" borderId="37" xfId="3" applyFont="1" applyFill="1" applyBorder="1" applyAlignment="1">
      <alignment horizontal="center" vertical="center"/>
    </xf>
    <xf numFmtId="0" fontId="5" fillId="4" borderId="30" xfId="3" applyFont="1" applyFill="1" applyBorder="1" applyAlignment="1">
      <alignment horizontal="center" vertical="center"/>
    </xf>
    <xf numFmtId="0" fontId="5" fillId="4" borderId="31" xfId="3" applyFont="1" applyFill="1" applyBorder="1" applyAlignment="1">
      <alignment horizontal="center" vertical="center"/>
    </xf>
    <xf numFmtId="0" fontId="5" fillId="6" borderId="29" xfId="3" applyFont="1" applyFill="1" applyBorder="1" applyAlignment="1">
      <alignment horizontal="center" vertical="center"/>
    </xf>
    <xf numFmtId="0" fontId="5" fillId="6" borderId="35" xfId="3" applyFont="1" applyFill="1" applyBorder="1" applyAlignment="1">
      <alignment horizontal="center" vertical="center"/>
    </xf>
    <xf numFmtId="0" fontId="5" fillId="5" borderId="37" xfId="3" applyFont="1" applyFill="1" applyBorder="1" applyAlignment="1">
      <alignment horizontal="center" vertical="center"/>
    </xf>
    <xf numFmtId="0" fontId="5" fillId="5" borderId="30" xfId="3" applyFont="1" applyFill="1" applyBorder="1" applyAlignment="1">
      <alignment horizontal="center" vertical="center"/>
    </xf>
    <xf numFmtId="0" fontId="5" fillId="5" borderId="35" xfId="3" applyFont="1" applyFill="1" applyBorder="1" applyAlignment="1">
      <alignment horizontal="center" vertical="center"/>
    </xf>
    <xf numFmtId="0" fontId="5" fillId="8" borderId="30" xfId="3" applyFont="1" applyFill="1" applyBorder="1" applyAlignment="1">
      <alignment horizontal="center" vertical="center"/>
    </xf>
    <xf numFmtId="0" fontId="5" fillId="8" borderId="35" xfId="3" applyFont="1" applyFill="1" applyBorder="1" applyAlignment="1">
      <alignment horizontal="center" vertical="center"/>
    </xf>
  </cellXfs>
  <cellStyles count="8">
    <cellStyle name="Comma" xfId="1" builtinId="3"/>
    <cellStyle name="Currency" xfId="7" builtinId="4"/>
    <cellStyle name="Normal" xfId="0" builtinId="0"/>
    <cellStyle name="Normal 2" xfId="3" xr:uid="{39F0364B-903F-5E4F-ACFD-6A649F4044D3}"/>
    <cellStyle name="Normal_Chris Sanchez Financial Model" xfId="4" xr:uid="{3738EF6E-8276-E645-B1FE-5DFDE8EEF8F3}"/>
    <cellStyle name="Normal_Market Street 8-6-08 V2" xfId="6" xr:uid="{760A2293-80DD-864D-B29B-994824BAC1A7}"/>
    <cellStyle name="Percent" xfId="2" builtinId="5"/>
    <cellStyle name="Percent 2 2" xfId="5" xr:uid="{56D51FD6-02AA-2A42-BBEB-B63B8F65F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Construction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7222222222221"/>
          <c:y val="0.18094925634295711"/>
          <c:w val="0.86849015748031499"/>
          <c:h val="0.72094889180519106"/>
        </c:manualLayout>
      </c:layout>
      <c:lineChart>
        <c:grouping val="standard"/>
        <c:varyColors val="0"/>
        <c:ser>
          <c:idx val="0"/>
          <c:order val="0"/>
          <c:tx>
            <c:strRef>
              <c:f>'Construction Schedule'!$I$9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'Construction Schedule'!$J$9:$BN$9</c:f>
              <c:numCache>
                <c:formatCode>0.00%</c:formatCode>
                <c:ptCount val="57"/>
                <c:pt idx="0">
                  <c:v>8.9554909575832145E-4</c:v>
                </c:pt>
                <c:pt idx="1">
                  <c:v>1.0734290421002515E-3</c:v>
                </c:pt>
                <c:pt idx="2">
                  <c:v>1.2806001366453777E-3</c:v>
                </c:pt>
                <c:pt idx="3">
                  <c:v>1.5205825692749132E-3</c:v>
                </c:pt>
                <c:pt idx="4">
                  <c:v>1.7970606433347451E-3</c:v>
                </c:pt>
                <c:pt idx="5">
                  <c:v>2.1138380906003821E-3</c:v>
                </c:pt>
                <c:pt idx="6">
                  <c:v>2.4747821061317154E-3</c:v>
                </c:pt>
                <c:pt idx="7">
                  <c:v>2.8837557680342777E-3</c:v>
                </c:pt>
                <c:pt idx="8">
                  <c:v>3.3445388607418985E-3</c:v>
                </c:pt>
                <c:pt idx="9">
                  <c:v>3.8607375353975531E-3</c:v>
                </c:pt>
                <c:pt idx="10">
                  <c:v>4.4356837089287067E-3</c:v>
                </c:pt>
                <c:pt idx="11">
                  <c:v>5.0723256120922544E-3</c:v>
                </c:pt>
                <c:pt idx="12">
                  <c:v>5.7731114296112477E-3</c:v>
                </c:pt>
                <c:pt idx="13">
                  <c:v>6.5398685122134946E-3</c:v>
                </c:pt>
                <c:pt idx="14">
                  <c:v>7.3736811572638105E-3</c:v>
                </c:pt>
                <c:pt idx="15">
                  <c:v>8.2747704255963037E-3</c:v>
                </c:pt>
                <c:pt idx="16">
                  <c:v>9.2423798594956051E-3</c:v>
                </c:pt>
                <c:pt idx="17">
                  <c:v>1.0274671262808344E-2</c:v>
                </c:pt>
                <c:pt idx="18">
                  <c:v>1.1368634872516306E-2</c:v>
                </c:pt>
                <c:pt idx="19">
                  <c:v>1.2520018268380952E-2</c:v>
                </c:pt>
                <c:pt idx="20">
                  <c:v>1.3723278214710382E-2</c:v>
                </c:pt>
                <c:pt idx="21">
                  <c:v>1.4971559293334318E-2</c:v>
                </c:pt>
                <c:pt idx="22">
                  <c:v>1.6256702664512183E-2</c:v>
                </c:pt>
                <c:pt idx="23">
                  <c:v>1.7569287586426296E-2</c:v>
                </c:pt>
                <c:pt idx="24">
                  <c:v>1.889870744718446E-2</c:v>
                </c:pt>
                <c:pt idx="25">
                  <c:v>2.0233281038517882E-2</c:v>
                </c:pt>
                <c:pt idx="26">
                  <c:v>2.1560398659526678E-2</c:v>
                </c:pt>
                <c:pt idx="27">
                  <c:v>2.2866701422185391E-2</c:v>
                </c:pt>
                <c:pt idx="28">
                  <c:v>2.4138290885081567E-2</c:v>
                </c:pt>
                <c:pt idx="29">
                  <c:v>2.5360964920173507E-2</c:v>
                </c:pt>
                <c:pt idx="30">
                  <c:v>2.6520474573896766E-2</c:v>
                </c:pt>
                <c:pt idx="31">
                  <c:v>2.7602795673207038E-2</c:v>
                </c:pt>
                <c:pt idx="32">
                  <c:v>2.8594408100510629E-2</c:v>
                </c:pt>
                <c:pt idx="33">
                  <c:v>2.9482575064311123E-2</c:v>
                </c:pt>
                <c:pt idx="34">
                  <c:v>3.0255614361512379E-2</c:v>
                </c:pt>
                <c:pt idx="35">
                  <c:v>3.0903153588346943E-2</c:v>
                </c:pt>
                <c:pt idx="36">
                  <c:v>3.1416361522675275E-2</c:v>
                </c:pt>
                <c:pt idx="37">
                  <c:v>3.1788148469734559E-2</c:v>
                </c:pt>
                <c:pt idx="38">
                  <c:v>3.2013329220694976E-2</c:v>
                </c:pt>
                <c:pt idx="39">
                  <c:v>3.2088743388972024E-2</c:v>
                </c:pt>
                <c:pt idx="40">
                  <c:v>3.2013329220694976E-2</c:v>
                </c:pt>
                <c:pt idx="41">
                  <c:v>3.1788148469734566E-2</c:v>
                </c:pt>
                <c:pt idx="42">
                  <c:v>3.1416361522675282E-2</c:v>
                </c:pt>
                <c:pt idx="43">
                  <c:v>3.0903153588346947E-2</c:v>
                </c:pt>
                <c:pt idx="44">
                  <c:v>3.0255614361512386E-2</c:v>
                </c:pt>
                <c:pt idx="45">
                  <c:v>2.9482575064311126E-2</c:v>
                </c:pt>
                <c:pt idx="46">
                  <c:v>2.8594408100510633E-2</c:v>
                </c:pt>
                <c:pt idx="47">
                  <c:v>2.7602795673207059E-2</c:v>
                </c:pt>
                <c:pt idx="48">
                  <c:v>2.6520474573896773E-2</c:v>
                </c:pt>
                <c:pt idx="49">
                  <c:v>2.5360964920173517E-2</c:v>
                </c:pt>
                <c:pt idx="50">
                  <c:v>2.4138290885081581E-2</c:v>
                </c:pt>
                <c:pt idx="51">
                  <c:v>2.2866701422185401E-2</c:v>
                </c:pt>
                <c:pt idx="52">
                  <c:v>2.1560398659526688E-2</c:v>
                </c:pt>
                <c:pt idx="53">
                  <c:v>2.0233281038517896E-2</c:v>
                </c:pt>
                <c:pt idx="54">
                  <c:v>1.8898707447184474E-2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9-244F-802D-C11835CA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324288"/>
        <c:axId val="223325936"/>
      </c:lineChart>
      <c:catAx>
        <c:axId val="22332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25936"/>
        <c:crosses val="autoZero"/>
        <c:auto val="1"/>
        <c:lblAlgn val="ctr"/>
        <c:lblOffset val="100"/>
        <c:noMultiLvlLbl val="0"/>
      </c:catAx>
      <c:valAx>
        <c:axId val="2233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2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47036</xdr:colOff>
      <xdr:row>9</xdr:row>
      <xdr:rowOff>39982</xdr:rowOff>
    </xdr:from>
    <xdr:to>
      <xdr:col>1</xdr:col>
      <xdr:colOff>2610555</xdr:colOff>
      <xdr:row>16</xdr:row>
      <xdr:rowOff>152871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F84BF-5245-3245-704D-CE8E3FB9E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7F40-D624-4A49-853A-CBA04D3392CB}">
  <sheetPr codeName="Sheet1"/>
  <dimension ref="G6:N36"/>
  <sheetViews>
    <sheetView workbookViewId="0">
      <selection activeCell="I20" sqref="I20:L20"/>
    </sheetView>
  </sheetViews>
  <sheetFormatPr baseColWidth="10" defaultRowHeight="16"/>
  <sheetData>
    <row r="6" spans="7:14" ht="17" thickBot="1">
      <c r="K6" s="163"/>
      <c r="L6" s="163"/>
      <c r="M6" s="163"/>
      <c r="N6" s="163"/>
    </row>
    <row r="7" spans="7:14">
      <c r="G7" s="333"/>
      <c r="H7" s="334"/>
      <c r="I7" s="334"/>
      <c r="J7" s="334"/>
      <c r="K7" s="334"/>
      <c r="L7" s="334"/>
      <c r="M7" s="334"/>
      <c r="N7" s="335"/>
    </row>
    <row r="8" spans="7:14">
      <c r="G8" s="336"/>
      <c r="H8" s="337"/>
      <c r="I8" s="337"/>
      <c r="J8" s="337"/>
      <c r="K8" s="337"/>
      <c r="L8" s="337"/>
      <c r="M8" s="337"/>
      <c r="N8" s="338"/>
    </row>
    <row r="9" spans="7:14">
      <c r="G9" s="336"/>
      <c r="H9" s="337"/>
      <c r="I9" s="337"/>
      <c r="J9" s="337"/>
      <c r="K9" s="337"/>
      <c r="L9" s="337"/>
      <c r="M9" s="337"/>
      <c r="N9" s="338"/>
    </row>
    <row r="10" spans="7:14">
      <c r="G10" s="336"/>
      <c r="H10" s="337"/>
      <c r="I10" s="337"/>
      <c r="J10" s="337"/>
      <c r="K10" s="337"/>
      <c r="L10" s="337"/>
      <c r="M10" s="337"/>
      <c r="N10" s="338"/>
    </row>
    <row r="11" spans="7:14">
      <c r="G11" s="336"/>
      <c r="H11" s="337"/>
      <c r="I11" s="337"/>
      <c r="J11" s="337"/>
      <c r="K11" s="337"/>
      <c r="L11" s="337"/>
      <c r="M11" s="337"/>
      <c r="N11" s="338"/>
    </row>
    <row r="12" spans="7:14">
      <c r="G12" s="336"/>
      <c r="H12" s="337"/>
      <c r="I12" s="337"/>
      <c r="J12" s="337"/>
      <c r="K12" s="337"/>
      <c r="L12" s="337"/>
      <c r="M12" s="337"/>
      <c r="N12" s="338"/>
    </row>
    <row r="13" spans="7:14">
      <c r="G13" s="336"/>
      <c r="H13" s="337"/>
      <c r="I13" s="337"/>
      <c r="J13" s="337"/>
      <c r="K13" s="337"/>
      <c r="L13" s="337"/>
      <c r="M13" s="337"/>
      <c r="N13" s="338"/>
    </row>
    <row r="14" spans="7:14">
      <c r="G14" s="336"/>
      <c r="H14" s="337"/>
      <c r="I14" s="337"/>
      <c r="J14" s="337"/>
      <c r="K14" s="337"/>
      <c r="L14" s="337"/>
      <c r="M14" s="337"/>
      <c r="N14" s="338"/>
    </row>
    <row r="15" spans="7:14">
      <c r="G15" s="336"/>
      <c r="H15" s="337"/>
      <c r="I15" s="337"/>
      <c r="J15" s="337"/>
      <c r="K15" s="337"/>
      <c r="L15" s="337"/>
      <c r="M15" s="337"/>
      <c r="N15" s="338"/>
    </row>
    <row r="16" spans="7:14">
      <c r="G16" s="336"/>
      <c r="H16" s="337"/>
      <c r="I16" s="337"/>
      <c r="J16" s="337"/>
      <c r="K16" s="337"/>
      <c r="L16" s="337"/>
      <c r="M16" s="337"/>
      <c r="N16" s="338"/>
    </row>
    <row r="17" spans="7:14">
      <c r="G17" s="336"/>
      <c r="H17" s="337"/>
      <c r="I17" s="337"/>
      <c r="J17" s="337"/>
      <c r="K17" s="337"/>
      <c r="L17" s="337"/>
      <c r="M17" s="337"/>
      <c r="N17" s="338"/>
    </row>
    <row r="18" spans="7:14" ht="26">
      <c r="G18" s="336"/>
      <c r="H18" s="337"/>
      <c r="I18" s="517" t="s">
        <v>459</v>
      </c>
      <c r="J18" s="517"/>
      <c r="K18" s="517"/>
      <c r="L18" s="517"/>
      <c r="M18" s="337"/>
      <c r="N18" s="338"/>
    </row>
    <row r="19" spans="7:14" ht="21">
      <c r="G19" s="336"/>
      <c r="H19" s="337"/>
      <c r="I19" s="518" t="s">
        <v>291</v>
      </c>
      <c r="J19" s="518"/>
      <c r="K19" s="518"/>
      <c r="L19" s="518"/>
      <c r="M19" s="337"/>
      <c r="N19" s="338"/>
    </row>
    <row r="20" spans="7:14" ht="19">
      <c r="G20" s="336"/>
      <c r="H20" s="337"/>
      <c r="I20" s="519" t="s">
        <v>460</v>
      </c>
      <c r="J20" s="519"/>
      <c r="K20" s="519"/>
      <c r="L20" s="519"/>
      <c r="M20" s="337"/>
      <c r="N20" s="338"/>
    </row>
    <row r="21" spans="7:14">
      <c r="G21" s="336"/>
      <c r="H21" s="337"/>
      <c r="I21" s="337"/>
      <c r="J21" s="337"/>
      <c r="K21" s="337"/>
      <c r="L21" s="337"/>
      <c r="M21" s="337"/>
      <c r="N21" s="338"/>
    </row>
    <row r="22" spans="7:14">
      <c r="G22" s="336"/>
      <c r="H22" s="337"/>
      <c r="I22" s="337"/>
      <c r="J22" s="337"/>
      <c r="K22" s="337"/>
      <c r="L22" s="337"/>
      <c r="M22" s="337"/>
      <c r="N22" s="338"/>
    </row>
    <row r="23" spans="7:14">
      <c r="G23" s="336"/>
      <c r="H23" s="337"/>
      <c r="I23" s="337"/>
      <c r="J23" s="337"/>
      <c r="K23" s="337"/>
      <c r="L23" s="337"/>
      <c r="M23" s="337"/>
      <c r="N23" s="338"/>
    </row>
    <row r="24" spans="7:14">
      <c r="G24" s="336"/>
      <c r="H24" s="337"/>
      <c r="I24" s="337"/>
      <c r="J24" s="337"/>
      <c r="K24" s="337"/>
      <c r="L24" s="337"/>
      <c r="M24" s="337"/>
      <c r="N24" s="338"/>
    </row>
    <row r="25" spans="7:14">
      <c r="G25" s="336"/>
      <c r="H25" s="337"/>
      <c r="I25" s="337"/>
      <c r="J25" s="337"/>
      <c r="K25" s="337"/>
      <c r="L25" s="337"/>
      <c r="M25" s="337"/>
      <c r="N25" s="338"/>
    </row>
    <row r="26" spans="7:14">
      <c r="G26" s="336"/>
      <c r="H26" s="337"/>
      <c r="I26" s="337"/>
      <c r="J26" s="337"/>
      <c r="K26" s="337"/>
      <c r="L26" s="337"/>
      <c r="M26" s="337"/>
      <c r="N26" s="338"/>
    </row>
    <row r="27" spans="7:14">
      <c r="G27" s="336"/>
      <c r="H27" s="337"/>
      <c r="I27" s="337"/>
      <c r="J27" s="337"/>
      <c r="K27" s="337"/>
      <c r="L27" s="337"/>
      <c r="M27" s="337"/>
      <c r="N27" s="338"/>
    </row>
    <row r="28" spans="7:14">
      <c r="G28" s="336"/>
      <c r="H28" s="337"/>
      <c r="I28" s="337"/>
      <c r="J28" s="337"/>
      <c r="K28" s="337"/>
      <c r="L28" s="337"/>
      <c r="M28" s="337"/>
      <c r="N28" s="338"/>
    </row>
    <row r="29" spans="7:14">
      <c r="G29" s="336"/>
      <c r="H29" s="337"/>
      <c r="I29" s="337"/>
      <c r="J29" s="337"/>
      <c r="K29" s="337"/>
      <c r="L29" s="337"/>
      <c r="M29" s="337"/>
      <c r="N29" s="338"/>
    </row>
    <row r="30" spans="7:14">
      <c r="G30" s="336"/>
      <c r="H30" s="337"/>
      <c r="I30" s="337"/>
      <c r="J30" s="337"/>
      <c r="K30" s="337"/>
      <c r="L30" s="337"/>
      <c r="M30" s="337"/>
      <c r="N30" s="338"/>
    </row>
    <row r="31" spans="7:14">
      <c r="G31" s="336"/>
      <c r="H31" s="337"/>
      <c r="I31" s="337"/>
      <c r="J31" s="337"/>
      <c r="K31" s="337"/>
      <c r="L31" s="337"/>
      <c r="M31" s="337"/>
      <c r="N31" s="338"/>
    </row>
    <row r="32" spans="7:14">
      <c r="G32" s="336"/>
      <c r="H32" s="337"/>
      <c r="I32" s="337"/>
      <c r="J32" s="337"/>
      <c r="K32" s="337"/>
      <c r="L32" s="337"/>
      <c r="M32" s="337"/>
      <c r="N32" s="338"/>
    </row>
    <row r="33" spans="7:14">
      <c r="G33" s="336"/>
      <c r="H33" s="337"/>
      <c r="I33" s="337"/>
      <c r="J33" s="337"/>
      <c r="K33" s="337"/>
      <c r="L33" s="337"/>
      <c r="M33" s="337"/>
      <c r="N33" s="338"/>
    </row>
    <row r="34" spans="7:14">
      <c r="G34" s="336"/>
      <c r="H34" s="337"/>
      <c r="I34" s="337"/>
      <c r="J34" s="337"/>
      <c r="K34" s="337"/>
      <c r="L34" s="337"/>
      <c r="M34" s="337"/>
      <c r="N34" s="338"/>
    </row>
    <row r="35" spans="7:14">
      <c r="G35" s="336"/>
      <c r="H35" s="337"/>
      <c r="I35" s="337"/>
      <c r="J35" s="337"/>
      <c r="K35" s="337"/>
      <c r="L35" s="337"/>
      <c r="M35" s="337"/>
      <c r="N35" s="338"/>
    </row>
    <row r="36" spans="7:14" ht="17" thickBot="1">
      <c r="G36" s="339"/>
      <c r="H36" s="340"/>
      <c r="I36" s="340"/>
      <c r="J36" s="340"/>
      <c r="K36" s="340"/>
      <c r="L36" s="340"/>
      <c r="M36" s="340"/>
      <c r="N36" s="341"/>
    </row>
  </sheetData>
  <mergeCells count="3">
    <mergeCell ref="I18:L18"/>
    <mergeCell ref="I19:L19"/>
    <mergeCell ref="I20:L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82AA-A3C4-EF43-BCD7-DE92DF536E72}">
  <sheetPr codeName="Sheet2"/>
  <dimension ref="B2:U59"/>
  <sheetViews>
    <sheetView tabSelected="1" topLeftCell="A8" zoomScaleNormal="100" workbookViewId="0">
      <selection activeCell="G25" sqref="G25"/>
    </sheetView>
  </sheetViews>
  <sheetFormatPr baseColWidth="10" defaultRowHeight="16"/>
  <cols>
    <col min="2" max="2" width="23.33203125" customWidth="1"/>
    <col min="3" max="3" width="19.6640625" bestFit="1" customWidth="1"/>
    <col min="4" max="4" width="3.1640625" customWidth="1"/>
    <col min="10" max="11" width="14" bestFit="1" customWidth="1"/>
    <col min="12" max="12" width="3.1640625" customWidth="1"/>
    <col min="14" max="14" width="28.83203125" bestFit="1" customWidth="1"/>
    <col min="15" max="15" width="13" bestFit="1" customWidth="1"/>
    <col min="17" max="17" width="11.5" bestFit="1" customWidth="1"/>
    <col min="18" max="18" width="13" bestFit="1" customWidth="1"/>
    <col min="19" max="19" width="14" bestFit="1" customWidth="1"/>
    <col min="21" max="21" width="11.5" bestFit="1" customWidth="1"/>
  </cols>
  <sheetData>
    <row r="2" spans="2:19">
      <c r="B2" s="164" t="s">
        <v>462</v>
      </c>
    </row>
    <row r="3" spans="2:19">
      <c r="C3" s="102"/>
      <c r="K3" s="270"/>
    </row>
    <row r="4" spans="2:19" ht="17" thickBot="1"/>
    <row r="5" spans="2:19">
      <c r="B5" s="107" t="s">
        <v>145</v>
      </c>
      <c r="C5" s="108"/>
      <c r="F5" s="107" t="s">
        <v>146</v>
      </c>
      <c r="G5" s="127"/>
      <c r="H5" s="127"/>
      <c r="I5" s="127"/>
      <c r="J5" s="127"/>
      <c r="K5" s="108"/>
      <c r="N5" s="107" t="s">
        <v>148</v>
      </c>
      <c r="O5" s="127"/>
      <c r="P5" s="127"/>
      <c r="Q5" s="127"/>
      <c r="R5" s="127"/>
      <c r="S5" s="108"/>
    </row>
    <row r="6" spans="2:19">
      <c r="B6" s="67" t="s">
        <v>138</v>
      </c>
      <c r="C6" s="109" t="s">
        <v>301</v>
      </c>
      <c r="F6" s="120"/>
      <c r="K6" s="114"/>
      <c r="N6" s="128" t="s">
        <v>120</v>
      </c>
      <c r="O6" s="129" t="s">
        <v>34</v>
      </c>
      <c r="P6" s="129" t="s">
        <v>166</v>
      </c>
      <c r="Q6" s="129" t="s">
        <v>169</v>
      </c>
      <c r="R6" s="129" t="s">
        <v>168</v>
      </c>
      <c r="S6" s="130" t="s">
        <v>167</v>
      </c>
    </row>
    <row r="7" spans="2:19">
      <c r="B7" s="67" t="s">
        <v>139</v>
      </c>
      <c r="C7" s="109" t="s">
        <v>291</v>
      </c>
      <c r="F7" s="520" t="s">
        <v>147</v>
      </c>
      <c r="G7" s="521"/>
      <c r="H7" s="521"/>
      <c r="I7" s="521"/>
      <c r="J7" s="521"/>
      <c r="K7" s="522"/>
      <c r="N7" s="520" t="s">
        <v>159</v>
      </c>
      <c r="O7" s="521"/>
      <c r="P7" s="521"/>
      <c r="Q7" s="521"/>
      <c r="R7" s="521"/>
      <c r="S7" s="522"/>
    </row>
    <row r="8" spans="2:19">
      <c r="B8" s="67" t="s">
        <v>140</v>
      </c>
      <c r="C8" s="110" t="s">
        <v>281</v>
      </c>
      <c r="F8" s="122" t="s">
        <v>163</v>
      </c>
      <c r="K8" s="140">
        <f ca="1">K11-K9</f>
        <v>53431273.628583014</v>
      </c>
      <c r="N8" s="120" t="s">
        <v>121</v>
      </c>
      <c r="O8" s="173">
        <f>'Unit Mix'!B39</f>
        <v>50</v>
      </c>
      <c r="P8" s="174">
        <f>'Unit Mix'!B38</f>
        <v>210.38</v>
      </c>
      <c r="Q8" s="165">
        <f>R8/P8*30</f>
        <v>25.667839148208003</v>
      </c>
      <c r="R8" s="173">
        <v>180</v>
      </c>
      <c r="S8" s="166">
        <f>R8*O8*30*12</f>
        <v>3240000</v>
      </c>
    </row>
    <row r="9" spans="2:19">
      <c r="B9" s="67" t="s">
        <v>141</v>
      </c>
      <c r="C9" s="111">
        <v>43648</v>
      </c>
      <c r="F9" s="122" t="s">
        <v>164</v>
      </c>
      <c r="K9" s="139">
        <v>66800000</v>
      </c>
      <c r="N9" s="120" t="s">
        <v>122</v>
      </c>
      <c r="O9" s="173">
        <f>'Unit Mix'!C39</f>
        <v>66</v>
      </c>
      <c r="P9" s="174">
        <f>'Unit Mix'!C38</f>
        <v>277.22727272727275</v>
      </c>
      <c r="Q9" s="165">
        <f>R9/P9*30</f>
        <v>24.889326119035907</v>
      </c>
      <c r="R9" s="173">
        <v>230</v>
      </c>
      <c r="S9" s="166">
        <f>R9*O9*30*12</f>
        <v>5464800</v>
      </c>
    </row>
    <row r="10" spans="2:19">
      <c r="B10" s="67" t="s">
        <v>142</v>
      </c>
      <c r="C10" s="111">
        <v>43799</v>
      </c>
      <c r="F10" s="120"/>
      <c r="K10" s="114"/>
      <c r="N10" s="120" t="s">
        <v>123</v>
      </c>
      <c r="O10" s="173">
        <f>'Unit Mix'!D39</f>
        <v>23</v>
      </c>
      <c r="P10" s="174">
        <f>'Unit Mix'!D38</f>
        <v>358.21739130434781</v>
      </c>
      <c r="Q10" s="165">
        <f>R10/P10*30</f>
        <v>23.449447748513172</v>
      </c>
      <c r="R10" s="173">
        <v>280</v>
      </c>
      <c r="S10" s="166">
        <f>R10*O10*30*12</f>
        <v>2318400</v>
      </c>
    </row>
    <row r="11" spans="2:19">
      <c r="B11" s="67" t="s">
        <v>143</v>
      </c>
      <c r="C11" s="156">
        <v>55</v>
      </c>
      <c r="F11" s="144" t="s">
        <v>193</v>
      </c>
      <c r="G11" s="142"/>
      <c r="H11" s="142"/>
      <c r="I11" s="142"/>
      <c r="J11" s="142"/>
      <c r="K11" s="145">
        <f ca="1">K36</f>
        <v>120231273.62858301</v>
      </c>
      <c r="N11" s="144" t="s">
        <v>194</v>
      </c>
      <c r="O11" s="150">
        <f>'Unit Mix'!D70</f>
        <v>139</v>
      </c>
      <c r="P11" s="151">
        <f>'Unit Mix'!C70</f>
        <v>266.58273381294964</v>
      </c>
      <c r="Q11" s="167">
        <f>SUMPRODUCT(Q7:Q10,O7:O10)/O11</f>
        <v>24.931113521457359</v>
      </c>
      <c r="R11" s="151">
        <f>SUMPRODUCT(R7:R10,O7:O10)/O11</f>
        <v>220.28776978417267</v>
      </c>
      <c r="S11" s="145">
        <f>SUM(S8:S10)</f>
        <v>11023200</v>
      </c>
    </row>
    <row r="12" spans="2:19">
      <c r="B12" s="67" t="s">
        <v>567</v>
      </c>
      <c r="C12" s="109">
        <f>ROUND(C11/12,0)</f>
        <v>5</v>
      </c>
      <c r="F12" s="120"/>
      <c r="K12" s="114"/>
      <c r="N12" s="120"/>
      <c r="S12" s="114"/>
    </row>
    <row r="13" spans="2:19" ht="17" thickBot="1">
      <c r="B13" s="112" t="s">
        <v>144</v>
      </c>
      <c r="C13" s="113">
        <f>EOMONTH(C10,C11)</f>
        <v>45473</v>
      </c>
      <c r="F13" s="120"/>
      <c r="K13" s="114"/>
      <c r="N13" s="520" t="s">
        <v>84</v>
      </c>
      <c r="O13" s="521"/>
      <c r="P13" s="521"/>
      <c r="Q13" s="521"/>
      <c r="R13" s="521"/>
      <c r="S13" s="522"/>
    </row>
    <row r="14" spans="2:19" ht="17" thickBot="1">
      <c r="F14" s="520" t="s">
        <v>165</v>
      </c>
      <c r="G14" s="521"/>
      <c r="H14" s="521"/>
      <c r="I14" s="521"/>
      <c r="J14" s="521"/>
      <c r="K14" s="522"/>
      <c r="N14" s="120" t="s">
        <v>174</v>
      </c>
      <c r="O14" s="173">
        <f>'Unit Mix'!H39</f>
        <v>4</v>
      </c>
      <c r="P14" s="174">
        <f>'Unit Mix'!H38</f>
        <v>380</v>
      </c>
      <c r="Q14" s="165">
        <f>R14/P14</f>
        <v>5.7894736842105265</v>
      </c>
      <c r="R14" s="173">
        <v>2200</v>
      </c>
      <c r="S14" s="166">
        <f>IF($C$56="Yes",(R14*O14*12*0.9+O14*1634*0.1*12),R14*O14*12)</f>
        <v>105600</v>
      </c>
    </row>
    <row r="15" spans="2:19">
      <c r="B15" s="107" t="s">
        <v>149</v>
      </c>
      <c r="C15" s="108"/>
      <c r="F15" s="137" t="s">
        <v>305</v>
      </c>
      <c r="K15" s="139">
        <f>30368954-K28</f>
        <v>28716134.84</v>
      </c>
      <c r="N15" s="120" t="s">
        <v>70</v>
      </c>
      <c r="O15" s="173">
        <f>'Unit Mix'!I39</f>
        <v>30</v>
      </c>
      <c r="P15" s="174">
        <f>'Unit Mix'!I38</f>
        <v>487.23333333333335</v>
      </c>
      <c r="Q15" s="165">
        <f>R15/P15</f>
        <v>5.7467332557980431</v>
      </c>
      <c r="R15" s="174">
        <v>2800</v>
      </c>
      <c r="S15" s="166">
        <f>IF($C$56="Yes",(R15*O15*12*0.9+O15*1751*0.1*12),R15*O15*12)</f>
        <v>1008000</v>
      </c>
    </row>
    <row r="16" spans="2:19">
      <c r="B16" s="67" t="s">
        <v>150</v>
      </c>
      <c r="C16" s="114"/>
      <c r="F16" s="137" t="s">
        <v>177</v>
      </c>
      <c r="J16" s="158"/>
      <c r="K16" s="161">
        <v>62472087</v>
      </c>
      <c r="N16" s="120" t="s">
        <v>73</v>
      </c>
      <c r="O16" s="173">
        <f>'Unit Mix'!J39</f>
        <v>52</v>
      </c>
      <c r="P16" s="174">
        <f>'Unit Mix'!J38</f>
        <v>728.44230769230774</v>
      </c>
      <c r="Q16" s="165">
        <f>R16/P16</f>
        <v>4.8047730932706774</v>
      </c>
      <c r="R16" s="174">
        <v>3500</v>
      </c>
      <c r="S16" s="166">
        <f>IF($C$56="Yes",(R16*O16*12*0.9+O16*2101*0.1*12),R16*O16*12)</f>
        <v>2184000</v>
      </c>
    </row>
    <row r="17" spans="2:21">
      <c r="B17" s="115" t="s">
        <v>564</v>
      </c>
      <c r="C17" s="116">
        <v>3.7499999999999999E-2</v>
      </c>
      <c r="F17" s="137" t="s">
        <v>178</v>
      </c>
      <c r="K17" s="161">
        <f>12012375+50000*(C11-48)-SUM(K18,K19,K20,K21,K24,K29,K30,K31,K32)</f>
        <v>2717323.5</v>
      </c>
      <c r="N17" s="120" t="s">
        <v>101</v>
      </c>
      <c r="O17" s="173">
        <f>'Unit Mix'!K39</f>
        <v>6</v>
      </c>
      <c r="P17" s="174">
        <f>'Unit Mix'!K38</f>
        <v>1063.1666666666667</v>
      </c>
      <c r="Q17" s="165">
        <f>R17/P17</f>
        <v>4.2326383445681142</v>
      </c>
      <c r="R17" s="174">
        <v>4500</v>
      </c>
      <c r="S17" s="166">
        <f>IF($C$56="Yes",(R17*O17*12*0.9+O17*2428*0.1*12),R17*O17*12)</f>
        <v>324000</v>
      </c>
    </row>
    <row r="18" spans="2:21">
      <c r="B18" s="115" t="s">
        <v>156</v>
      </c>
      <c r="C18" s="117">
        <v>3</v>
      </c>
      <c r="F18" s="137" t="s">
        <v>179</v>
      </c>
      <c r="K18" s="161">
        <f>3314213+20000*(C11-48)</f>
        <v>3454213</v>
      </c>
      <c r="N18" s="144" t="s">
        <v>194</v>
      </c>
      <c r="O18" s="150">
        <f>'Unit Mix'!I75</f>
        <v>92</v>
      </c>
      <c r="P18" s="151">
        <f>'Unit Mix'!H75</f>
        <v>656.46739130434787</v>
      </c>
      <c r="Q18" s="167">
        <f>SUMPRODUCT(Q14:Q17,O14:O17)/O18</f>
        <v>5.1174339492202963</v>
      </c>
      <c r="R18" s="151">
        <f>SUMPRODUCT(R14:R17,O14:O17)/O18</f>
        <v>3280.4347826086955</v>
      </c>
      <c r="S18" s="145">
        <f>SUM(S14:S17)</f>
        <v>3621600</v>
      </c>
      <c r="U18" s="270"/>
    </row>
    <row r="19" spans="2:21">
      <c r="B19" s="115" t="s">
        <v>157</v>
      </c>
      <c r="C19" s="118">
        <v>0.6</v>
      </c>
      <c r="F19" s="137" t="s">
        <v>280</v>
      </c>
      <c r="K19" s="161">
        <v>1702000</v>
      </c>
      <c r="N19" s="119"/>
      <c r="O19" s="51"/>
      <c r="P19" s="420"/>
      <c r="Q19" s="421"/>
      <c r="R19" s="420"/>
      <c r="S19" s="422"/>
    </row>
    <row r="20" spans="2:21">
      <c r="B20" s="119" t="s">
        <v>151</v>
      </c>
      <c r="C20" s="114"/>
      <c r="F20" s="137" t="s">
        <v>279</v>
      </c>
      <c r="K20" s="161">
        <f>204829+2500*(C11-48)</f>
        <v>222329</v>
      </c>
      <c r="N20" s="128" t="s">
        <v>468</v>
      </c>
      <c r="O20" s="129" t="s">
        <v>34</v>
      </c>
      <c r="P20" s="423" t="s">
        <v>166</v>
      </c>
      <c r="Q20" s="424" t="s">
        <v>469</v>
      </c>
      <c r="R20" s="423" t="s">
        <v>470</v>
      </c>
      <c r="S20" s="425" t="s">
        <v>471</v>
      </c>
    </row>
    <row r="21" spans="2:21">
      <c r="B21" s="115" t="s">
        <v>155</v>
      </c>
      <c r="C21" s="118">
        <v>7.0000000000000007E-2</v>
      </c>
      <c r="F21" s="137" t="s">
        <v>180</v>
      </c>
      <c r="K21" s="161">
        <v>242550</v>
      </c>
      <c r="N21" s="120" t="s">
        <v>174</v>
      </c>
      <c r="O21" s="173">
        <f t="shared" ref="O21:P24" si="0">O14</f>
        <v>4</v>
      </c>
      <c r="P21" s="174">
        <f t="shared" si="0"/>
        <v>380</v>
      </c>
      <c r="Q21" s="174">
        <v>1000</v>
      </c>
      <c r="R21" s="426">
        <f>Q21*P21</f>
        <v>380000</v>
      </c>
      <c r="S21" s="166">
        <f>R21*O21</f>
        <v>1520000</v>
      </c>
    </row>
    <row r="22" spans="2:21">
      <c r="B22" s="115" t="s">
        <v>156</v>
      </c>
      <c r="C22" s="117">
        <v>30</v>
      </c>
      <c r="F22" s="137" t="s">
        <v>181</v>
      </c>
      <c r="K22" s="194">
        <f ca="1">'Construction Schedule'!E51</f>
        <v>7371860.9385830183</v>
      </c>
      <c r="N22" s="120" t="s">
        <v>70</v>
      </c>
      <c r="O22" s="173">
        <f t="shared" si="0"/>
        <v>30</v>
      </c>
      <c r="P22" s="174">
        <f t="shared" si="0"/>
        <v>487.23333333333335</v>
      </c>
      <c r="Q22" s="174">
        <v>1200</v>
      </c>
      <c r="R22" s="426">
        <f>Q22*P22</f>
        <v>584680</v>
      </c>
      <c r="S22" s="166">
        <f>R22*O22</f>
        <v>17540400</v>
      </c>
    </row>
    <row r="23" spans="2:21">
      <c r="B23" s="115" t="s">
        <v>157</v>
      </c>
      <c r="C23" s="118">
        <v>0.75</v>
      </c>
      <c r="F23" s="137" t="s">
        <v>340</v>
      </c>
      <c r="K23" s="161">
        <f>957849.74+75000*(C11-48)</f>
        <v>1482849.74</v>
      </c>
      <c r="N23" s="120" t="s">
        <v>73</v>
      </c>
      <c r="O23" s="173">
        <f t="shared" si="0"/>
        <v>52</v>
      </c>
      <c r="P23" s="174">
        <f t="shared" si="0"/>
        <v>728.44230769230774</v>
      </c>
      <c r="Q23" s="174">
        <v>1250</v>
      </c>
      <c r="R23" s="426">
        <f>Q23*P23</f>
        <v>910552.88461538462</v>
      </c>
      <c r="S23" s="166">
        <f>R23*O23</f>
        <v>47348750</v>
      </c>
    </row>
    <row r="24" spans="2:21">
      <c r="B24" s="115" t="s">
        <v>456</v>
      </c>
      <c r="C24" s="293">
        <v>1.2</v>
      </c>
      <c r="F24" s="137" t="s">
        <v>183</v>
      </c>
      <c r="K24" s="161">
        <f>3118379+62500*(C11-48)</f>
        <v>3555879</v>
      </c>
      <c r="N24" s="120" t="s">
        <v>101</v>
      </c>
      <c r="O24" s="173">
        <f t="shared" si="0"/>
        <v>6</v>
      </c>
      <c r="P24" s="174">
        <f t="shared" si="0"/>
        <v>1063.1666666666667</v>
      </c>
      <c r="Q24" s="174">
        <v>1300</v>
      </c>
      <c r="R24" s="426">
        <f>Q24*P24</f>
        <v>1382116.6666666667</v>
      </c>
      <c r="S24" s="166">
        <f>R24*O24</f>
        <v>8292700</v>
      </c>
    </row>
    <row r="25" spans="2:21">
      <c r="B25" s="120"/>
      <c r="C25" s="117"/>
      <c r="F25" s="137" t="s">
        <v>277</v>
      </c>
      <c r="K25" s="161" cm="1">
        <f t="array" ref="K25">_xlfn.IFS(C12=4,70000,C12&gt;4,140000)</f>
        <v>140000</v>
      </c>
      <c r="N25" s="144" t="s">
        <v>194</v>
      </c>
      <c r="O25" s="150">
        <f>SUM(O21:O24)</f>
        <v>92</v>
      </c>
      <c r="P25" s="151">
        <f>SUMPRODUCT(P21:P24,O21:O24)/O25</f>
        <v>656.46739130434787</v>
      </c>
      <c r="Q25" s="151">
        <f>SUMPRODUCT(Q21:Q24,O21:O24)/O25</f>
        <v>1226.0869565217392</v>
      </c>
      <c r="R25" s="277">
        <f>SUMPRODUCT(R21:R24,O21:O24)/O25</f>
        <v>811976.63043478259</v>
      </c>
      <c r="S25" s="145">
        <f>SUM(S21:S24)</f>
        <v>74701850</v>
      </c>
    </row>
    <row r="26" spans="2:21">
      <c r="B26" s="121" t="s">
        <v>160</v>
      </c>
      <c r="C26" s="117"/>
      <c r="F26" s="137"/>
      <c r="K26" s="161"/>
      <c r="N26" s="520" t="s">
        <v>198</v>
      </c>
      <c r="O26" s="521"/>
      <c r="P26" s="521"/>
      <c r="Q26" s="521"/>
      <c r="R26" s="521"/>
      <c r="S26" s="522"/>
    </row>
    <row r="27" spans="2:21">
      <c r="B27" s="122" t="s">
        <v>84</v>
      </c>
      <c r="C27" s="117"/>
      <c r="F27" s="137" t="s">
        <v>204</v>
      </c>
      <c r="J27" s="138"/>
      <c r="K27" s="161">
        <f>630254.11+153652</f>
        <v>783906.11</v>
      </c>
      <c r="N27" s="120" t="s">
        <v>341</v>
      </c>
      <c r="O27" s="173">
        <v>1</v>
      </c>
      <c r="P27" s="173">
        <v>6000</v>
      </c>
      <c r="Q27" s="175">
        <f>R27/P27*12</f>
        <v>60</v>
      </c>
      <c r="R27" s="158">
        <v>30000</v>
      </c>
      <c r="S27" s="140">
        <f>R27*12</f>
        <v>360000</v>
      </c>
    </row>
    <row r="28" spans="2:21">
      <c r="B28" s="123" t="s">
        <v>561</v>
      </c>
      <c r="C28" s="118">
        <f>IF(C11=56,8%,0%)</f>
        <v>0</v>
      </c>
      <c r="F28" s="137" t="s">
        <v>184</v>
      </c>
      <c r="K28" s="161">
        <v>1652819.16</v>
      </c>
      <c r="N28" s="120"/>
      <c r="S28" s="114"/>
    </row>
    <row r="29" spans="2:21" ht="17" thickBot="1">
      <c r="B29" s="123" t="s">
        <v>562</v>
      </c>
      <c r="C29" s="118">
        <v>0.06</v>
      </c>
      <c r="F29" s="137" t="s">
        <v>185</v>
      </c>
      <c r="K29" s="161">
        <f>91419+5000*(C11-48)</f>
        <v>126419</v>
      </c>
      <c r="N29" s="149" t="s">
        <v>176</v>
      </c>
      <c r="O29" s="171">
        <f>O27</f>
        <v>1</v>
      </c>
      <c r="P29" s="171">
        <f>P27</f>
        <v>6000</v>
      </c>
      <c r="Q29" s="171">
        <f>Q27</f>
        <v>60</v>
      </c>
      <c r="R29" s="172">
        <f>R27</f>
        <v>30000</v>
      </c>
      <c r="S29" s="148">
        <f>S27</f>
        <v>360000</v>
      </c>
    </row>
    <row r="30" spans="2:21" ht="17" thickBot="1">
      <c r="B30" s="123" t="s">
        <v>560</v>
      </c>
      <c r="C30" s="139">
        <v>3</v>
      </c>
      <c r="F30" s="137" t="s">
        <v>186</v>
      </c>
      <c r="K30" s="161">
        <v>37950</v>
      </c>
    </row>
    <row r="31" spans="2:21">
      <c r="B31" s="123" t="s">
        <v>559</v>
      </c>
      <c r="C31" s="470">
        <f>ROUNDUP(O25/C30,0)</f>
        <v>31</v>
      </c>
      <c r="F31" s="137" t="s">
        <v>187</v>
      </c>
      <c r="K31" s="161">
        <v>42587.5</v>
      </c>
      <c r="N31" s="107" t="s">
        <v>196</v>
      </c>
      <c r="O31" s="132"/>
      <c r="P31" s="132"/>
      <c r="Q31" s="132"/>
      <c r="R31" s="132"/>
      <c r="S31" s="133"/>
    </row>
    <row r="32" spans="2:21">
      <c r="B32" s="123" t="s">
        <v>563</v>
      </c>
      <c r="C32" s="470">
        <f>O25-(C31-1)*C30</f>
        <v>2</v>
      </c>
      <c r="F32" s="137" t="s">
        <v>188</v>
      </c>
      <c r="K32" s="161">
        <f>261124</f>
        <v>261124</v>
      </c>
      <c r="N32" s="134" t="s">
        <v>282</v>
      </c>
      <c r="O32" s="173">
        <v>40</v>
      </c>
      <c r="R32" s="173">
        <v>400</v>
      </c>
      <c r="S32" s="166">
        <f>R32*O32*12</f>
        <v>192000</v>
      </c>
    </row>
    <row r="33" spans="2:19">
      <c r="B33" s="122" t="s">
        <v>159</v>
      </c>
      <c r="C33" s="117"/>
      <c r="F33" s="137" t="s">
        <v>189</v>
      </c>
      <c r="J33" s="138"/>
      <c r="K33" s="161">
        <v>4377995</v>
      </c>
      <c r="N33" s="134" t="s">
        <v>349</v>
      </c>
      <c r="P33" s="173">
        <v>550</v>
      </c>
      <c r="Q33" s="173">
        <v>60</v>
      </c>
      <c r="S33" s="166">
        <f>Q33*P33</f>
        <v>33000</v>
      </c>
    </row>
    <row r="34" spans="2:19">
      <c r="B34" s="123" t="s">
        <v>161</v>
      </c>
      <c r="C34" s="118">
        <f>IF(C11=56,8%,0%)</f>
        <v>0</v>
      </c>
      <c r="F34" s="137"/>
      <c r="I34" s="193"/>
      <c r="K34" s="194"/>
      <c r="N34" s="134" t="s">
        <v>366</v>
      </c>
      <c r="S34" s="139">
        <v>20000</v>
      </c>
    </row>
    <row r="35" spans="2:19">
      <c r="B35" s="123" t="s">
        <v>162</v>
      </c>
      <c r="C35" s="118">
        <v>0.06</v>
      </c>
      <c r="F35" s="137" t="s">
        <v>191</v>
      </c>
      <c r="K35" s="161">
        <f>667076.84+29167*(C11-48)</f>
        <v>871245.84</v>
      </c>
      <c r="N35" s="134"/>
      <c r="S35" s="114"/>
    </row>
    <row r="36" spans="2:19" ht="17" thickBot="1">
      <c r="B36" s="122" t="s">
        <v>198</v>
      </c>
      <c r="C36" s="117"/>
      <c r="F36" s="146" t="s">
        <v>192</v>
      </c>
      <c r="G36" s="147"/>
      <c r="H36" s="147"/>
      <c r="I36" s="147"/>
      <c r="J36" s="147"/>
      <c r="K36" s="148">
        <f ca="1">SUM(K15:K35)</f>
        <v>120231273.62858301</v>
      </c>
      <c r="N36" s="149" t="s">
        <v>136</v>
      </c>
      <c r="O36" s="147"/>
      <c r="P36" s="147"/>
      <c r="Q36" s="147"/>
      <c r="R36" s="147"/>
      <c r="S36" s="148">
        <f>SUM(S32:S35)</f>
        <v>245000</v>
      </c>
    </row>
    <row r="37" spans="2:19" ht="17" thickBot="1">
      <c r="B37" s="123" t="s">
        <v>161</v>
      </c>
      <c r="C37" s="118">
        <v>0</v>
      </c>
    </row>
    <row r="38" spans="2:19">
      <c r="B38" s="123" t="s">
        <v>162</v>
      </c>
      <c r="C38" s="118">
        <v>1</v>
      </c>
      <c r="F38" s="107" t="s">
        <v>197</v>
      </c>
      <c r="G38" s="127"/>
      <c r="H38" s="127"/>
      <c r="I38" s="127"/>
      <c r="J38" s="455" t="s">
        <v>468</v>
      </c>
      <c r="K38" s="456" t="s">
        <v>527</v>
      </c>
      <c r="N38" s="107" t="s">
        <v>199</v>
      </c>
      <c r="O38" s="132"/>
      <c r="P38" s="132"/>
      <c r="Q38" s="132"/>
      <c r="R38" s="132"/>
      <c r="S38" s="133"/>
    </row>
    <row r="39" spans="2:19">
      <c r="B39" s="119" t="s">
        <v>152</v>
      </c>
      <c r="C39" s="117"/>
      <c r="F39" s="119" t="s">
        <v>200</v>
      </c>
      <c r="J39" s="343">
        <f ca="1">'Condo - Returns'!G21</f>
        <v>8.995883762836461E-2</v>
      </c>
      <c r="K39" s="183">
        <f ca="1">'Rental - Returns'!G21</f>
        <v>8.0945041775703427E-2</v>
      </c>
      <c r="N39" s="120"/>
      <c r="O39" s="102">
        <f>'Rental - Annual Proforma'!H8</f>
        <v>45291</v>
      </c>
      <c r="P39" s="102">
        <f>'Rental - Annual Proforma'!I8</f>
        <v>45657</v>
      </c>
      <c r="Q39" s="102">
        <f>'Rental - Annual Proforma'!J8</f>
        <v>46022</v>
      </c>
      <c r="R39" s="102">
        <f>'Rental - Annual Proforma'!K8</f>
        <v>46387</v>
      </c>
      <c r="S39" s="186">
        <f>'Rental - Annual Proforma'!L8</f>
        <v>46752</v>
      </c>
    </row>
    <row r="40" spans="2:19">
      <c r="B40" s="124" t="s">
        <v>552</v>
      </c>
      <c r="C40" s="116">
        <v>3.5000000000000003E-2</v>
      </c>
      <c r="F40" s="119" t="s">
        <v>201</v>
      </c>
      <c r="J40" s="454">
        <f ca="1">'Condo - Returns'!G23</f>
        <v>1.7797723792744</v>
      </c>
      <c r="K40" s="185">
        <f ca="1">'Rental - Returns'!G23</f>
        <v>1.8635363045464139</v>
      </c>
      <c r="N40" s="119" t="s">
        <v>376</v>
      </c>
      <c r="S40" s="114"/>
    </row>
    <row r="41" spans="2:19">
      <c r="B41" s="124" t="s">
        <v>553</v>
      </c>
      <c r="C41" s="116">
        <v>3.5000000000000003E-2</v>
      </c>
      <c r="F41" s="119" t="s">
        <v>202</v>
      </c>
      <c r="J41" s="169">
        <f ca="1">'Condo - Returns'!G24</f>
        <v>41664231.365021676</v>
      </c>
      <c r="K41" s="166">
        <f ca="1">'Rental - Returns'!G24</f>
        <v>46139844.576434828</v>
      </c>
      <c r="N41" s="188" t="s">
        <v>311</v>
      </c>
      <c r="O41" s="169">
        <f ca="1">'Rental - Annual Proforma'!H17</f>
        <v>0</v>
      </c>
      <c r="P41" s="169">
        <f ca="1">'Rental - Annual Proforma'!I17</f>
        <v>698610.04333084775</v>
      </c>
      <c r="Q41" s="169">
        <f ca="1">'Rental - Annual Proforma'!J17</f>
        <v>4114539.1347568366</v>
      </c>
      <c r="R41" s="169">
        <f ca="1">'Rental - Annual Proforma'!K17</f>
        <v>4963916.5445394143</v>
      </c>
      <c r="S41" s="166">
        <f ca="1">'Rental - Annual Proforma'!L17</f>
        <v>5137653.6235982915</v>
      </c>
    </row>
    <row r="42" spans="2:19" ht="17" thickBot="1">
      <c r="B42" s="124" t="s">
        <v>159</v>
      </c>
      <c r="C42" s="116">
        <v>0.03</v>
      </c>
      <c r="F42" s="141" t="s">
        <v>203</v>
      </c>
      <c r="G42" s="131"/>
      <c r="H42" s="131"/>
      <c r="I42" s="131"/>
      <c r="J42" s="453">
        <f ca="1">'Condo - Returns'!G22</f>
        <v>0.28855492409508676</v>
      </c>
      <c r="K42" s="184">
        <f ca="1">'Rental - Returns'!G22</f>
        <v>0.30213558945445518</v>
      </c>
      <c r="N42" s="188" t="s">
        <v>284</v>
      </c>
      <c r="O42" s="169">
        <f ca="1">'Rental - Annual Proforma'!H31</f>
        <v>0</v>
      </c>
      <c r="P42" s="169">
        <f ca="1">'Rental - Annual Proforma'!I31</f>
        <v>303681.12884734006</v>
      </c>
      <c r="Q42" s="169">
        <f ca="1">'Rental - Annual Proforma'!J31</f>
        <v>1788562.7340427055</v>
      </c>
      <c r="R42" s="169">
        <f ca="1">'Rental - Annual Proforma'!K31</f>
        <v>1872323.4859361821</v>
      </c>
      <c r="S42" s="166">
        <f ca="1">'Rental - Annual Proforma'!L31</f>
        <v>1937854.8079439488</v>
      </c>
    </row>
    <row r="43" spans="2:19" ht="17" thickBot="1">
      <c r="B43" s="124" t="s">
        <v>198</v>
      </c>
      <c r="C43" s="116">
        <v>0.03</v>
      </c>
      <c r="N43" s="189" t="s">
        <v>290</v>
      </c>
      <c r="O43" s="290" t="str">
        <f ca="1">'Rental - Annual Proforma'!H32</f>
        <v xml:space="preserve"> </v>
      </c>
      <c r="P43" s="290">
        <f ca="1">'Rental - Annual Proforma'!I32</f>
        <v>0.43469333392265985</v>
      </c>
      <c r="Q43" s="290">
        <f ca="1">'Rental - Annual Proforma'!J32</f>
        <v>0.43469333392265985</v>
      </c>
      <c r="R43" s="290">
        <f ca="1">'Rental - Annual Proforma'!K32</f>
        <v>0.37718673735476932</v>
      </c>
      <c r="S43" s="291">
        <f ca="1">'Rental - Annual Proforma'!L32</f>
        <v>0.37718673735476954</v>
      </c>
    </row>
    <row r="44" spans="2:19">
      <c r="B44" s="119" t="s">
        <v>153</v>
      </c>
      <c r="C44" s="117"/>
      <c r="F44" s="107" t="s">
        <v>571</v>
      </c>
      <c r="G44" s="127"/>
      <c r="H44" s="127"/>
      <c r="I44" s="127"/>
      <c r="J44" s="127"/>
      <c r="K44" s="108"/>
      <c r="N44" s="188" t="s">
        <v>286</v>
      </c>
      <c r="O44" s="169">
        <f ca="1">'Rental - Annual Proforma'!H38</f>
        <v>0</v>
      </c>
      <c r="P44" s="169">
        <f ca="1">'Rental - Annual Proforma'!I38</f>
        <v>389014.65039778507</v>
      </c>
      <c r="Q44" s="169">
        <f ca="1">'Rental - Annual Proforma'!J38</f>
        <v>2291143.7050403468</v>
      </c>
      <c r="R44" s="169">
        <f ca="1">'Rental - Annual Proforma'!K38</f>
        <v>3052014.3758805352</v>
      </c>
      <c r="S44" s="166">
        <f ca="1">'Rental - Annual Proforma'!L38</f>
        <v>3158834.8790363516</v>
      </c>
    </row>
    <row r="45" spans="2:19">
      <c r="B45" s="124" t="s">
        <v>84</v>
      </c>
      <c r="C45" s="116">
        <v>3.5000000000000003E-2</v>
      </c>
      <c r="F45" s="120"/>
      <c r="K45" s="114"/>
      <c r="N45" s="189" t="s">
        <v>285</v>
      </c>
      <c r="O45" s="290" t="str">
        <f ca="1">'Rental - Annual Proforma'!H39</f>
        <v xml:space="preserve"> </v>
      </c>
      <c r="P45" s="290">
        <f ca="1">'Rental - Annual Proforma'!I39</f>
        <v>0.55684090732940628</v>
      </c>
      <c r="Q45" s="290">
        <f ca="1">'Rental - Annual Proforma'!J39</f>
        <v>0.55684090732940617</v>
      </c>
      <c r="R45" s="290">
        <f ca="1">'Rental - Annual Proforma'!K39</f>
        <v>0.61483998542197926</v>
      </c>
      <c r="S45" s="291">
        <f ca="1">'Rental - Annual Proforma'!L39</f>
        <v>0.61483998542197904</v>
      </c>
    </row>
    <row r="46" spans="2:19">
      <c r="B46" s="124" t="s">
        <v>159</v>
      </c>
      <c r="C46" s="116">
        <v>0.03</v>
      </c>
      <c r="F46" s="119" t="s">
        <v>527</v>
      </c>
      <c r="K46" s="114"/>
      <c r="N46" s="135"/>
      <c r="O46" s="169"/>
      <c r="P46" s="169"/>
      <c r="Q46" s="169"/>
      <c r="R46" s="169"/>
      <c r="S46" s="166"/>
    </row>
    <row r="47" spans="2:19">
      <c r="B47" s="124" t="s">
        <v>198</v>
      </c>
      <c r="C47" s="116">
        <v>0.03</v>
      </c>
      <c r="F47" s="124" t="s">
        <v>568</v>
      </c>
      <c r="K47" s="140">
        <f ca="1">-SUMIF(P58:S58,"&lt;0",P58:S58)</f>
        <v>0</v>
      </c>
      <c r="N47" s="119" t="s">
        <v>159</v>
      </c>
      <c r="O47" s="169"/>
      <c r="P47" s="169"/>
      <c r="Q47" s="169"/>
      <c r="R47" s="169"/>
      <c r="S47" s="166"/>
    </row>
    <row r="48" spans="2:19">
      <c r="B48" s="121" t="s">
        <v>158</v>
      </c>
      <c r="C48" s="117"/>
      <c r="F48" s="124" t="s">
        <v>569</v>
      </c>
      <c r="K48" s="502">
        <f ca="1">ROUND(K47/R25,0)</f>
        <v>0</v>
      </c>
      <c r="N48" s="188" t="s">
        <v>384</v>
      </c>
      <c r="O48" s="169">
        <f>'Rental - Annual Proforma'!H46</f>
        <v>0</v>
      </c>
      <c r="P48" s="169">
        <f>'Rental - Annual Proforma'!I46</f>
        <v>1015877.3757759173</v>
      </c>
      <c r="Q48" s="169">
        <f>'Rental - Annual Proforma'!J46</f>
        <v>8808395.6678868607</v>
      </c>
      <c r="R48" s="169">
        <f>'Rental - Annual Proforma'!K46</f>
        <v>11385290.869296528</v>
      </c>
      <c r="S48" s="166">
        <f>'Rental - Annual Proforma'!L46</f>
        <v>11726849.595375422</v>
      </c>
    </row>
    <row r="49" spans="2:19">
      <c r="B49" s="124" t="s">
        <v>84</v>
      </c>
      <c r="C49" s="116">
        <v>7.0000000000000007E-2</v>
      </c>
      <c r="F49" s="124" t="s">
        <v>150</v>
      </c>
      <c r="K49" s="140">
        <f>K9</f>
        <v>66800000</v>
      </c>
      <c r="N49" s="188" t="s">
        <v>357</v>
      </c>
      <c r="O49" s="169">
        <f>'Rental - Annual Proforma'!H52+'Rental - Annual Proforma'!H61+'Rental - Annual Proforma'!H65+'Rental - Annual Proforma'!H73+'Rental - Annual Proforma'!H76</f>
        <v>0</v>
      </c>
      <c r="P49" s="169">
        <f>'Rental - Annual Proforma'!I52+'Rental - Annual Proforma'!I61+'Rental - Annual Proforma'!I65+'Rental - Annual Proforma'!I73+'Rental - Annual Proforma'!I76</f>
        <v>606141.78776539746</v>
      </c>
      <c r="Q49" s="169">
        <f>'Rental - Annual Proforma'!J52+'Rental - Annual Proforma'!J61+'Rental - Annual Proforma'!J65+'Rental - Annual Proforma'!J73+'Rental - Annual Proforma'!J76</f>
        <v>5255690.1303170994</v>
      </c>
      <c r="R49" s="169">
        <f>'Rental - Annual Proforma'!K52+'Rental - Annual Proforma'!K61+'Rental - Annual Proforma'!K65+'Rental - Annual Proforma'!K73+'Rental - Annual Proforma'!K76</f>
        <v>6793241.7103722375</v>
      </c>
      <c r="S49" s="166">
        <f>'Rental - Annual Proforma'!L52+'Rental - Annual Proforma'!L61+'Rental - Annual Proforma'!L65+'Rental - Annual Proforma'!L73+'Rental - Annual Proforma'!L76</f>
        <v>6997038.9616834037</v>
      </c>
    </row>
    <row r="50" spans="2:19">
      <c r="B50" s="124" t="s">
        <v>159</v>
      </c>
      <c r="C50" s="116">
        <v>0.24</v>
      </c>
      <c r="F50" s="124" t="s">
        <v>369</v>
      </c>
      <c r="K50" s="194">
        <f ca="1">Debt!U7</f>
        <v>79788930.496884599</v>
      </c>
      <c r="N50" s="189" t="s">
        <v>290</v>
      </c>
      <c r="O50" s="290" t="str">
        <f>IFERROR(O49/O48," ")</f>
        <v xml:space="preserve"> </v>
      </c>
      <c r="P50" s="290">
        <f>IFERROR(P49/P48," ")</f>
        <v>0.59666826156299846</v>
      </c>
      <c r="Q50" s="290">
        <f>IFERROR(Q49/Q48," ")</f>
        <v>0.59666826156299835</v>
      </c>
      <c r="R50" s="290">
        <f>IFERROR(R49/R48," ")</f>
        <v>0.59666826156299835</v>
      </c>
      <c r="S50" s="291">
        <f>IFERROR(S49/S48," ")</f>
        <v>0.59666826156299835</v>
      </c>
    </row>
    <row r="51" spans="2:19">
      <c r="B51" s="124" t="s">
        <v>198</v>
      </c>
      <c r="C51" s="116">
        <v>3.5000000000000003E-2</v>
      </c>
      <c r="F51" s="124" t="s">
        <v>457</v>
      </c>
      <c r="K51" s="194">
        <f ca="1">Debt!M10</f>
        <v>12320930.496884599</v>
      </c>
      <c r="N51" s="188" t="s">
        <v>286</v>
      </c>
      <c r="O51" s="169">
        <f>'Rental - Annual Proforma'!H78</f>
        <v>0</v>
      </c>
      <c r="P51" s="169">
        <f>'Rental - Annual Proforma'!I78</f>
        <v>409735.5880105198</v>
      </c>
      <c r="Q51" s="169">
        <f>'Rental - Annual Proforma'!J78</f>
        <v>3552705.5375697613</v>
      </c>
      <c r="R51" s="169">
        <f>'Rental - Annual Proforma'!K78</f>
        <v>4592049.1589242909</v>
      </c>
      <c r="S51" s="166">
        <f>'Rental - Annual Proforma'!L78</f>
        <v>4729810.6336920178</v>
      </c>
    </row>
    <row r="52" spans="2:19">
      <c r="B52" s="119" t="s">
        <v>154</v>
      </c>
      <c r="C52" s="118"/>
      <c r="F52" s="120"/>
      <c r="K52" s="114"/>
      <c r="N52" s="189" t="s">
        <v>285</v>
      </c>
      <c r="O52" s="290" t="str">
        <f>'Rental - Annual Proforma'!H79</f>
        <v xml:space="preserve"> </v>
      </c>
      <c r="P52" s="290">
        <f>'Rental - Annual Proforma'!I79</f>
        <v>0.40333173843700154</v>
      </c>
      <c r="Q52" s="290">
        <f>'Rental - Annual Proforma'!J79</f>
        <v>0.4033317384370016</v>
      </c>
      <c r="R52" s="290">
        <f>'Rental - Annual Proforma'!K79</f>
        <v>0.40333173843700171</v>
      </c>
      <c r="S52" s="291">
        <f>'Rental - Annual Proforma'!L79</f>
        <v>0.4033317384370016</v>
      </c>
    </row>
    <row r="53" spans="2:19">
      <c r="B53" s="124" t="s">
        <v>84</v>
      </c>
      <c r="C53" s="116">
        <v>0.04</v>
      </c>
      <c r="F53" s="119" t="s">
        <v>468</v>
      </c>
      <c r="K53" s="114"/>
      <c r="N53" s="189"/>
      <c r="O53" s="169"/>
      <c r="P53" s="169"/>
      <c r="Q53" s="169"/>
      <c r="R53" s="169"/>
      <c r="S53" s="166"/>
    </row>
    <row r="54" spans="2:19">
      <c r="B54" s="124" t="s">
        <v>159</v>
      </c>
      <c r="C54" s="116">
        <v>7.0000000000000007E-2</v>
      </c>
      <c r="F54" s="124" t="s">
        <v>570</v>
      </c>
      <c r="K54" s="140">
        <f>K9</f>
        <v>66800000</v>
      </c>
      <c r="N54" s="121" t="s">
        <v>364</v>
      </c>
      <c r="O54" s="169">
        <f ca="1">'Rental - Annual Proforma'!H81</f>
        <v>0</v>
      </c>
      <c r="P54" s="169">
        <f ca="1">'Rental - Annual Proforma'!I81</f>
        <v>798750.23840830487</v>
      </c>
      <c r="Q54" s="169">
        <f ca="1">'Rental - Annual Proforma'!J81</f>
        <v>5843849.2426101081</v>
      </c>
      <c r="R54" s="169">
        <f ca="1">'Rental - Annual Proforma'!K81</f>
        <v>7644063.5348048266</v>
      </c>
      <c r="S54" s="166">
        <f ca="1">'Rental - Annual Proforma'!L81</f>
        <v>7888645.5127283689</v>
      </c>
    </row>
    <row r="55" spans="2:19" ht="17" thickBot="1">
      <c r="B55" s="124" t="s">
        <v>198</v>
      </c>
      <c r="C55" s="116">
        <v>5.5E-2</v>
      </c>
      <c r="F55" s="503" t="s">
        <v>369</v>
      </c>
      <c r="G55" s="131"/>
      <c r="H55" s="131"/>
      <c r="I55" s="131"/>
      <c r="J55" s="131"/>
      <c r="K55" s="504">
        <f ca="1">Debt!AI7</f>
        <v>50574450.703279838</v>
      </c>
      <c r="N55" s="119"/>
      <c r="O55" s="169"/>
      <c r="P55" s="169"/>
      <c r="Q55" s="169"/>
      <c r="R55" s="169"/>
      <c r="S55" s="166"/>
    </row>
    <row r="56" spans="2:19">
      <c r="B56" s="121" t="s">
        <v>535</v>
      </c>
      <c r="C56" s="460" t="s">
        <v>536</v>
      </c>
      <c r="N56" s="119" t="s">
        <v>223</v>
      </c>
      <c r="O56" s="169">
        <f>'Rental - Annual Proforma'!H86</f>
        <v>0</v>
      </c>
      <c r="P56" s="169">
        <f>'Rental - Annual Proforma'!I86</f>
        <v>0</v>
      </c>
      <c r="Q56" s="169">
        <f>'Rental - Annual Proforma'!J86</f>
        <v>5089046.666666667</v>
      </c>
      <c r="R56" s="169">
        <f ca="1">'Rental - Annual Proforma'!K86</f>
        <v>5585225.1347819222</v>
      </c>
      <c r="S56" s="166">
        <f ca="1">'Rental - Annual Proforma'!L86</f>
        <v>5585225.1347819222</v>
      </c>
    </row>
    <row r="57" spans="2:19" ht="17" thickBot="1">
      <c r="B57" s="125" t="s">
        <v>558</v>
      </c>
      <c r="C57" s="160">
        <v>5</v>
      </c>
      <c r="N57" s="135" t="s">
        <v>289</v>
      </c>
      <c r="O57" s="415" t="str">
        <f ca="1">'Rental - Annual Proforma'!H87</f>
        <v xml:space="preserve"> </v>
      </c>
      <c r="P57" s="415" t="str">
        <f ca="1">'Rental - Annual Proforma'!I87</f>
        <v xml:space="preserve"> </v>
      </c>
      <c r="Q57" s="415">
        <f ca="1">'Rental - Annual Proforma'!J87</f>
        <v>1.1483190517562767</v>
      </c>
      <c r="R57" s="415">
        <f ca="1">'Rental - Annual Proforma'!K87</f>
        <v>1.3686222757971767</v>
      </c>
      <c r="S57" s="416">
        <f ca="1">'Rental - Annual Proforma'!L87</f>
        <v>1.4124131655144794</v>
      </c>
    </row>
    <row r="58" spans="2:19">
      <c r="N58" s="144" t="s">
        <v>287</v>
      </c>
      <c r="O58" s="190">
        <f ca="1">'Rental - Annual Proforma'!H89</f>
        <v>0</v>
      </c>
      <c r="P58" s="190">
        <f ca="1">'Rental - Annual Proforma'!I89</f>
        <v>798750.23840830487</v>
      </c>
      <c r="Q58" s="190">
        <f ca="1">'Rental - Annual Proforma'!J89</f>
        <v>754802.57594344113</v>
      </c>
      <c r="R58" s="190">
        <f ca="1">'Rental - Annual Proforma'!K89</f>
        <v>2058838.4000229044</v>
      </c>
      <c r="S58" s="191">
        <f ca="1">'Rental - Annual Proforma'!L89</f>
        <v>2303420.3779464466</v>
      </c>
    </row>
    <row r="59" spans="2:19" ht="17" thickBot="1">
      <c r="N59" s="136" t="s">
        <v>288</v>
      </c>
      <c r="O59" s="240">
        <f ca="1">'Rental - Annual Proforma'!H90</f>
        <v>0</v>
      </c>
      <c r="P59" s="240">
        <f ca="1">'Rental - Annual Proforma'!I90</f>
        <v>1.4949114706878597E-2</v>
      </c>
      <c r="Q59" s="240">
        <f ca="1">'Rental - Annual Proforma'!J90</f>
        <v>1.4126606473772322E-2</v>
      </c>
      <c r="R59" s="240">
        <f ca="1">'Rental - Annual Proforma'!K90</f>
        <v>3.8532459741358861E-2</v>
      </c>
      <c r="S59" s="241">
        <f ca="1">'Rental - Annual Proforma'!L90</f>
        <v>4.3109965784424685E-2</v>
      </c>
    </row>
  </sheetData>
  <mergeCells count="5">
    <mergeCell ref="N7:S7"/>
    <mergeCell ref="N13:S13"/>
    <mergeCell ref="N26:S26"/>
    <mergeCell ref="F7:K7"/>
    <mergeCell ref="F14:K14"/>
  </mergeCells>
  <phoneticPr fontId="8" type="noConversion"/>
  <dataValidations count="1">
    <dataValidation type="list" allowBlank="1" showInputMessage="1" showErrorMessage="1" sqref="C56" xr:uid="{AC764B8A-E942-1641-9C3F-96025EC08DDB}">
      <formula1>"Yes,No"</formula1>
    </dataValidation>
  </dataValidations>
  <pageMargins left="0.7" right="0.7" top="0.75" bottom="0.75" header="0.3" footer="0.3"/>
  <pageSetup scale="55" fitToWidth="6" fitToHeight="5" orientation="landscape" horizontalDpi="0" verticalDpi="0"/>
  <colBreaks count="2" manualBreakCount="2">
    <brk id="4" max="1048575" man="1"/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02E5-CA20-4F47-97E8-C72AD69BC0D3}">
  <sheetPr codeName="Sheet3"/>
  <dimension ref="A2:BW214"/>
  <sheetViews>
    <sheetView topLeftCell="W10" zoomScaleNormal="100" zoomScaleSheetLayoutView="93" workbookViewId="0">
      <selection activeCell="AB7" sqref="AB7"/>
    </sheetView>
  </sheetViews>
  <sheetFormatPr baseColWidth="10" defaultRowHeight="16"/>
  <cols>
    <col min="1" max="1" width="14" customWidth="1"/>
    <col min="7" max="7" width="12.5" bestFit="1" customWidth="1"/>
    <col min="13" max="13" width="11.1640625" bestFit="1" customWidth="1"/>
    <col min="21" max="21" width="11.1640625" bestFit="1" customWidth="1"/>
    <col min="28" max="28" width="11.1640625" bestFit="1" customWidth="1"/>
    <col min="29" max="29" width="15" bestFit="1" customWidth="1"/>
    <col min="42" max="42" width="12.6640625" bestFit="1" customWidth="1"/>
  </cols>
  <sheetData>
    <row r="2" spans="2:42">
      <c r="B2" s="164" t="s">
        <v>461</v>
      </c>
    </row>
    <row r="4" spans="2:42">
      <c r="B4" s="75"/>
      <c r="C4" s="76" t="s">
        <v>476</v>
      </c>
      <c r="D4" s="75"/>
      <c r="E4" s="75"/>
      <c r="F4" s="75"/>
      <c r="G4" s="75"/>
      <c r="H4" s="75"/>
      <c r="I4" s="75"/>
      <c r="J4" s="75"/>
      <c r="K4" s="75"/>
      <c r="L4" s="75"/>
      <c r="M4" s="75"/>
      <c r="Q4" s="75"/>
      <c r="R4" s="76" t="s">
        <v>473</v>
      </c>
      <c r="S4" s="75"/>
      <c r="T4" s="75"/>
      <c r="U4" s="75"/>
      <c r="V4" s="75"/>
      <c r="W4" s="75"/>
      <c r="X4" s="75"/>
      <c r="Y4" s="75"/>
      <c r="Z4" s="75"/>
      <c r="AA4" s="75"/>
      <c r="AB4" s="75"/>
      <c r="AE4" s="75"/>
      <c r="AF4" s="76" t="s">
        <v>474</v>
      </c>
      <c r="AG4" s="75"/>
      <c r="AH4" s="75"/>
      <c r="AI4" s="75"/>
      <c r="AJ4" s="75"/>
      <c r="AK4" s="75"/>
      <c r="AL4" s="75"/>
      <c r="AM4" s="75"/>
      <c r="AN4" s="75"/>
      <c r="AO4" s="75"/>
      <c r="AP4" s="75"/>
    </row>
    <row r="5" spans="2:42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419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419"/>
    </row>
    <row r="6" spans="2:42" ht="17" thickBot="1">
      <c r="B6" s="75"/>
      <c r="C6" s="75" t="s">
        <v>205</v>
      </c>
      <c r="D6" s="75"/>
      <c r="E6" s="75"/>
      <c r="F6" s="75"/>
      <c r="G6" s="75"/>
      <c r="H6" s="75"/>
      <c r="I6" s="75"/>
      <c r="J6" s="75" t="s">
        <v>458</v>
      </c>
      <c r="K6" s="75"/>
      <c r="L6" s="75"/>
      <c r="M6" s="75"/>
      <c r="Q6" s="75"/>
      <c r="R6" s="75" t="s">
        <v>205</v>
      </c>
      <c r="S6" s="75"/>
      <c r="T6" s="75"/>
      <c r="U6" s="75"/>
      <c r="V6" s="75"/>
      <c r="W6" s="75"/>
      <c r="X6" s="75"/>
      <c r="Y6" s="75"/>
      <c r="Z6" s="75"/>
      <c r="AA6" s="75"/>
      <c r="AB6" s="75"/>
      <c r="AE6" s="75"/>
      <c r="AF6" s="75" t="s">
        <v>205</v>
      </c>
      <c r="AG6" s="75"/>
      <c r="AH6" s="75"/>
      <c r="AI6" s="75"/>
      <c r="AJ6" s="75"/>
      <c r="AK6" s="75"/>
      <c r="AL6" s="75"/>
      <c r="AM6" s="75"/>
      <c r="AN6" s="75"/>
      <c r="AO6" s="75"/>
      <c r="AP6" s="75"/>
    </row>
    <row r="7" spans="2:42">
      <c r="B7" s="75"/>
      <c r="C7" s="77" t="s">
        <v>206</v>
      </c>
      <c r="D7" s="78"/>
      <c r="E7" s="78"/>
      <c r="F7" s="79">
        <f>Summary!K9</f>
        <v>66800000</v>
      </c>
      <c r="G7" s="75"/>
      <c r="H7" s="75"/>
      <c r="I7" s="75"/>
      <c r="J7" s="90" t="s">
        <v>150</v>
      </c>
      <c r="K7" s="88"/>
      <c r="L7" s="88"/>
      <c r="M7" s="89">
        <f>F7</f>
        <v>66800000</v>
      </c>
      <c r="Q7" s="75"/>
      <c r="R7" s="77" t="s">
        <v>206</v>
      </c>
      <c r="S7" s="78"/>
      <c r="T7" s="78"/>
      <c r="U7" s="79">
        <f ca="1">AB13</f>
        <v>79788930.496884599</v>
      </c>
      <c r="V7" s="75"/>
      <c r="W7" s="75"/>
      <c r="X7" s="75"/>
      <c r="Y7" s="90" t="s">
        <v>367</v>
      </c>
      <c r="Z7" s="88"/>
      <c r="AA7" s="88"/>
      <c r="AB7" s="89">
        <f>LOOKUP(Summary!$C$12+3,'Rental - Annual Proforma'!$E$9:$T$9,'Rental - Annual Proforma'!$E$78:$T$78)/Summary!C54</f>
        <v>67568723.338457391</v>
      </c>
      <c r="AC7" s="159"/>
      <c r="AE7" s="75"/>
      <c r="AF7" s="77" t="s">
        <v>206</v>
      </c>
      <c r="AG7" s="78"/>
      <c r="AH7" s="78"/>
      <c r="AI7" s="79">
        <f ca="1">AP13</f>
        <v>50574450.703279838</v>
      </c>
      <c r="AJ7" s="75"/>
      <c r="AK7" s="75"/>
      <c r="AL7" s="75"/>
      <c r="AM7" s="90" t="s">
        <v>367</v>
      </c>
      <c r="AN7" s="88"/>
      <c r="AO7" s="88"/>
      <c r="AP7" s="89">
        <f>LOOKUP(Summary!$C$12+3,'Condo - Annual Proforma'!$E$9:$T$9,'Condo - Annual Proforma'!$E$87:$T$87)/Summary!C54</f>
        <v>67568723.33845742</v>
      </c>
    </row>
    <row r="8" spans="2:42">
      <c r="B8" s="75"/>
      <c r="C8" s="80" t="s">
        <v>275</v>
      </c>
      <c r="D8" s="81"/>
      <c r="E8" s="81"/>
      <c r="F8" s="100">
        <f>Summary!C17</f>
        <v>3.7499999999999999E-2</v>
      </c>
      <c r="G8" s="75"/>
      <c r="H8" s="75"/>
      <c r="I8" s="75"/>
      <c r="J8" s="91" t="s">
        <v>370</v>
      </c>
      <c r="K8" s="75"/>
      <c r="L8" s="178">
        <v>0.01</v>
      </c>
      <c r="M8" s="93">
        <f>L8*M7</f>
        <v>668000</v>
      </c>
      <c r="Q8" s="75"/>
      <c r="R8" s="80" t="s">
        <v>207</v>
      </c>
      <c r="S8" s="81"/>
      <c r="T8" s="81"/>
      <c r="U8" s="82">
        <f>Summary!C21</f>
        <v>7.0000000000000007E-2</v>
      </c>
      <c r="V8" s="75"/>
      <c r="W8" s="75"/>
      <c r="X8" s="75"/>
      <c r="Y8" s="91" t="s">
        <v>368</v>
      </c>
      <c r="Z8" s="75"/>
      <c r="AA8" s="75"/>
      <c r="AB8" s="93">
        <f ca="1">LOOKUP(Summary!$C$12+3,'Rental - Annual Proforma'!$E$9:$T$9,'Rental - Annual Proforma'!$E$38:$T$38)/Summary!C53</f>
        <v>78970871.975908786</v>
      </c>
      <c r="AC8" s="159"/>
      <c r="AE8" s="75"/>
      <c r="AF8" s="80" t="s">
        <v>207</v>
      </c>
      <c r="AG8" s="81"/>
      <c r="AH8" s="81"/>
      <c r="AI8" s="82">
        <f>U8</f>
        <v>7.0000000000000007E-2</v>
      </c>
      <c r="AJ8" s="75"/>
      <c r="AK8" s="75"/>
      <c r="AL8" s="75"/>
      <c r="AM8" s="91" t="s">
        <v>475</v>
      </c>
      <c r="AN8" s="75"/>
      <c r="AO8" s="75"/>
      <c r="AP8" s="93">
        <f ca="1">(LOOKUP(Summary!$C$12+3,'Condo - Annual Proforma'!$E$9:$T$9,'Condo - Annual Proforma'!$E$47:$T$47)-LOOKUP(Summary!$C$12+3,'Condo - Annual Proforma'!$E$9:$T$9,'Condo - Annual Proforma'!$E$12:$T$12)+LOOKUP(Summary!$C$12+3,'Condo - Annual Proforma'!$E$9:$T$9,'Condo - Annual Proforma'!$E$23:$T$23))/Summary!C53</f>
        <v>10510586.436905537</v>
      </c>
    </row>
    <row r="9" spans="2:42" ht="17" thickBot="1">
      <c r="B9" s="75"/>
      <c r="C9" s="80" t="s">
        <v>208</v>
      </c>
      <c r="D9" s="81"/>
      <c r="E9" s="81"/>
      <c r="F9" s="83">
        <v>30</v>
      </c>
      <c r="G9" s="75"/>
      <c r="H9" s="75"/>
      <c r="I9" s="75"/>
      <c r="J9" s="91" t="s">
        <v>369</v>
      </c>
      <c r="K9" s="75"/>
      <c r="L9" s="75"/>
      <c r="M9" s="93">
        <f ca="1">U7</f>
        <v>79788930.496884599</v>
      </c>
      <c r="Q9" s="75"/>
      <c r="R9" s="80" t="s">
        <v>208</v>
      </c>
      <c r="S9" s="81"/>
      <c r="T9" s="81"/>
      <c r="U9" s="83">
        <v>10</v>
      </c>
      <c r="V9" s="75"/>
      <c r="W9" s="75"/>
      <c r="X9" s="75"/>
      <c r="Y9" s="179" t="s">
        <v>136</v>
      </c>
      <c r="Z9" s="180"/>
      <c r="AA9" s="180"/>
      <c r="AB9" s="181">
        <f ca="1">SUM(AB7:AB8)</f>
        <v>146539595.31436616</v>
      </c>
      <c r="AE9" s="75"/>
      <c r="AF9" s="80" t="s">
        <v>208</v>
      </c>
      <c r="AG9" s="81"/>
      <c r="AH9" s="81"/>
      <c r="AI9" s="83">
        <f>U9</f>
        <v>10</v>
      </c>
      <c r="AJ9" s="75"/>
      <c r="AK9" s="75"/>
      <c r="AL9" s="75"/>
      <c r="AM9" s="179" t="s">
        <v>136</v>
      </c>
      <c r="AN9" s="180"/>
      <c r="AO9" s="180"/>
      <c r="AP9" s="181">
        <f ca="1">SUM(AP7:AP8)</f>
        <v>78079309.775362954</v>
      </c>
    </row>
    <row r="10" spans="2:42" ht="17" thickBot="1">
      <c r="B10" s="75"/>
      <c r="C10" s="80" t="s">
        <v>209</v>
      </c>
      <c r="D10" s="81"/>
      <c r="E10" s="81"/>
      <c r="F10" s="84">
        <v>30</v>
      </c>
      <c r="G10" s="75"/>
      <c r="H10" s="75"/>
      <c r="I10" s="75"/>
      <c r="J10" s="91" t="s">
        <v>457</v>
      </c>
      <c r="K10" s="75"/>
      <c r="L10" s="75"/>
      <c r="M10" s="93">
        <f ca="1">M9-M8-M7</f>
        <v>12320930.496884599</v>
      </c>
      <c r="Q10" s="75"/>
      <c r="R10" s="80" t="s">
        <v>209</v>
      </c>
      <c r="S10" s="81"/>
      <c r="T10" s="81"/>
      <c r="U10" s="84">
        <f>Summary!C22</f>
        <v>30</v>
      </c>
      <c r="V10" s="75"/>
      <c r="W10" s="75"/>
      <c r="X10" s="75"/>
      <c r="Y10" s="75"/>
      <c r="Z10" s="75"/>
      <c r="AA10" s="75"/>
      <c r="AB10" s="75"/>
      <c r="AE10" s="75"/>
      <c r="AF10" s="80" t="s">
        <v>209</v>
      </c>
      <c r="AG10" s="81"/>
      <c r="AH10" s="81"/>
      <c r="AI10" s="84">
        <f>U10</f>
        <v>30</v>
      </c>
      <c r="AJ10" s="75"/>
      <c r="AK10" s="75"/>
      <c r="AL10" s="75"/>
      <c r="AM10" s="75"/>
      <c r="AN10" s="75"/>
      <c r="AO10" s="75"/>
      <c r="AP10" s="75"/>
    </row>
    <row r="11" spans="2:42" ht="17" thickBot="1">
      <c r="B11" s="75"/>
      <c r="C11" s="80" t="s">
        <v>210</v>
      </c>
      <c r="D11" s="81"/>
      <c r="E11" s="81"/>
      <c r="F11" s="84">
        <v>12</v>
      </c>
      <c r="G11" s="75"/>
      <c r="H11" s="75"/>
      <c r="I11" s="75"/>
      <c r="J11" s="179" t="s">
        <v>371</v>
      </c>
      <c r="K11" s="180"/>
      <c r="L11" s="180"/>
      <c r="M11" s="181">
        <f ca="1">Summary!K8-Debt!M10</f>
        <v>41110343.131698415</v>
      </c>
      <c r="Q11" s="75"/>
      <c r="R11" s="80" t="s">
        <v>210</v>
      </c>
      <c r="S11" s="81"/>
      <c r="T11" s="81"/>
      <c r="U11" s="84">
        <v>12</v>
      </c>
      <c r="V11" s="75"/>
      <c r="W11" s="75"/>
      <c r="X11" s="75"/>
      <c r="Y11" s="90" t="s">
        <v>453</v>
      </c>
      <c r="Z11" s="88"/>
      <c r="AA11" s="88"/>
      <c r="AB11" s="89">
        <f ca="1">AB9*Summary!C23</f>
        <v>109904696.48577462</v>
      </c>
      <c r="AE11" s="75"/>
      <c r="AF11" s="80" t="s">
        <v>210</v>
      </c>
      <c r="AG11" s="81"/>
      <c r="AH11" s="81"/>
      <c r="AI11" s="84">
        <v>12</v>
      </c>
      <c r="AJ11" s="75"/>
      <c r="AK11" s="75"/>
      <c r="AL11" s="75"/>
      <c r="AM11" s="90" t="s">
        <v>453</v>
      </c>
      <c r="AN11" s="88"/>
      <c r="AO11" s="88"/>
      <c r="AP11" s="89">
        <f ca="1">AP9*Summary!C23</f>
        <v>58559482.331522211</v>
      </c>
    </row>
    <row r="12" spans="2:42">
      <c r="B12" s="75"/>
      <c r="C12" s="80" t="s">
        <v>211</v>
      </c>
      <c r="D12" s="81"/>
      <c r="E12" s="81"/>
      <c r="F12" s="84">
        <f>IF(F9=F10,$F$7*$F$8/F11,-PMT(F8/F11,(F10-F9)*F11,F7))</f>
        <v>208750</v>
      </c>
      <c r="G12" s="75"/>
      <c r="H12" s="75"/>
      <c r="I12" s="75"/>
      <c r="J12" s="75"/>
      <c r="K12" s="75"/>
      <c r="L12" s="75"/>
      <c r="M12" s="75"/>
      <c r="Q12" s="75"/>
      <c r="R12" s="80" t="s">
        <v>211</v>
      </c>
      <c r="S12" s="81"/>
      <c r="T12" s="81"/>
      <c r="U12" s="84">
        <f ca="1">-PMT(U8/U11,(U10-U9)*U11,U7)</f>
        <v>618602.7288840299</v>
      </c>
      <c r="V12" s="75"/>
      <c r="W12" s="75"/>
      <c r="X12" s="75"/>
      <c r="Y12" s="91" t="s">
        <v>454</v>
      </c>
      <c r="Z12" s="75"/>
      <c r="AA12" s="75"/>
      <c r="AB12" s="93">
        <f ca="1">LOOKUP(Summary!$C$12+2,'Rental - Annual Proforma'!$E$9:$T$9,'Rental - Annual Proforma'!$E$81:$T$81)/Summary!C24/(PMT(Debt!U8/12,Debt!U10*Debt!U11,-1,0)*12)</f>
        <v>79788930.496884599</v>
      </c>
      <c r="AD12" s="157"/>
      <c r="AE12" s="75"/>
      <c r="AF12" s="80" t="s">
        <v>211</v>
      </c>
      <c r="AG12" s="81"/>
      <c r="AH12" s="81"/>
      <c r="AI12" s="84">
        <f ca="1">-PMT(AI8/AI11,(AI10-AI9)*AI11,AI7)</f>
        <v>392103.17799762107</v>
      </c>
      <c r="AJ12" s="75"/>
      <c r="AK12" s="75"/>
      <c r="AL12" s="75"/>
      <c r="AM12" s="91" t="s">
        <v>454</v>
      </c>
      <c r="AN12" s="75"/>
      <c r="AO12" s="75"/>
      <c r="AP12" s="93">
        <f ca="1">(LOOKUP(Summary!$C$12+2,'Condo - Annual Proforma'!$E$9:$T$9,'Condo - Annual Proforma'!$E$90:$T$90)-LOOKUP(Summary!$C$12+2,'Condo - Annual Proforma'!$E$9:$T$9,'Condo - Annual Proforma'!$E$12:$T$12)+LOOKUP(Summary!$C$12+2,'Condo - Annual Proforma'!$E$9:$T$9,'Condo - Annual Proforma'!$E$23:$T$23))/Summary!C24/(PMT(Debt!U8/12,Debt!U10*Debt!U11,-1,0)*12)</f>
        <v>50574450.703279838</v>
      </c>
    </row>
    <row r="13" spans="2:42" ht="17" thickBot="1">
      <c r="B13" s="75"/>
      <c r="C13" s="80" t="s">
        <v>212</v>
      </c>
      <c r="D13" s="81"/>
      <c r="E13" s="81"/>
      <c r="F13" s="84">
        <f>F12*F11</f>
        <v>2505000</v>
      </c>
      <c r="G13" s="75"/>
      <c r="H13" s="75"/>
      <c r="I13" s="75"/>
      <c r="J13" s="75"/>
      <c r="K13" s="75"/>
      <c r="L13" s="75"/>
      <c r="M13" s="75"/>
      <c r="Q13" s="75"/>
      <c r="R13" s="80" t="s">
        <v>212</v>
      </c>
      <c r="S13" s="81"/>
      <c r="T13" s="81"/>
      <c r="U13" s="84">
        <f ca="1">U12*U11</f>
        <v>7423232.7466083588</v>
      </c>
      <c r="V13" s="75"/>
      <c r="W13" s="75"/>
      <c r="X13" s="75"/>
      <c r="Y13" s="179" t="s">
        <v>455</v>
      </c>
      <c r="Z13" s="180"/>
      <c r="AA13" s="180"/>
      <c r="AB13" s="181">
        <f ca="1">MIN(AB11:AB12)</f>
        <v>79788930.496884599</v>
      </c>
      <c r="AE13" s="75"/>
      <c r="AF13" s="80" t="s">
        <v>212</v>
      </c>
      <c r="AG13" s="81"/>
      <c r="AH13" s="81"/>
      <c r="AI13" s="84">
        <f ca="1">AI12*AI11</f>
        <v>4705238.135971453</v>
      </c>
      <c r="AJ13" s="75"/>
      <c r="AK13" s="75"/>
      <c r="AL13" s="75"/>
      <c r="AM13" s="179" t="s">
        <v>455</v>
      </c>
      <c r="AN13" s="180"/>
      <c r="AO13" s="180"/>
      <c r="AP13" s="181">
        <f ca="1">MIN(AP11:AP12)</f>
        <v>50574450.703279838</v>
      </c>
    </row>
    <row r="14" spans="2:42" ht="17" thickBot="1">
      <c r="B14" s="75"/>
      <c r="C14" s="85" t="s">
        <v>213</v>
      </c>
      <c r="D14" s="86"/>
      <c r="E14" s="86"/>
      <c r="F14" s="87">
        <f>H19</f>
        <v>3828764.4666666663</v>
      </c>
      <c r="G14" s="75"/>
      <c r="H14" s="75"/>
      <c r="I14" s="75"/>
      <c r="J14" s="75"/>
      <c r="K14" s="75"/>
      <c r="L14" s="75"/>
      <c r="M14" s="75"/>
      <c r="Q14" s="75"/>
      <c r="R14" s="85" t="s">
        <v>213</v>
      </c>
      <c r="S14" s="86"/>
      <c r="T14" s="86"/>
      <c r="U14" s="87">
        <f ca="1">W19</f>
        <v>5585225.1347819222</v>
      </c>
      <c r="V14" s="75"/>
      <c r="W14" s="75"/>
      <c r="X14" s="75"/>
      <c r="Y14" s="75"/>
      <c r="Z14" s="75"/>
      <c r="AA14" s="75"/>
      <c r="AB14" s="75"/>
      <c r="AE14" s="75"/>
      <c r="AF14" s="85" t="s">
        <v>213</v>
      </c>
      <c r="AG14" s="86"/>
      <c r="AH14" s="86"/>
      <c r="AI14" s="87">
        <f ca="1">AK19</f>
        <v>3540211.5492295888</v>
      </c>
      <c r="AJ14" s="75"/>
      <c r="AK14" s="75"/>
      <c r="AL14" s="75"/>
      <c r="AM14" s="75"/>
      <c r="AN14" s="75"/>
      <c r="AO14" s="75"/>
      <c r="AP14" s="75"/>
    </row>
    <row r="15" spans="2:42" ht="17" thickBot="1">
      <c r="B15" s="75"/>
      <c r="C15" s="75"/>
      <c r="D15" s="75"/>
      <c r="E15" s="75"/>
      <c r="F15" s="75"/>
      <c r="G15" s="75"/>
      <c r="H15" s="75"/>
      <c r="I15" s="75"/>
      <c r="J15" s="402" t="s">
        <v>214</v>
      </c>
      <c r="K15" s="396"/>
      <c r="L15" s="403"/>
      <c r="M15" s="398"/>
      <c r="Q15" s="75"/>
      <c r="R15" s="75"/>
      <c r="S15" s="75"/>
      <c r="T15" s="75"/>
      <c r="U15" s="75"/>
      <c r="V15" s="75"/>
      <c r="W15" s="75"/>
      <c r="X15" s="75"/>
      <c r="Y15" s="402" t="s">
        <v>214</v>
      </c>
      <c r="Z15" s="396"/>
      <c r="AA15" s="403"/>
      <c r="AB15" s="398"/>
      <c r="AE15" s="75"/>
      <c r="AF15" s="75"/>
      <c r="AG15" s="75"/>
      <c r="AH15" s="75"/>
      <c r="AI15" s="75"/>
      <c r="AJ15" s="75"/>
      <c r="AK15" s="75"/>
      <c r="AL15" s="75"/>
      <c r="AM15" s="402" t="s">
        <v>214</v>
      </c>
      <c r="AN15" s="396"/>
      <c r="AO15" s="403"/>
      <c r="AP15" s="398"/>
    </row>
    <row r="16" spans="2:42">
      <c r="B16" s="395"/>
      <c r="C16" s="396"/>
      <c r="D16" s="396"/>
      <c r="E16" s="396"/>
      <c r="F16" s="396"/>
      <c r="G16" s="397"/>
      <c r="H16" s="398"/>
      <c r="I16" s="75"/>
      <c r="J16" s="399"/>
      <c r="K16" s="400"/>
      <c r="L16" s="404"/>
      <c r="M16" s="401"/>
      <c r="Q16" s="395"/>
      <c r="R16" s="396"/>
      <c r="S16" s="396"/>
      <c r="T16" s="396"/>
      <c r="U16" s="396"/>
      <c r="V16" s="397"/>
      <c r="W16" s="398"/>
      <c r="X16" s="75"/>
      <c r="Y16" s="399"/>
      <c r="Z16" s="400"/>
      <c r="AA16" s="404"/>
      <c r="AB16" s="401"/>
      <c r="AE16" s="395"/>
      <c r="AF16" s="396"/>
      <c r="AG16" s="396"/>
      <c r="AH16" s="396"/>
      <c r="AI16" s="396"/>
      <c r="AJ16" s="397"/>
      <c r="AK16" s="398"/>
      <c r="AL16" s="75"/>
      <c r="AM16" s="399"/>
      <c r="AN16" s="400"/>
      <c r="AO16" s="404"/>
      <c r="AP16" s="401"/>
    </row>
    <row r="17" spans="2:42">
      <c r="B17" s="399"/>
      <c r="C17" s="400" t="s">
        <v>215</v>
      </c>
      <c r="D17" s="400" t="s">
        <v>215</v>
      </c>
      <c r="E17" s="400" t="s">
        <v>215</v>
      </c>
      <c r="F17" s="400" t="s">
        <v>216</v>
      </c>
      <c r="G17" s="400" t="s">
        <v>565</v>
      </c>
      <c r="H17" s="401" t="s">
        <v>136</v>
      </c>
      <c r="I17" s="75"/>
      <c r="J17" s="399" t="s">
        <v>217</v>
      </c>
      <c r="K17" s="400"/>
      <c r="L17" s="404" t="s">
        <v>218</v>
      </c>
      <c r="M17" s="401"/>
      <c r="Q17" s="399"/>
      <c r="R17" s="400" t="s">
        <v>215</v>
      </c>
      <c r="S17" s="400" t="s">
        <v>215</v>
      </c>
      <c r="T17" s="400" t="s">
        <v>215</v>
      </c>
      <c r="U17" s="400" t="s">
        <v>216</v>
      </c>
      <c r="V17" s="400"/>
      <c r="W17" s="401" t="s">
        <v>136</v>
      </c>
      <c r="X17" s="75"/>
      <c r="Y17" s="399" t="s">
        <v>217</v>
      </c>
      <c r="Z17" s="400"/>
      <c r="AA17" s="404" t="s">
        <v>218</v>
      </c>
      <c r="AB17" s="401"/>
      <c r="AE17" s="399"/>
      <c r="AF17" s="400" t="s">
        <v>215</v>
      </c>
      <c r="AG17" s="400" t="s">
        <v>215</v>
      </c>
      <c r="AH17" s="400" t="s">
        <v>215</v>
      </c>
      <c r="AI17" s="400" t="s">
        <v>216</v>
      </c>
      <c r="AJ17" s="400"/>
      <c r="AK17" s="401" t="s">
        <v>136</v>
      </c>
      <c r="AL17" s="75"/>
      <c r="AM17" s="399" t="s">
        <v>217</v>
      </c>
      <c r="AN17" s="400"/>
      <c r="AO17" s="404" t="s">
        <v>218</v>
      </c>
      <c r="AP17" s="401"/>
    </row>
    <row r="18" spans="2:42">
      <c r="B18" s="405"/>
      <c r="C18" s="406" t="s">
        <v>219</v>
      </c>
      <c r="D18" s="406" t="s">
        <v>220</v>
      </c>
      <c r="E18" s="406" t="s">
        <v>216</v>
      </c>
      <c r="F18" s="406" t="s">
        <v>221</v>
      </c>
      <c r="G18" s="406" t="s">
        <v>566</v>
      </c>
      <c r="H18" s="407" t="s">
        <v>223</v>
      </c>
      <c r="I18" s="75"/>
      <c r="J18" s="405" t="s">
        <v>224</v>
      </c>
      <c r="K18" s="406"/>
      <c r="L18" s="408" t="s">
        <v>225</v>
      </c>
      <c r="M18" s="407"/>
      <c r="Q18" s="405"/>
      <c r="R18" s="406" t="s">
        <v>219</v>
      </c>
      <c r="S18" s="406" t="s">
        <v>220</v>
      </c>
      <c r="T18" s="406" t="s">
        <v>216</v>
      </c>
      <c r="U18" s="406" t="s">
        <v>221</v>
      </c>
      <c r="V18" s="406" t="s">
        <v>222</v>
      </c>
      <c r="W18" s="407" t="s">
        <v>223</v>
      </c>
      <c r="X18" s="75"/>
      <c r="Y18" s="405" t="s">
        <v>224</v>
      </c>
      <c r="Z18" s="406"/>
      <c r="AA18" s="408" t="s">
        <v>225</v>
      </c>
      <c r="AB18" s="407"/>
      <c r="AE18" s="405"/>
      <c r="AF18" s="406" t="s">
        <v>219</v>
      </c>
      <c r="AG18" s="406" t="s">
        <v>220</v>
      </c>
      <c r="AH18" s="406" t="s">
        <v>216</v>
      </c>
      <c r="AI18" s="406" t="s">
        <v>221</v>
      </c>
      <c r="AJ18" s="406" t="s">
        <v>222</v>
      </c>
      <c r="AK18" s="407" t="s">
        <v>223</v>
      </c>
      <c r="AL18" s="75"/>
      <c r="AM18" s="405" t="s">
        <v>224</v>
      </c>
      <c r="AN18" s="406"/>
      <c r="AO18" s="408" t="s">
        <v>225</v>
      </c>
      <c r="AP18" s="407"/>
    </row>
    <row r="19" spans="2:42">
      <c r="B19" s="91">
        <v>1</v>
      </c>
      <c r="C19" s="94">
        <f>IF(AND(B19&lt;=$F$10,B19&gt;$F$9),$F$13,0)</f>
        <v>0</v>
      </c>
      <c r="D19" s="94">
        <f>IF(AND(B19&gt;$F$9,B19&lt;=$F$10),-CUMIPMT(($F$8+G19)/$F$11,($F$10-$F$9)*$F$11,$F$7,(B19-$F$9)*($F$11)-11,(B19-$F$9)*$F$11,0),($F$8+G19)*F19)</f>
        <v>3828764.4666666663</v>
      </c>
      <c r="E19" s="94">
        <f>IF(B19&lt;=$F$9,0,C19-D19)</f>
        <v>0</v>
      </c>
      <c r="F19" s="94">
        <f>F7-E19</f>
        <v>66800000</v>
      </c>
      <c r="G19" s="105">
        <f>D64</f>
        <v>1.9816833333333336E-2</v>
      </c>
      <c r="H19" s="95">
        <f>D19+E19</f>
        <v>3828764.4666666663</v>
      </c>
      <c r="I19" s="75"/>
      <c r="J19" s="91">
        <v>1</v>
      </c>
      <c r="K19" s="75">
        <v>2</v>
      </c>
      <c r="L19" s="92">
        <v>1</v>
      </c>
      <c r="M19" s="93">
        <v>12</v>
      </c>
      <c r="Q19" s="91">
        <v>1</v>
      </c>
      <c r="R19" s="94">
        <f>IF(AND(Q19&lt;=$U$10,Q19&gt;$U$9),$U$13,0)</f>
        <v>0</v>
      </c>
      <c r="S19" s="94">
        <f ca="1">IF(AND(Q19&gt;$U$9,Q19&lt;=$U$10),-CUMIPMT($U$8/$U$11,($U$10-$U$9)*$U$11,$U$7,(Q19-$U$9)*($U$11)-11,(Q19-$U$9)*$U$11,0),$U$8*U19)</f>
        <v>5585225.1347819222</v>
      </c>
      <c r="T19" s="94">
        <f>IF(Q19&lt;=$U$9,0,R19-S19)</f>
        <v>0</v>
      </c>
      <c r="U19" s="94">
        <f ca="1">U7-T19</f>
        <v>79788930.496884599</v>
      </c>
      <c r="V19" s="94"/>
      <c r="W19" s="95">
        <f ca="1">S19+V19+T19</f>
        <v>5585225.1347819222</v>
      </c>
      <c r="X19" s="75"/>
      <c r="Y19" s="91">
        <v>1</v>
      </c>
      <c r="Z19" s="75">
        <v>2</v>
      </c>
      <c r="AA19" s="92">
        <v>1</v>
      </c>
      <c r="AB19" s="93">
        <v>12</v>
      </c>
      <c r="AE19" s="91">
        <v>1</v>
      </c>
      <c r="AF19" s="94">
        <f>IF(AND(AE19&lt;=$AI$10,AE19&gt;$AI$9),$AI$13,0)</f>
        <v>0</v>
      </c>
      <c r="AG19" s="94">
        <f ca="1">IF(AND(AE19&gt;$AI$9,AE19&lt;=$AI$10),-CUMIPMT($AI$8/$AI$11,($AI$10-$AI$9)*$AI$11,$AI$7,(AE19-$AI$9)*($AI$11)-11,(AE19-$AI$9)*$AI$11,0),$AI$8*AI19)</f>
        <v>3540211.5492295888</v>
      </c>
      <c r="AH19" s="94">
        <f>IF(AE19&lt;=$AI$9,0,AF19-AG19)</f>
        <v>0</v>
      </c>
      <c r="AI19" s="94">
        <f ca="1">AI7-AH19</f>
        <v>50574450.703279838</v>
      </c>
      <c r="AJ19" s="94"/>
      <c r="AK19" s="95">
        <f ca="1">AG19+AJ19+AH19</f>
        <v>3540211.5492295888</v>
      </c>
      <c r="AL19" s="75"/>
      <c r="AM19" s="91">
        <v>1</v>
      </c>
      <c r="AN19" s="75">
        <v>2</v>
      </c>
      <c r="AO19" s="92">
        <v>1</v>
      </c>
      <c r="AP19" s="93">
        <v>12</v>
      </c>
    </row>
    <row r="20" spans="2:42">
      <c r="B20" s="91">
        <f t="shared" ref="B20:B58" si="0">+B19+1</f>
        <v>2</v>
      </c>
      <c r="C20" s="94">
        <f t="shared" ref="C20:C58" si="1">IF(AND(B20&lt;=$F$10,B20&gt;$F$9),$F$13,0)</f>
        <v>0</v>
      </c>
      <c r="D20" s="94">
        <f t="shared" ref="D20:D58" si="2">IF(AND(B20&gt;$F$9,B20&lt;=$F$10),-CUMIPMT(($F$8+G20)/$F$11,($F$10-$F$9)*$F$11,$F$7,(B20-$F$9)*($F$11)-11,(B20-$F$9)*$F$11,0),($F$8+G20)*F20)</f>
        <v>2851285.0766666667</v>
      </c>
      <c r="E20" s="94">
        <f t="shared" ref="E20:E58" si="3">IF(B20&lt;=$F$9,0,C20-D20)</f>
        <v>0</v>
      </c>
      <c r="F20" s="81">
        <f t="shared" ref="F20:F58" si="4">F19-E20</f>
        <v>66800000</v>
      </c>
      <c r="G20" s="106">
        <f>D77</f>
        <v>5.183908333333335E-3</v>
      </c>
      <c r="H20" s="95">
        <f t="shared" ref="H20:H58" si="5">D20+G20+E20</f>
        <v>2851285.0818505748</v>
      </c>
      <c r="I20" s="75"/>
      <c r="J20" s="91">
        <f t="shared" ref="J20:K35" si="6">+J19+2</f>
        <v>3</v>
      </c>
      <c r="K20" s="75">
        <f t="shared" si="6"/>
        <v>4</v>
      </c>
      <c r="L20" s="92">
        <f>+L19+12</f>
        <v>13</v>
      </c>
      <c r="M20" s="93">
        <f>+M19+12</f>
        <v>24</v>
      </c>
      <c r="Q20" s="91">
        <f t="shared" ref="Q20:Q58" si="7">+Q19+1</f>
        <v>2</v>
      </c>
      <c r="R20" s="94">
        <f t="shared" ref="R20:R58" si="8">IF(AND(Q20&lt;=$U$10,Q20&gt;$U$9),$U$13,0)</f>
        <v>0</v>
      </c>
      <c r="S20" s="94">
        <f t="shared" ref="S20:S58" ca="1" si="9">IF(AND(Q20&gt;$U$9,Q20&lt;=$U$10),-CUMIPMT($U$8/$U$11,($U$10-$U$9)*$U$11,$U$7,(Q20-$U$9)*($U$11)-11,(Q20-$U$9)*$U$11,0),$U$8*U20)</f>
        <v>5585225.1347819222</v>
      </c>
      <c r="T20" s="94">
        <f t="shared" ref="T20:T58" si="10">IF(Q20&lt;=$U$9,0,R20-S20)</f>
        <v>0</v>
      </c>
      <c r="U20" s="81">
        <f t="shared" ref="U20:U58" ca="1" si="11">U19-T20</f>
        <v>79788930.496884599</v>
      </c>
      <c r="V20" s="81"/>
      <c r="W20" s="95">
        <f t="shared" ref="W20:W58" ca="1" si="12">S20+V20+T20</f>
        <v>5585225.1347819222</v>
      </c>
      <c r="X20" s="75"/>
      <c r="Y20" s="91">
        <f t="shared" ref="Y20:Z35" si="13">+Y19+2</f>
        <v>3</v>
      </c>
      <c r="Z20" s="75">
        <f t="shared" si="13"/>
        <v>4</v>
      </c>
      <c r="AA20" s="92">
        <f>+AA19+12</f>
        <v>13</v>
      </c>
      <c r="AB20" s="93">
        <f>+AB19+12</f>
        <v>24</v>
      </c>
      <c r="AE20" s="91">
        <f t="shared" ref="AE20:AE58" si="14">+AE19+1</f>
        <v>2</v>
      </c>
      <c r="AF20" s="94">
        <f t="shared" ref="AF20:AF58" si="15">IF(AND(AE20&lt;=$AI$10,AE20&gt;$AI$9),$AI$13,0)</f>
        <v>0</v>
      </c>
      <c r="AG20" s="94">
        <f t="shared" ref="AG20:AG58" ca="1" si="16">IF(AND(AE20&gt;$AI$9,AE20&lt;=$AI$10),-CUMIPMT($AI$8/$AI$11,($AI$10-$AI$9)*$AI$11,$AI$7,(AE20-$AI$9)*($AI$11)-11,(AE20-$AI$9)*$AI$11,0),$AI$8*AI20)</f>
        <v>3540211.5492295888</v>
      </c>
      <c r="AH20" s="94">
        <f t="shared" ref="AH20:AH58" si="17">IF(AE20&lt;=$AI$9,0,AF20-AG20)</f>
        <v>0</v>
      </c>
      <c r="AI20" s="81">
        <f t="shared" ref="AI20:AI58" ca="1" si="18">AI19-AH20</f>
        <v>50574450.703279838</v>
      </c>
      <c r="AJ20" s="81"/>
      <c r="AK20" s="95">
        <f t="shared" ref="AK20:AK58" ca="1" si="19">AG20+AJ20+AH20</f>
        <v>3540211.5492295888</v>
      </c>
      <c r="AL20" s="75"/>
      <c r="AM20" s="91">
        <f t="shared" ref="AM20:AN20" si="20">+AM19+2</f>
        <v>3</v>
      </c>
      <c r="AN20" s="75">
        <f t="shared" si="20"/>
        <v>4</v>
      </c>
      <c r="AO20" s="92">
        <f>+AO19+12</f>
        <v>13</v>
      </c>
      <c r="AP20" s="93">
        <f>+AP19+12</f>
        <v>24</v>
      </c>
    </row>
    <row r="21" spans="2:42">
      <c r="B21" s="91">
        <f t="shared" si="0"/>
        <v>3</v>
      </c>
      <c r="C21" s="94">
        <f t="shared" si="1"/>
        <v>0</v>
      </c>
      <c r="D21" s="94">
        <f t="shared" si="2"/>
        <v>2571301.7833333332</v>
      </c>
      <c r="E21" s="94">
        <f t="shared" si="3"/>
        <v>0</v>
      </c>
      <c r="F21" s="81">
        <f t="shared" si="4"/>
        <v>66800000</v>
      </c>
      <c r="G21" s="106">
        <f>D90</f>
        <v>9.9254166666666653E-4</v>
      </c>
      <c r="H21" s="95">
        <f t="shared" si="5"/>
        <v>2571301.7843258749</v>
      </c>
      <c r="I21" s="75"/>
      <c r="J21" s="91">
        <f t="shared" si="6"/>
        <v>5</v>
      </c>
      <c r="K21" s="75">
        <f t="shared" si="6"/>
        <v>6</v>
      </c>
      <c r="L21" s="92">
        <f t="shared" ref="L21:M36" si="21">+L20+12</f>
        <v>25</v>
      </c>
      <c r="M21" s="93">
        <f t="shared" si="21"/>
        <v>36</v>
      </c>
      <c r="Q21" s="91">
        <f t="shared" si="7"/>
        <v>3</v>
      </c>
      <c r="R21" s="94">
        <f t="shared" si="8"/>
        <v>0</v>
      </c>
      <c r="S21" s="94">
        <f t="shared" ca="1" si="9"/>
        <v>5585225.1347819222</v>
      </c>
      <c r="T21" s="94">
        <f t="shared" si="10"/>
        <v>0</v>
      </c>
      <c r="U21" s="81">
        <f t="shared" ca="1" si="11"/>
        <v>79788930.496884599</v>
      </c>
      <c r="V21" s="81"/>
      <c r="W21" s="95">
        <f t="shared" ca="1" si="12"/>
        <v>5585225.1347819222</v>
      </c>
      <c r="X21" s="75"/>
      <c r="Y21" s="91">
        <f t="shared" si="13"/>
        <v>5</v>
      </c>
      <c r="Z21" s="75">
        <f t="shared" si="13"/>
        <v>6</v>
      </c>
      <c r="AA21" s="92">
        <f t="shared" ref="AA21:AB36" si="22">+AA20+12</f>
        <v>25</v>
      </c>
      <c r="AB21" s="93">
        <f t="shared" si="22"/>
        <v>36</v>
      </c>
      <c r="AE21" s="91">
        <f t="shared" si="14"/>
        <v>3</v>
      </c>
      <c r="AF21" s="94">
        <f t="shared" si="15"/>
        <v>0</v>
      </c>
      <c r="AG21" s="94">
        <f t="shared" ca="1" si="16"/>
        <v>3540211.5492295888</v>
      </c>
      <c r="AH21" s="94">
        <f t="shared" si="17"/>
        <v>0</v>
      </c>
      <c r="AI21" s="81">
        <f t="shared" ca="1" si="18"/>
        <v>50574450.703279838</v>
      </c>
      <c r="AJ21" s="81"/>
      <c r="AK21" s="95">
        <f t="shared" ca="1" si="19"/>
        <v>3540211.5492295888</v>
      </c>
      <c r="AL21" s="75"/>
      <c r="AM21" s="91">
        <f t="shared" ref="AM21:AN21" si="23">+AM20+2</f>
        <v>5</v>
      </c>
      <c r="AN21" s="75">
        <f t="shared" si="23"/>
        <v>6</v>
      </c>
      <c r="AO21" s="92">
        <f t="shared" ref="AO21:AP21" si="24">+AO20+12</f>
        <v>25</v>
      </c>
      <c r="AP21" s="93">
        <f t="shared" si="24"/>
        <v>36</v>
      </c>
    </row>
    <row r="22" spans="2:42">
      <c r="B22" s="91">
        <f t="shared" si="0"/>
        <v>4</v>
      </c>
      <c r="C22" s="94">
        <f t="shared" si="1"/>
        <v>0</v>
      </c>
      <c r="D22" s="94">
        <f t="shared" si="2"/>
        <v>3784355.27</v>
      </c>
      <c r="E22" s="94">
        <f t="shared" si="3"/>
        <v>0</v>
      </c>
      <c r="F22" s="81">
        <f t="shared" si="4"/>
        <v>66800000</v>
      </c>
      <c r="G22" s="106">
        <f>D103</f>
        <v>1.9152025000000003E-2</v>
      </c>
      <c r="H22" s="95">
        <f t="shared" si="5"/>
        <v>3784355.2891520252</v>
      </c>
      <c r="I22" s="75"/>
      <c r="J22" s="91">
        <f t="shared" si="6"/>
        <v>7</v>
      </c>
      <c r="K22" s="75">
        <f t="shared" si="6"/>
        <v>8</v>
      </c>
      <c r="L22" s="92">
        <f t="shared" si="21"/>
        <v>37</v>
      </c>
      <c r="M22" s="93">
        <f t="shared" si="21"/>
        <v>48</v>
      </c>
      <c r="Q22" s="91">
        <f t="shared" si="7"/>
        <v>4</v>
      </c>
      <c r="R22" s="94">
        <f t="shared" si="8"/>
        <v>0</v>
      </c>
      <c r="S22" s="94">
        <f t="shared" ca="1" si="9"/>
        <v>5585225.1347819222</v>
      </c>
      <c r="T22" s="94">
        <f t="shared" si="10"/>
        <v>0</v>
      </c>
      <c r="U22" s="81">
        <f t="shared" ca="1" si="11"/>
        <v>79788930.496884599</v>
      </c>
      <c r="V22" s="81"/>
      <c r="W22" s="95">
        <f t="shared" ca="1" si="12"/>
        <v>5585225.1347819222</v>
      </c>
      <c r="X22" s="75"/>
      <c r="Y22" s="91">
        <f t="shared" si="13"/>
        <v>7</v>
      </c>
      <c r="Z22" s="75">
        <f t="shared" si="13"/>
        <v>8</v>
      </c>
      <c r="AA22" s="92">
        <f t="shared" si="22"/>
        <v>37</v>
      </c>
      <c r="AB22" s="93">
        <f t="shared" si="22"/>
        <v>48</v>
      </c>
      <c r="AE22" s="91">
        <f t="shared" si="14"/>
        <v>4</v>
      </c>
      <c r="AF22" s="94">
        <f t="shared" si="15"/>
        <v>0</v>
      </c>
      <c r="AG22" s="94">
        <f t="shared" ca="1" si="16"/>
        <v>3540211.5492295888</v>
      </c>
      <c r="AH22" s="94">
        <f t="shared" si="17"/>
        <v>0</v>
      </c>
      <c r="AI22" s="81">
        <f t="shared" ca="1" si="18"/>
        <v>50574450.703279838</v>
      </c>
      <c r="AJ22" s="81"/>
      <c r="AK22" s="95">
        <f t="shared" ca="1" si="19"/>
        <v>3540211.5492295888</v>
      </c>
      <c r="AL22" s="75"/>
      <c r="AM22" s="91">
        <f t="shared" ref="AM22:AN22" si="25">+AM21+2</f>
        <v>7</v>
      </c>
      <c r="AN22" s="75">
        <f t="shared" si="25"/>
        <v>8</v>
      </c>
      <c r="AO22" s="92">
        <f t="shared" ref="AO22:AP22" si="26">+AO21+12</f>
        <v>37</v>
      </c>
      <c r="AP22" s="93">
        <f t="shared" si="26"/>
        <v>48</v>
      </c>
    </row>
    <row r="23" spans="2:42">
      <c r="B23" s="91">
        <f t="shared" si="0"/>
        <v>5</v>
      </c>
      <c r="C23" s="94">
        <f t="shared" si="1"/>
        <v>0</v>
      </c>
      <c r="D23" s="94">
        <f t="shared" si="2"/>
        <v>5696926.666666667</v>
      </c>
      <c r="E23" s="94">
        <f t="shared" si="3"/>
        <v>0</v>
      </c>
      <c r="F23" s="81">
        <f t="shared" si="4"/>
        <v>66800000</v>
      </c>
      <c r="G23" s="106">
        <f>D116</f>
        <v>4.7783333333333337E-2</v>
      </c>
      <c r="H23" s="95">
        <f t="shared" si="5"/>
        <v>5696926.7144499999</v>
      </c>
      <c r="I23" s="75"/>
      <c r="J23" s="91">
        <f t="shared" si="6"/>
        <v>9</v>
      </c>
      <c r="K23" s="75">
        <f t="shared" si="6"/>
        <v>10</v>
      </c>
      <c r="L23" s="92">
        <f>+L22+12</f>
        <v>49</v>
      </c>
      <c r="M23" s="93">
        <f>+M22+12</f>
        <v>60</v>
      </c>
      <c r="Q23" s="91">
        <f t="shared" si="7"/>
        <v>5</v>
      </c>
      <c r="R23" s="94">
        <f t="shared" si="8"/>
        <v>0</v>
      </c>
      <c r="S23" s="94">
        <f t="shared" ca="1" si="9"/>
        <v>5585225.1347819222</v>
      </c>
      <c r="T23" s="94">
        <f t="shared" si="10"/>
        <v>0</v>
      </c>
      <c r="U23" s="81">
        <f t="shared" ca="1" si="11"/>
        <v>79788930.496884599</v>
      </c>
      <c r="V23" s="81"/>
      <c r="W23" s="95">
        <f t="shared" ca="1" si="12"/>
        <v>5585225.1347819222</v>
      </c>
      <c r="X23" s="75"/>
      <c r="Y23" s="91">
        <f t="shared" si="13"/>
        <v>9</v>
      </c>
      <c r="Z23" s="75">
        <f t="shared" si="13"/>
        <v>10</v>
      </c>
      <c r="AA23" s="92">
        <f>+AA22+12</f>
        <v>49</v>
      </c>
      <c r="AB23" s="93">
        <f>+AB22+12</f>
        <v>60</v>
      </c>
      <c r="AE23" s="91">
        <f t="shared" si="14"/>
        <v>5</v>
      </c>
      <c r="AF23" s="94">
        <f t="shared" si="15"/>
        <v>0</v>
      </c>
      <c r="AG23" s="94">
        <f t="shared" ca="1" si="16"/>
        <v>3540211.5492295888</v>
      </c>
      <c r="AH23" s="94">
        <f t="shared" si="17"/>
        <v>0</v>
      </c>
      <c r="AI23" s="81">
        <f t="shared" ca="1" si="18"/>
        <v>50574450.703279838</v>
      </c>
      <c r="AJ23" s="81"/>
      <c r="AK23" s="95">
        <f t="shared" ca="1" si="19"/>
        <v>3540211.5492295888</v>
      </c>
      <c r="AL23" s="75"/>
      <c r="AM23" s="91">
        <f t="shared" ref="AM23:AN23" si="27">+AM22+2</f>
        <v>9</v>
      </c>
      <c r="AN23" s="75">
        <f t="shared" si="27"/>
        <v>10</v>
      </c>
      <c r="AO23" s="92">
        <f>+AO22+12</f>
        <v>49</v>
      </c>
      <c r="AP23" s="93">
        <f>+AP22+12</f>
        <v>60</v>
      </c>
    </row>
    <row r="24" spans="2:42">
      <c r="B24" s="91">
        <f t="shared" si="0"/>
        <v>6</v>
      </c>
      <c r="C24" s="94">
        <f t="shared" si="1"/>
        <v>0</v>
      </c>
      <c r="D24" s="94">
        <f t="shared" si="2"/>
        <v>5089046.666666667</v>
      </c>
      <c r="E24" s="94">
        <f t="shared" si="3"/>
        <v>0</v>
      </c>
      <c r="F24" s="81">
        <f t="shared" si="4"/>
        <v>66800000</v>
      </c>
      <c r="G24" s="106">
        <f>D129</f>
        <v>3.868333333333334E-2</v>
      </c>
      <c r="H24" s="95">
        <f t="shared" si="5"/>
        <v>5089046.7053500004</v>
      </c>
      <c r="I24" s="75"/>
      <c r="J24" s="91">
        <f t="shared" si="6"/>
        <v>11</v>
      </c>
      <c r="K24" s="75">
        <f t="shared" si="6"/>
        <v>12</v>
      </c>
      <c r="L24" s="92">
        <f t="shared" si="21"/>
        <v>61</v>
      </c>
      <c r="M24" s="93">
        <f t="shared" si="21"/>
        <v>72</v>
      </c>
      <c r="Q24" s="91">
        <f t="shared" si="7"/>
        <v>6</v>
      </c>
      <c r="R24" s="94">
        <f t="shared" si="8"/>
        <v>0</v>
      </c>
      <c r="S24" s="94">
        <f t="shared" ca="1" si="9"/>
        <v>5585225.1347819222</v>
      </c>
      <c r="T24" s="94">
        <f t="shared" si="10"/>
        <v>0</v>
      </c>
      <c r="U24" s="81">
        <f t="shared" ca="1" si="11"/>
        <v>79788930.496884599</v>
      </c>
      <c r="V24" s="81"/>
      <c r="W24" s="95">
        <f t="shared" ca="1" si="12"/>
        <v>5585225.1347819222</v>
      </c>
      <c r="X24" s="75"/>
      <c r="Y24" s="91">
        <f t="shared" si="13"/>
        <v>11</v>
      </c>
      <c r="Z24" s="75">
        <f t="shared" si="13"/>
        <v>12</v>
      </c>
      <c r="AA24" s="92">
        <f t="shared" si="22"/>
        <v>61</v>
      </c>
      <c r="AB24" s="93">
        <f t="shared" si="22"/>
        <v>72</v>
      </c>
      <c r="AE24" s="91">
        <f t="shared" si="14"/>
        <v>6</v>
      </c>
      <c r="AF24" s="94">
        <f t="shared" si="15"/>
        <v>0</v>
      </c>
      <c r="AG24" s="94">
        <f t="shared" ca="1" si="16"/>
        <v>3540211.5492295888</v>
      </c>
      <c r="AH24" s="94">
        <f t="shared" si="17"/>
        <v>0</v>
      </c>
      <c r="AI24" s="81">
        <f t="shared" ca="1" si="18"/>
        <v>50574450.703279838</v>
      </c>
      <c r="AJ24" s="81"/>
      <c r="AK24" s="95">
        <f t="shared" ca="1" si="19"/>
        <v>3540211.5492295888</v>
      </c>
      <c r="AL24" s="75"/>
      <c r="AM24" s="91">
        <f t="shared" ref="AM24:AN24" si="28">+AM23+2</f>
        <v>11</v>
      </c>
      <c r="AN24" s="75">
        <f t="shared" si="28"/>
        <v>12</v>
      </c>
      <c r="AO24" s="92">
        <f t="shared" ref="AO24:AP24" si="29">+AO23+12</f>
        <v>61</v>
      </c>
      <c r="AP24" s="93">
        <f t="shared" si="29"/>
        <v>72</v>
      </c>
    </row>
    <row r="25" spans="2:42">
      <c r="B25" s="91">
        <f t="shared" si="0"/>
        <v>7</v>
      </c>
      <c r="C25" s="94">
        <f t="shared" si="1"/>
        <v>0</v>
      </c>
      <c r="D25" s="94">
        <f t="shared" si="2"/>
        <v>4565780</v>
      </c>
      <c r="E25" s="94">
        <f t="shared" si="3"/>
        <v>0</v>
      </c>
      <c r="F25" s="81">
        <f t="shared" si="4"/>
        <v>66800000</v>
      </c>
      <c r="G25" s="106">
        <f>D142</f>
        <v>3.0849999999999999E-2</v>
      </c>
      <c r="H25" s="95">
        <f t="shared" si="5"/>
        <v>4565780.0308499997</v>
      </c>
      <c r="I25" s="75"/>
      <c r="J25" s="91">
        <f t="shared" si="6"/>
        <v>13</v>
      </c>
      <c r="K25" s="75">
        <f t="shared" si="6"/>
        <v>14</v>
      </c>
      <c r="L25" s="92">
        <f t="shared" si="21"/>
        <v>73</v>
      </c>
      <c r="M25" s="93">
        <f t="shared" si="21"/>
        <v>84</v>
      </c>
      <c r="Q25" s="91">
        <f t="shared" si="7"/>
        <v>7</v>
      </c>
      <c r="R25" s="94">
        <f t="shared" si="8"/>
        <v>0</v>
      </c>
      <c r="S25" s="94">
        <f t="shared" ca="1" si="9"/>
        <v>5585225.1347819222</v>
      </c>
      <c r="T25" s="94">
        <f t="shared" si="10"/>
        <v>0</v>
      </c>
      <c r="U25" s="81">
        <f t="shared" ca="1" si="11"/>
        <v>79788930.496884599</v>
      </c>
      <c r="V25" s="81"/>
      <c r="W25" s="95">
        <f t="shared" ca="1" si="12"/>
        <v>5585225.1347819222</v>
      </c>
      <c r="X25" s="75"/>
      <c r="Y25" s="91">
        <f t="shared" si="13"/>
        <v>13</v>
      </c>
      <c r="Z25" s="75">
        <f t="shared" si="13"/>
        <v>14</v>
      </c>
      <c r="AA25" s="92">
        <f t="shared" si="22"/>
        <v>73</v>
      </c>
      <c r="AB25" s="93">
        <f t="shared" si="22"/>
        <v>84</v>
      </c>
      <c r="AE25" s="91">
        <f t="shared" si="14"/>
        <v>7</v>
      </c>
      <c r="AF25" s="94">
        <f t="shared" si="15"/>
        <v>0</v>
      </c>
      <c r="AG25" s="94">
        <f t="shared" ca="1" si="16"/>
        <v>3540211.5492295888</v>
      </c>
      <c r="AH25" s="94">
        <f t="shared" si="17"/>
        <v>0</v>
      </c>
      <c r="AI25" s="81">
        <f t="shared" ca="1" si="18"/>
        <v>50574450.703279838</v>
      </c>
      <c r="AJ25" s="81"/>
      <c r="AK25" s="95">
        <f t="shared" ca="1" si="19"/>
        <v>3540211.5492295888</v>
      </c>
      <c r="AL25" s="75"/>
      <c r="AM25" s="91">
        <f t="shared" ref="AM25:AN25" si="30">+AM24+2</f>
        <v>13</v>
      </c>
      <c r="AN25" s="75">
        <f t="shared" si="30"/>
        <v>14</v>
      </c>
      <c r="AO25" s="92">
        <f t="shared" ref="AO25:AP25" si="31">+AO24+12</f>
        <v>73</v>
      </c>
      <c r="AP25" s="93">
        <f t="shared" si="31"/>
        <v>84</v>
      </c>
    </row>
    <row r="26" spans="2:42">
      <c r="B26" s="91">
        <f t="shared" si="0"/>
        <v>8</v>
      </c>
      <c r="C26" s="94">
        <f t="shared" si="1"/>
        <v>0</v>
      </c>
      <c r="D26" s="94">
        <f t="shared" si="2"/>
        <v>4530153.333333333</v>
      </c>
      <c r="E26" s="94">
        <f t="shared" si="3"/>
        <v>0</v>
      </c>
      <c r="F26" s="81">
        <f t="shared" si="4"/>
        <v>66800000</v>
      </c>
      <c r="G26" s="106">
        <f>D154</f>
        <v>3.0316666666666669E-2</v>
      </c>
      <c r="H26" s="95">
        <f t="shared" si="5"/>
        <v>4530153.3636499997</v>
      </c>
      <c r="I26" s="75"/>
      <c r="J26" s="91">
        <f t="shared" si="6"/>
        <v>15</v>
      </c>
      <c r="K26" s="75">
        <f t="shared" si="6"/>
        <v>16</v>
      </c>
      <c r="L26" s="92">
        <f t="shared" si="21"/>
        <v>85</v>
      </c>
      <c r="M26" s="93">
        <f t="shared" si="21"/>
        <v>96</v>
      </c>
      <c r="Q26" s="91">
        <f t="shared" si="7"/>
        <v>8</v>
      </c>
      <c r="R26" s="94">
        <f t="shared" si="8"/>
        <v>0</v>
      </c>
      <c r="S26" s="94">
        <f t="shared" ca="1" si="9"/>
        <v>5585225.1347819222</v>
      </c>
      <c r="T26" s="94">
        <f t="shared" si="10"/>
        <v>0</v>
      </c>
      <c r="U26" s="81">
        <f t="shared" ca="1" si="11"/>
        <v>79788930.496884599</v>
      </c>
      <c r="V26" s="81"/>
      <c r="W26" s="95">
        <f t="shared" ca="1" si="12"/>
        <v>5585225.1347819222</v>
      </c>
      <c r="X26" s="75"/>
      <c r="Y26" s="91">
        <f t="shared" si="13"/>
        <v>15</v>
      </c>
      <c r="Z26" s="75">
        <f t="shared" si="13"/>
        <v>16</v>
      </c>
      <c r="AA26" s="92">
        <f t="shared" si="22"/>
        <v>85</v>
      </c>
      <c r="AB26" s="93">
        <f t="shared" si="22"/>
        <v>96</v>
      </c>
      <c r="AE26" s="91">
        <f t="shared" si="14"/>
        <v>8</v>
      </c>
      <c r="AF26" s="94">
        <f t="shared" si="15"/>
        <v>0</v>
      </c>
      <c r="AG26" s="94">
        <f t="shared" ca="1" si="16"/>
        <v>3540211.5492295888</v>
      </c>
      <c r="AH26" s="94">
        <f t="shared" si="17"/>
        <v>0</v>
      </c>
      <c r="AI26" s="81">
        <f t="shared" ca="1" si="18"/>
        <v>50574450.703279838</v>
      </c>
      <c r="AJ26" s="81"/>
      <c r="AK26" s="95">
        <f t="shared" ca="1" si="19"/>
        <v>3540211.5492295888</v>
      </c>
      <c r="AL26" s="75"/>
      <c r="AM26" s="91">
        <f t="shared" ref="AM26:AN26" si="32">+AM25+2</f>
        <v>15</v>
      </c>
      <c r="AN26" s="75">
        <f t="shared" si="32"/>
        <v>16</v>
      </c>
      <c r="AO26" s="92">
        <f t="shared" ref="AO26:AP26" si="33">+AO25+12</f>
        <v>85</v>
      </c>
      <c r="AP26" s="93">
        <f t="shared" si="33"/>
        <v>96</v>
      </c>
    </row>
    <row r="27" spans="2:42">
      <c r="B27" s="91">
        <f t="shared" si="0"/>
        <v>9</v>
      </c>
      <c r="C27" s="94">
        <f t="shared" si="1"/>
        <v>0</v>
      </c>
      <c r="D27" s="94">
        <f t="shared" si="2"/>
        <v>2505000</v>
      </c>
      <c r="E27" s="94">
        <f t="shared" si="3"/>
        <v>0</v>
      </c>
      <c r="F27" s="81">
        <f t="shared" si="4"/>
        <v>66800000</v>
      </c>
      <c r="G27" s="81"/>
      <c r="H27" s="95">
        <f t="shared" si="5"/>
        <v>2505000</v>
      </c>
      <c r="I27" s="75"/>
      <c r="J27" s="91">
        <f t="shared" si="6"/>
        <v>17</v>
      </c>
      <c r="K27" s="75">
        <f t="shared" si="6"/>
        <v>18</v>
      </c>
      <c r="L27" s="92">
        <f t="shared" si="21"/>
        <v>97</v>
      </c>
      <c r="M27" s="93">
        <f t="shared" si="21"/>
        <v>108</v>
      </c>
      <c r="Q27" s="91">
        <f t="shared" si="7"/>
        <v>9</v>
      </c>
      <c r="R27" s="94">
        <f t="shared" si="8"/>
        <v>0</v>
      </c>
      <c r="S27" s="94">
        <f t="shared" ca="1" si="9"/>
        <v>5585225.1347819222</v>
      </c>
      <c r="T27" s="94">
        <f t="shared" si="10"/>
        <v>0</v>
      </c>
      <c r="U27" s="81">
        <f t="shared" ca="1" si="11"/>
        <v>79788930.496884599</v>
      </c>
      <c r="V27" s="81"/>
      <c r="W27" s="95">
        <f t="shared" ca="1" si="12"/>
        <v>5585225.1347819222</v>
      </c>
      <c r="X27" s="75"/>
      <c r="Y27" s="91">
        <f t="shared" si="13"/>
        <v>17</v>
      </c>
      <c r="Z27" s="75">
        <f t="shared" si="13"/>
        <v>18</v>
      </c>
      <c r="AA27" s="92">
        <f t="shared" si="22"/>
        <v>97</v>
      </c>
      <c r="AB27" s="93">
        <f t="shared" si="22"/>
        <v>108</v>
      </c>
      <c r="AE27" s="91">
        <f t="shared" si="14"/>
        <v>9</v>
      </c>
      <c r="AF27" s="94">
        <f t="shared" si="15"/>
        <v>0</v>
      </c>
      <c r="AG27" s="94">
        <f t="shared" ca="1" si="16"/>
        <v>3540211.5492295888</v>
      </c>
      <c r="AH27" s="94">
        <f t="shared" si="17"/>
        <v>0</v>
      </c>
      <c r="AI27" s="81">
        <f t="shared" ca="1" si="18"/>
        <v>50574450.703279838</v>
      </c>
      <c r="AJ27" s="81"/>
      <c r="AK27" s="95">
        <f t="shared" ca="1" si="19"/>
        <v>3540211.5492295888</v>
      </c>
      <c r="AL27" s="75"/>
      <c r="AM27" s="91">
        <f t="shared" ref="AM27:AN27" si="34">+AM26+2</f>
        <v>17</v>
      </c>
      <c r="AN27" s="75">
        <f t="shared" si="34"/>
        <v>18</v>
      </c>
      <c r="AO27" s="92">
        <f t="shared" ref="AO27:AP27" si="35">+AO26+12</f>
        <v>97</v>
      </c>
      <c r="AP27" s="93">
        <f t="shared" si="35"/>
        <v>108</v>
      </c>
    </row>
    <row r="28" spans="2:42">
      <c r="B28" s="91">
        <f t="shared" si="0"/>
        <v>10</v>
      </c>
      <c r="C28" s="94">
        <f t="shared" si="1"/>
        <v>0</v>
      </c>
      <c r="D28" s="94">
        <f t="shared" si="2"/>
        <v>2505000</v>
      </c>
      <c r="E28" s="94">
        <f t="shared" si="3"/>
        <v>0</v>
      </c>
      <c r="F28" s="81">
        <f t="shared" si="4"/>
        <v>66800000</v>
      </c>
      <c r="G28" s="81"/>
      <c r="H28" s="95">
        <f t="shared" si="5"/>
        <v>2505000</v>
      </c>
      <c r="I28" s="75"/>
      <c r="J28" s="91">
        <f t="shared" si="6"/>
        <v>19</v>
      </c>
      <c r="K28" s="75">
        <f t="shared" si="6"/>
        <v>20</v>
      </c>
      <c r="L28" s="92">
        <f t="shared" si="21"/>
        <v>109</v>
      </c>
      <c r="M28" s="93">
        <f t="shared" si="21"/>
        <v>120</v>
      </c>
      <c r="Q28" s="91">
        <f t="shared" si="7"/>
        <v>10</v>
      </c>
      <c r="R28" s="94">
        <f t="shared" si="8"/>
        <v>0</v>
      </c>
      <c r="S28" s="94">
        <f t="shared" ca="1" si="9"/>
        <v>5585225.1347819222</v>
      </c>
      <c r="T28" s="94">
        <f t="shared" si="10"/>
        <v>0</v>
      </c>
      <c r="U28" s="81">
        <f t="shared" ca="1" si="11"/>
        <v>79788930.496884599</v>
      </c>
      <c r="V28" s="81"/>
      <c r="W28" s="95">
        <f t="shared" ca="1" si="12"/>
        <v>5585225.1347819222</v>
      </c>
      <c r="X28" s="75"/>
      <c r="Y28" s="91">
        <f t="shared" si="13"/>
        <v>19</v>
      </c>
      <c r="Z28" s="75">
        <f t="shared" si="13"/>
        <v>20</v>
      </c>
      <c r="AA28" s="92">
        <f t="shared" si="22"/>
        <v>109</v>
      </c>
      <c r="AB28" s="93">
        <f t="shared" si="22"/>
        <v>120</v>
      </c>
      <c r="AE28" s="91">
        <f t="shared" si="14"/>
        <v>10</v>
      </c>
      <c r="AF28" s="94">
        <f t="shared" si="15"/>
        <v>0</v>
      </c>
      <c r="AG28" s="94">
        <f t="shared" ca="1" si="16"/>
        <v>3540211.5492295888</v>
      </c>
      <c r="AH28" s="94">
        <f t="shared" si="17"/>
        <v>0</v>
      </c>
      <c r="AI28" s="81">
        <f t="shared" ca="1" si="18"/>
        <v>50574450.703279838</v>
      </c>
      <c r="AJ28" s="81"/>
      <c r="AK28" s="95">
        <f t="shared" ca="1" si="19"/>
        <v>3540211.5492295888</v>
      </c>
      <c r="AL28" s="75"/>
      <c r="AM28" s="91">
        <f t="shared" ref="AM28:AN28" si="36">+AM27+2</f>
        <v>19</v>
      </c>
      <c r="AN28" s="75">
        <f t="shared" si="36"/>
        <v>20</v>
      </c>
      <c r="AO28" s="92">
        <f t="shared" ref="AO28:AP28" si="37">+AO27+12</f>
        <v>109</v>
      </c>
      <c r="AP28" s="93">
        <f t="shared" si="37"/>
        <v>120</v>
      </c>
    </row>
    <row r="29" spans="2:42">
      <c r="B29" s="91">
        <f t="shared" si="0"/>
        <v>11</v>
      </c>
      <c r="C29" s="94">
        <f t="shared" si="1"/>
        <v>0</v>
      </c>
      <c r="D29" s="94">
        <f t="shared" si="2"/>
        <v>2505000</v>
      </c>
      <c r="E29" s="94">
        <f t="shared" si="3"/>
        <v>0</v>
      </c>
      <c r="F29" s="81">
        <f t="shared" si="4"/>
        <v>66800000</v>
      </c>
      <c r="G29" s="81"/>
      <c r="H29" s="95">
        <f t="shared" si="5"/>
        <v>2505000</v>
      </c>
      <c r="I29" s="75"/>
      <c r="J29" s="91">
        <f t="shared" si="6"/>
        <v>21</v>
      </c>
      <c r="K29" s="75">
        <f t="shared" si="6"/>
        <v>22</v>
      </c>
      <c r="L29" s="92">
        <f t="shared" si="21"/>
        <v>121</v>
      </c>
      <c r="M29" s="93">
        <f t="shared" si="21"/>
        <v>132</v>
      </c>
      <c r="Q29" s="91">
        <f t="shared" si="7"/>
        <v>11</v>
      </c>
      <c r="R29" s="94">
        <f t="shared" ca="1" si="8"/>
        <v>7423232.7466083588</v>
      </c>
      <c r="S29" s="94">
        <f t="shared" ca="1" si="9"/>
        <v>5525093.9055610765</v>
      </c>
      <c r="T29" s="94">
        <f t="shared" ca="1" si="10"/>
        <v>1898138.8410472823</v>
      </c>
      <c r="U29" s="81">
        <f t="shared" ca="1" si="11"/>
        <v>77890791.655837312</v>
      </c>
      <c r="V29" s="81"/>
      <c r="W29" s="95">
        <f t="shared" ca="1" si="12"/>
        <v>7423232.7466083588</v>
      </c>
      <c r="X29" s="75"/>
      <c r="Y29" s="91">
        <f t="shared" si="13"/>
        <v>21</v>
      </c>
      <c r="Z29" s="75">
        <f t="shared" si="13"/>
        <v>22</v>
      </c>
      <c r="AA29" s="92">
        <f t="shared" si="22"/>
        <v>121</v>
      </c>
      <c r="AB29" s="93">
        <f t="shared" si="22"/>
        <v>132</v>
      </c>
      <c r="AE29" s="91">
        <f t="shared" si="14"/>
        <v>11</v>
      </c>
      <c r="AF29" s="94">
        <f t="shared" ca="1" si="15"/>
        <v>4705238.135971453</v>
      </c>
      <c r="AG29" s="94">
        <f t="shared" ca="1" si="16"/>
        <v>3502097.190896688</v>
      </c>
      <c r="AH29" s="94">
        <f t="shared" ca="1" si="17"/>
        <v>1203140.945074765</v>
      </c>
      <c r="AI29" s="81">
        <f t="shared" ca="1" si="18"/>
        <v>49371309.758205071</v>
      </c>
      <c r="AJ29" s="81"/>
      <c r="AK29" s="95">
        <f t="shared" ca="1" si="19"/>
        <v>4705238.135971453</v>
      </c>
      <c r="AL29" s="75"/>
      <c r="AM29" s="91">
        <f t="shared" ref="AM29:AN29" si="38">+AM28+2</f>
        <v>21</v>
      </c>
      <c r="AN29" s="75">
        <f t="shared" si="38"/>
        <v>22</v>
      </c>
      <c r="AO29" s="92">
        <f t="shared" ref="AO29:AP29" si="39">+AO28+12</f>
        <v>121</v>
      </c>
      <c r="AP29" s="93">
        <f t="shared" si="39"/>
        <v>132</v>
      </c>
    </row>
    <row r="30" spans="2:42">
      <c r="B30" s="91">
        <f t="shared" si="0"/>
        <v>12</v>
      </c>
      <c r="C30" s="94">
        <f t="shared" si="1"/>
        <v>0</v>
      </c>
      <c r="D30" s="94">
        <f t="shared" si="2"/>
        <v>2505000</v>
      </c>
      <c r="E30" s="94">
        <f t="shared" si="3"/>
        <v>0</v>
      </c>
      <c r="F30" s="81">
        <f t="shared" si="4"/>
        <v>66800000</v>
      </c>
      <c r="G30" s="81"/>
      <c r="H30" s="95">
        <f t="shared" si="5"/>
        <v>2505000</v>
      </c>
      <c r="I30" s="75"/>
      <c r="J30" s="91">
        <f t="shared" si="6"/>
        <v>23</v>
      </c>
      <c r="K30" s="75">
        <f t="shared" si="6"/>
        <v>24</v>
      </c>
      <c r="L30" s="92">
        <f t="shared" si="21"/>
        <v>133</v>
      </c>
      <c r="M30" s="93">
        <f t="shared" si="21"/>
        <v>144</v>
      </c>
      <c r="Q30" s="91">
        <f t="shared" si="7"/>
        <v>12</v>
      </c>
      <c r="R30" s="94">
        <f t="shared" ca="1" si="8"/>
        <v>7423232.7466083588</v>
      </c>
      <c r="S30" s="94">
        <f t="shared" ca="1" si="9"/>
        <v>5387877.2952654073</v>
      </c>
      <c r="T30" s="94">
        <f t="shared" ca="1" si="10"/>
        <v>2035355.4513429515</v>
      </c>
      <c r="U30" s="81">
        <f t="shared" ca="1" si="11"/>
        <v>75855436.204494357</v>
      </c>
      <c r="V30" s="81"/>
      <c r="W30" s="95">
        <f t="shared" ca="1" si="12"/>
        <v>7423232.7466083588</v>
      </c>
      <c r="X30" s="75"/>
      <c r="Y30" s="91">
        <f t="shared" si="13"/>
        <v>23</v>
      </c>
      <c r="Z30" s="75">
        <f t="shared" si="13"/>
        <v>24</v>
      </c>
      <c r="AA30" s="92">
        <f t="shared" si="22"/>
        <v>133</v>
      </c>
      <c r="AB30" s="93">
        <f t="shared" si="22"/>
        <v>144</v>
      </c>
      <c r="AE30" s="91">
        <f t="shared" si="14"/>
        <v>12</v>
      </c>
      <c r="AF30" s="94">
        <f t="shared" ca="1" si="15"/>
        <v>4705238.135971453</v>
      </c>
      <c r="AG30" s="94">
        <f t="shared" ca="1" si="16"/>
        <v>3415122.0346957855</v>
      </c>
      <c r="AH30" s="94">
        <f t="shared" ca="1" si="17"/>
        <v>1290116.1012756675</v>
      </c>
      <c r="AI30" s="81">
        <f t="shared" ca="1" si="18"/>
        <v>48081193.656929404</v>
      </c>
      <c r="AJ30" s="81"/>
      <c r="AK30" s="95">
        <f t="shared" ca="1" si="19"/>
        <v>4705238.135971453</v>
      </c>
      <c r="AL30" s="75"/>
      <c r="AM30" s="91">
        <f t="shared" ref="AM30:AN30" si="40">+AM29+2</f>
        <v>23</v>
      </c>
      <c r="AN30" s="75">
        <f t="shared" si="40"/>
        <v>24</v>
      </c>
      <c r="AO30" s="92">
        <f t="shared" ref="AO30:AP30" si="41">+AO29+12</f>
        <v>133</v>
      </c>
      <c r="AP30" s="93">
        <f t="shared" si="41"/>
        <v>144</v>
      </c>
    </row>
    <row r="31" spans="2:42">
      <c r="B31" s="91">
        <f t="shared" si="0"/>
        <v>13</v>
      </c>
      <c r="C31" s="94">
        <f t="shared" si="1"/>
        <v>0</v>
      </c>
      <c r="D31" s="94">
        <f t="shared" si="2"/>
        <v>2505000</v>
      </c>
      <c r="E31" s="94">
        <f t="shared" si="3"/>
        <v>0</v>
      </c>
      <c r="F31" s="81">
        <f t="shared" si="4"/>
        <v>66800000</v>
      </c>
      <c r="G31" s="81"/>
      <c r="H31" s="95">
        <f t="shared" si="5"/>
        <v>2505000</v>
      </c>
      <c r="I31" s="75"/>
      <c r="J31" s="91">
        <f t="shared" si="6"/>
        <v>25</v>
      </c>
      <c r="K31" s="75">
        <f t="shared" si="6"/>
        <v>26</v>
      </c>
      <c r="L31" s="92">
        <f t="shared" si="21"/>
        <v>145</v>
      </c>
      <c r="M31" s="93">
        <f t="shared" si="21"/>
        <v>156</v>
      </c>
      <c r="Q31" s="91">
        <f t="shared" si="7"/>
        <v>13</v>
      </c>
      <c r="R31" s="94">
        <f t="shared" ca="1" si="8"/>
        <v>7423232.7466083588</v>
      </c>
      <c r="S31" s="94">
        <f t="shared" ca="1" si="9"/>
        <v>5240741.2851166455</v>
      </c>
      <c r="T31" s="94">
        <f t="shared" ca="1" si="10"/>
        <v>2182491.4614917133</v>
      </c>
      <c r="U31" s="81">
        <f t="shared" ca="1" si="11"/>
        <v>73672944.743002638</v>
      </c>
      <c r="V31" s="81"/>
      <c r="W31" s="95">
        <f t="shared" ca="1" si="12"/>
        <v>7423232.7466083588</v>
      </c>
      <c r="X31" s="75"/>
      <c r="Y31" s="91">
        <f t="shared" si="13"/>
        <v>25</v>
      </c>
      <c r="Z31" s="75">
        <f t="shared" si="13"/>
        <v>26</v>
      </c>
      <c r="AA31" s="92">
        <f t="shared" si="22"/>
        <v>145</v>
      </c>
      <c r="AB31" s="93">
        <f t="shared" si="22"/>
        <v>156</v>
      </c>
      <c r="AE31" s="91">
        <f t="shared" si="14"/>
        <v>13</v>
      </c>
      <c r="AF31" s="94">
        <f t="shared" ca="1" si="15"/>
        <v>4705238.135971453</v>
      </c>
      <c r="AG31" s="94">
        <f t="shared" ca="1" si="16"/>
        <v>3321859.4374206359</v>
      </c>
      <c r="AH31" s="94">
        <f t="shared" ca="1" si="17"/>
        <v>1383378.6985508171</v>
      </c>
      <c r="AI31" s="81">
        <f t="shared" ca="1" si="18"/>
        <v>46697814.958378583</v>
      </c>
      <c r="AJ31" s="81"/>
      <c r="AK31" s="95">
        <f t="shared" ca="1" si="19"/>
        <v>4705238.135971453</v>
      </c>
      <c r="AL31" s="75"/>
      <c r="AM31" s="91">
        <f t="shared" ref="AM31:AN31" si="42">+AM30+2</f>
        <v>25</v>
      </c>
      <c r="AN31" s="75">
        <f t="shared" si="42"/>
        <v>26</v>
      </c>
      <c r="AO31" s="92">
        <f t="shared" ref="AO31:AP31" si="43">+AO30+12</f>
        <v>145</v>
      </c>
      <c r="AP31" s="93">
        <f t="shared" si="43"/>
        <v>156</v>
      </c>
    </row>
    <row r="32" spans="2:42">
      <c r="B32" s="91">
        <f t="shared" si="0"/>
        <v>14</v>
      </c>
      <c r="C32" s="94">
        <f t="shared" si="1"/>
        <v>0</v>
      </c>
      <c r="D32" s="94">
        <f t="shared" si="2"/>
        <v>2505000</v>
      </c>
      <c r="E32" s="94">
        <f t="shared" si="3"/>
        <v>0</v>
      </c>
      <c r="F32" s="81">
        <f t="shared" si="4"/>
        <v>66800000</v>
      </c>
      <c r="G32" s="81"/>
      <c r="H32" s="95">
        <f t="shared" si="5"/>
        <v>2505000</v>
      </c>
      <c r="I32" s="75"/>
      <c r="J32" s="91">
        <f t="shared" si="6"/>
        <v>27</v>
      </c>
      <c r="K32" s="75">
        <f t="shared" si="6"/>
        <v>28</v>
      </c>
      <c r="L32" s="92">
        <f t="shared" si="21"/>
        <v>157</v>
      </c>
      <c r="M32" s="93">
        <f t="shared" si="21"/>
        <v>168</v>
      </c>
      <c r="Q32" s="91">
        <f t="shared" si="7"/>
        <v>14</v>
      </c>
      <c r="R32" s="94">
        <f t="shared" ca="1" si="8"/>
        <v>7423232.7466083588</v>
      </c>
      <c r="S32" s="94">
        <f t="shared" ca="1" si="9"/>
        <v>5082968.8008973654</v>
      </c>
      <c r="T32" s="94">
        <f t="shared" ca="1" si="10"/>
        <v>2340263.9457109934</v>
      </c>
      <c r="U32" s="81">
        <f t="shared" ca="1" si="11"/>
        <v>71332680.797291651</v>
      </c>
      <c r="V32" s="81"/>
      <c r="W32" s="95">
        <f t="shared" ca="1" si="12"/>
        <v>7423232.7466083588</v>
      </c>
      <c r="X32" s="75"/>
      <c r="Y32" s="91">
        <f t="shared" si="13"/>
        <v>27</v>
      </c>
      <c r="Z32" s="75">
        <f t="shared" si="13"/>
        <v>28</v>
      </c>
      <c r="AA32" s="92">
        <f t="shared" si="22"/>
        <v>157</v>
      </c>
      <c r="AB32" s="93">
        <f t="shared" si="22"/>
        <v>168</v>
      </c>
      <c r="AE32" s="91">
        <f t="shared" si="14"/>
        <v>14</v>
      </c>
      <c r="AF32" s="94">
        <f t="shared" ca="1" si="15"/>
        <v>4705238.135971453</v>
      </c>
      <c r="AG32" s="94">
        <f t="shared" ca="1" si="16"/>
        <v>3221854.8794476027</v>
      </c>
      <c r="AH32" s="94">
        <f t="shared" ca="1" si="17"/>
        <v>1483383.2565238504</v>
      </c>
      <c r="AI32" s="81">
        <f t="shared" ca="1" si="18"/>
        <v>45214431.701854736</v>
      </c>
      <c r="AJ32" s="81"/>
      <c r="AK32" s="95">
        <f t="shared" ca="1" si="19"/>
        <v>4705238.135971453</v>
      </c>
      <c r="AL32" s="75"/>
      <c r="AM32" s="91">
        <f t="shared" ref="AM32:AN32" si="44">+AM31+2</f>
        <v>27</v>
      </c>
      <c r="AN32" s="75">
        <f t="shared" si="44"/>
        <v>28</v>
      </c>
      <c r="AO32" s="92">
        <f t="shared" ref="AO32:AP32" si="45">+AO31+12</f>
        <v>157</v>
      </c>
      <c r="AP32" s="93">
        <f t="shared" si="45"/>
        <v>168</v>
      </c>
    </row>
    <row r="33" spans="2:42">
      <c r="B33" s="91">
        <f t="shared" si="0"/>
        <v>15</v>
      </c>
      <c r="C33" s="94">
        <f t="shared" si="1"/>
        <v>0</v>
      </c>
      <c r="D33" s="94">
        <f t="shared" si="2"/>
        <v>2505000</v>
      </c>
      <c r="E33" s="94">
        <f t="shared" si="3"/>
        <v>0</v>
      </c>
      <c r="F33" s="81">
        <f t="shared" si="4"/>
        <v>66800000</v>
      </c>
      <c r="G33" s="81"/>
      <c r="H33" s="95">
        <f t="shared" si="5"/>
        <v>2505000</v>
      </c>
      <c r="I33" s="75"/>
      <c r="J33" s="91">
        <f t="shared" si="6"/>
        <v>29</v>
      </c>
      <c r="K33" s="75">
        <f t="shared" si="6"/>
        <v>30</v>
      </c>
      <c r="L33" s="92">
        <f t="shared" si="21"/>
        <v>169</v>
      </c>
      <c r="M33" s="93">
        <f t="shared" si="21"/>
        <v>180</v>
      </c>
      <c r="Q33" s="91">
        <f t="shared" si="7"/>
        <v>15</v>
      </c>
      <c r="R33" s="94">
        <f t="shared" ca="1" si="8"/>
        <v>7423232.7466083588</v>
      </c>
      <c r="S33" s="94">
        <f t="shared" ca="1" si="9"/>
        <v>4913790.9310369845</v>
      </c>
      <c r="T33" s="94">
        <f t="shared" ca="1" si="10"/>
        <v>2509441.8155713743</v>
      </c>
      <c r="U33" s="81">
        <f t="shared" ca="1" si="11"/>
        <v>68823238.981720284</v>
      </c>
      <c r="V33" s="81"/>
      <c r="W33" s="95">
        <f t="shared" ca="1" si="12"/>
        <v>7423232.7466083588</v>
      </c>
      <c r="X33" s="75"/>
      <c r="Y33" s="91">
        <f t="shared" si="13"/>
        <v>29</v>
      </c>
      <c r="Z33" s="75">
        <f t="shared" si="13"/>
        <v>30</v>
      </c>
      <c r="AA33" s="92">
        <f t="shared" si="22"/>
        <v>169</v>
      </c>
      <c r="AB33" s="93">
        <f t="shared" si="22"/>
        <v>180</v>
      </c>
      <c r="AE33" s="91">
        <f t="shared" si="14"/>
        <v>15</v>
      </c>
      <c r="AF33" s="94">
        <f t="shared" ca="1" si="15"/>
        <v>4705238.135971453</v>
      </c>
      <c r="AG33" s="94">
        <f t="shared" ca="1" si="16"/>
        <v>3114620.9838927081</v>
      </c>
      <c r="AH33" s="94">
        <f t="shared" ca="1" si="17"/>
        <v>1590617.152078745</v>
      </c>
      <c r="AI33" s="81">
        <f t="shared" ca="1" si="18"/>
        <v>43623814.549775988</v>
      </c>
      <c r="AJ33" s="81"/>
      <c r="AK33" s="95">
        <f t="shared" ca="1" si="19"/>
        <v>4705238.135971453</v>
      </c>
      <c r="AL33" s="75"/>
      <c r="AM33" s="91">
        <f t="shared" ref="AM33:AN33" si="46">+AM32+2</f>
        <v>29</v>
      </c>
      <c r="AN33" s="75">
        <f t="shared" si="46"/>
        <v>30</v>
      </c>
      <c r="AO33" s="92">
        <f t="shared" ref="AO33:AP33" si="47">+AO32+12</f>
        <v>169</v>
      </c>
      <c r="AP33" s="93">
        <f t="shared" si="47"/>
        <v>180</v>
      </c>
    </row>
    <row r="34" spans="2:42">
      <c r="B34" s="91">
        <f t="shared" si="0"/>
        <v>16</v>
      </c>
      <c r="C34" s="94">
        <f t="shared" si="1"/>
        <v>0</v>
      </c>
      <c r="D34" s="94">
        <f t="shared" si="2"/>
        <v>2505000</v>
      </c>
      <c r="E34" s="94">
        <f t="shared" si="3"/>
        <v>0</v>
      </c>
      <c r="F34" s="81">
        <f t="shared" si="4"/>
        <v>66800000</v>
      </c>
      <c r="G34" s="81"/>
      <c r="H34" s="95">
        <f t="shared" si="5"/>
        <v>2505000</v>
      </c>
      <c r="I34" s="75"/>
      <c r="J34" s="91">
        <f t="shared" si="6"/>
        <v>31</v>
      </c>
      <c r="K34" s="75">
        <f t="shared" si="6"/>
        <v>32</v>
      </c>
      <c r="L34" s="92">
        <f t="shared" si="21"/>
        <v>181</v>
      </c>
      <c r="M34" s="93">
        <f t="shared" si="21"/>
        <v>192</v>
      </c>
      <c r="Q34" s="91">
        <f t="shared" si="7"/>
        <v>16</v>
      </c>
      <c r="R34" s="94">
        <f t="shared" ca="1" si="8"/>
        <v>7423232.7466083588</v>
      </c>
      <c r="S34" s="94">
        <f t="shared" ca="1" si="9"/>
        <v>4732383.1792853111</v>
      </c>
      <c r="T34" s="94">
        <f t="shared" ca="1" si="10"/>
        <v>2690849.5673230477</v>
      </c>
      <c r="U34" s="81">
        <f t="shared" ca="1" si="11"/>
        <v>66132389.41439724</v>
      </c>
      <c r="V34" s="81"/>
      <c r="W34" s="95">
        <f t="shared" ca="1" si="12"/>
        <v>7423232.7466083588</v>
      </c>
      <c r="X34" s="75"/>
      <c r="Y34" s="91">
        <f t="shared" si="13"/>
        <v>31</v>
      </c>
      <c r="Z34" s="75">
        <f t="shared" si="13"/>
        <v>32</v>
      </c>
      <c r="AA34" s="92">
        <f t="shared" si="22"/>
        <v>181</v>
      </c>
      <c r="AB34" s="93">
        <f t="shared" si="22"/>
        <v>192</v>
      </c>
      <c r="AE34" s="91">
        <f t="shared" si="14"/>
        <v>16</v>
      </c>
      <c r="AF34" s="94">
        <f t="shared" ca="1" si="15"/>
        <v>4705238.135971453</v>
      </c>
      <c r="AG34" s="94">
        <f t="shared" ca="1" si="16"/>
        <v>2999635.1413576202</v>
      </c>
      <c r="AH34" s="94">
        <f t="shared" ca="1" si="17"/>
        <v>1705602.9946138328</v>
      </c>
      <c r="AI34" s="81">
        <f t="shared" ca="1" si="18"/>
        <v>41918211.555162154</v>
      </c>
      <c r="AJ34" s="81"/>
      <c r="AK34" s="95">
        <f t="shared" ca="1" si="19"/>
        <v>4705238.135971453</v>
      </c>
      <c r="AL34" s="75"/>
      <c r="AM34" s="91">
        <f t="shared" ref="AM34:AN34" si="48">+AM33+2</f>
        <v>31</v>
      </c>
      <c r="AN34" s="75">
        <f t="shared" si="48"/>
        <v>32</v>
      </c>
      <c r="AO34" s="92">
        <f t="shared" ref="AO34:AP34" si="49">+AO33+12</f>
        <v>181</v>
      </c>
      <c r="AP34" s="93">
        <f t="shared" si="49"/>
        <v>192</v>
      </c>
    </row>
    <row r="35" spans="2:42">
      <c r="B35" s="91">
        <f t="shared" si="0"/>
        <v>17</v>
      </c>
      <c r="C35" s="94">
        <f t="shared" si="1"/>
        <v>0</v>
      </c>
      <c r="D35" s="94">
        <f t="shared" si="2"/>
        <v>2505000</v>
      </c>
      <c r="E35" s="94">
        <f t="shared" si="3"/>
        <v>0</v>
      </c>
      <c r="F35" s="81">
        <f t="shared" si="4"/>
        <v>66800000</v>
      </c>
      <c r="G35" s="81"/>
      <c r="H35" s="95">
        <f t="shared" si="5"/>
        <v>2505000</v>
      </c>
      <c r="I35" s="75"/>
      <c r="J35" s="91">
        <f t="shared" si="6"/>
        <v>33</v>
      </c>
      <c r="K35" s="75">
        <f t="shared" si="6"/>
        <v>34</v>
      </c>
      <c r="L35" s="92">
        <f t="shared" si="21"/>
        <v>193</v>
      </c>
      <c r="M35" s="93">
        <f t="shared" si="21"/>
        <v>204</v>
      </c>
      <c r="Q35" s="91">
        <f t="shared" si="7"/>
        <v>17</v>
      </c>
      <c r="R35" s="94">
        <f t="shared" ca="1" si="8"/>
        <v>7423232.7466083588</v>
      </c>
      <c r="S35" s="94">
        <f t="shared" ca="1" si="9"/>
        <v>4537861.4464915609</v>
      </c>
      <c r="T35" s="94">
        <f t="shared" ca="1" si="10"/>
        <v>2885371.3001167979</v>
      </c>
      <c r="U35" s="81">
        <f t="shared" ca="1" si="11"/>
        <v>63247018.11428044</v>
      </c>
      <c r="V35" s="81"/>
      <c r="W35" s="95">
        <f t="shared" ca="1" si="12"/>
        <v>7423232.7466083588</v>
      </c>
      <c r="X35" s="75"/>
      <c r="Y35" s="91">
        <f t="shared" si="13"/>
        <v>33</v>
      </c>
      <c r="Z35" s="75">
        <f t="shared" si="13"/>
        <v>34</v>
      </c>
      <c r="AA35" s="92">
        <f t="shared" si="22"/>
        <v>193</v>
      </c>
      <c r="AB35" s="93">
        <f t="shared" si="22"/>
        <v>204</v>
      </c>
      <c r="AE35" s="91">
        <f t="shared" si="14"/>
        <v>17</v>
      </c>
      <c r="AF35" s="94">
        <f t="shared" ca="1" si="15"/>
        <v>4705238.135971453</v>
      </c>
      <c r="AG35" s="94">
        <f t="shared" ca="1" si="16"/>
        <v>2876336.9629683485</v>
      </c>
      <c r="AH35" s="94">
        <f t="shared" ca="1" si="17"/>
        <v>1828901.1730031045</v>
      </c>
      <c r="AI35" s="81">
        <f t="shared" ca="1" si="18"/>
        <v>40089310.382159047</v>
      </c>
      <c r="AJ35" s="81"/>
      <c r="AK35" s="95">
        <f t="shared" ca="1" si="19"/>
        <v>4705238.135971453</v>
      </c>
      <c r="AL35" s="75"/>
      <c r="AM35" s="91">
        <f t="shared" ref="AM35:AN35" si="50">+AM34+2</f>
        <v>33</v>
      </c>
      <c r="AN35" s="75">
        <f t="shared" si="50"/>
        <v>34</v>
      </c>
      <c r="AO35" s="92">
        <f t="shared" ref="AO35:AP35" si="51">+AO34+12</f>
        <v>193</v>
      </c>
      <c r="AP35" s="93">
        <f t="shared" si="51"/>
        <v>204</v>
      </c>
    </row>
    <row r="36" spans="2:42">
      <c r="B36" s="91">
        <f t="shared" si="0"/>
        <v>18</v>
      </c>
      <c r="C36" s="94">
        <f t="shared" si="1"/>
        <v>0</v>
      </c>
      <c r="D36" s="94">
        <f t="shared" si="2"/>
        <v>2505000</v>
      </c>
      <c r="E36" s="94">
        <f t="shared" si="3"/>
        <v>0</v>
      </c>
      <c r="F36" s="81">
        <f t="shared" si="4"/>
        <v>66800000</v>
      </c>
      <c r="G36" s="81"/>
      <c r="H36" s="95">
        <f t="shared" si="5"/>
        <v>2505000</v>
      </c>
      <c r="I36" s="75"/>
      <c r="J36" s="91">
        <f t="shared" ref="J36:K51" si="52">+J35+2</f>
        <v>35</v>
      </c>
      <c r="K36" s="75">
        <f t="shared" si="52"/>
        <v>36</v>
      </c>
      <c r="L36" s="92">
        <f t="shared" si="21"/>
        <v>205</v>
      </c>
      <c r="M36" s="93">
        <f t="shared" si="21"/>
        <v>216</v>
      </c>
      <c r="Q36" s="91">
        <f t="shared" si="7"/>
        <v>18</v>
      </c>
      <c r="R36" s="94">
        <f t="shared" ca="1" si="8"/>
        <v>7423232.7466083588</v>
      </c>
      <c r="S36" s="94">
        <f t="shared" ca="1" si="9"/>
        <v>4329277.7219058555</v>
      </c>
      <c r="T36" s="94">
        <f t="shared" ca="1" si="10"/>
        <v>3093955.0247025033</v>
      </c>
      <c r="U36" s="81">
        <f t="shared" ca="1" si="11"/>
        <v>60153063.089577936</v>
      </c>
      <c r="V36" s="81"/>
      <c r="W36" s="95">
        <f t="shared" ca="1" si="12"/>
        <v>7423232.7466083588</v>
      </c>
      <c r="X36" s="75"/>
      <c r="Y36" s="91">
        <f t="shared" ref="Y36:Z51" si="53">+Y35+2</f>
        <v>35</v>
      </c>
      <c r="Z36" s="75">
        <f t="shared" si="53"/>
        <v>36</v>
      </c>
      <c r="AA36" s="92">
        <f t="shared" si="22"/>
        <v>205</v>
      </c>
      <c r="AB36" s="93">
        <f t="shared" si="22"/>
        <v>216</v>
      </c>
      <c r="AE36" s="91">
        <f t="shared" si="14"/>
        <v>18</v>
      </c>
      <c r="AF36" s="94">
        <f t="shared" ca="1" si="15"/>
        <v>4705238.135971453</v>
      </c>
      <c r="AG36" s="94">
        <f t="shared" ca="1" si="16"/>
        <v>2744125.5492938897</v>
      </c>
      <c r="AH36" s="94">
        <f t="shared" ca="1" si="17"/>
        <v>1961112.5866775634</v>
      </c>
      <c r="AI36" s="81">
        <f t="shared" ca="1" si="18"/>
        <v>38128197.795481481</v>
      </c>
      <c r="AJ36" s="81"/>
      <c r="AK36" s="95">
        <f t="shared" ca="1" si="19"/>
        <v>4705238.135971453</v>
      </c>
      <c r="AL36" s="75"/>
      <c r="AM36" s="91">
        <f t="shared" ref="AM36:AN36" si="54">+AM35+2</f>
        <v>35</v>
      </c>
      <c r="AN36" s="75">
        <f t="shared" si="54"/>
        <v>36</v>
      </c>
      <c r="AO36" s="92">
        <f t="shared" ref="AO36:AP36" si="55">+AO35+12</f>
        <v>205</v>
      </c>
      <c r="AP36" s="93">
        <f t="shared" si="55"/>
        <v>216</v>
      </c>
    </row>
    <row r="37" spans="2:42">
      <c r="B37" s="91">
        <f t="shared" si="0"/>
        <v>19</v>
      </c>
      <c r="C37" s="94">
        <f t="shared" si="1"/>
        <v>0</v>
      </c>
      <c r="D37" s="94">
        <f t="shared" si="2"/>
        <v>2505000</v>
      </c>
      <c r="E37" s="94">
        <f t="shared" si="3"/>
        <v>0</v>
      </c>
      <c r="F37" s="81">
        <f t="shared" si="4"/>
        <v>66800000</v>
      </c>
      <c r="G37" s="81"/>
      <c r="H37" s="95">
        <f t="shared" si="5"/>
        <v>2505000</v>
      </c>
      <c r="I37" s="75"/>
      <c r="J37" s="91">
        <f t="shared" si="52"/>
        <v>37</v>
      </c>
      <c r="K37" s="75">
        <f t="shared" si="52"/>
        <v>38</v>
      </c>
      <c r="L37" s="92">
        <f t="shared" ref="L37:M52" si="56">+L36+12</f>
        <v>217</v>
      </c>
      <c r="M37" s="93">
        <f t="shared" si="56"/>
        <v>228</v>
      </c>
      <c r="Q37" s="91">
        <f t="shared" si="7"/>
        <v>19</v>
      </c>
      <c r="R37" s="94">
        <f t="shared" ca="1" si="8"/>
        <v>7423232.7466083588</v>
      </c>
      <c r="S37" s="94">
        <f t="shared" ca="1" si="9"/>
        <v>4105615.463004556</v>
      </c>
      <c r="T37" s="94">
        <f t="shared" ca="1" si="10"/>
        <v>3317617.2836038028</v>
      </c>
      <c r="U37" s="81">
        <f t="shared" ca="1" si="11"/>
        <v>56835445.805974133</v>
      </c>
      <c r="V37" s="81"/>
      <c r="W37" s="95">
        <f t="shared" ca="1" si="12"/>
        <v>7423232.7466083588</v>
      </c>
      <c r="X37" s="75"/>
      <c r="Y37" s="91">
        <f t="shared" si="53"/>
        <v>37</v>
      </c>
      <c r="Z37" s="75">
        <f t="shared" si="53"/>
        <v>38</v>
      </c>
      <c r="AA37" s="92">
        <f t="shared" ref="AA37:AB52" si="57">+AA36+12</f>
        <v>217</v>
      </c>
      <c r="AB37" s="93">
        <f t="shared" si="57"/>
        <v>228</v>
      </c>
      <c r="AE37" s="91">
        <f t="shared" si="14"/>
        <v>19</v>
      </c>
      <c r="AF37" s="94">
        <f t="shared" ca="1" si="15"/>
        <v>4705238.135971453</v>
      </c>
      <c r="AG37" s="94">
        <f t="shared" ca="1" si="16"/>
        <v>2602356.561834787</v>
      </c>
      <c r="AH37" s="94">
        <f t="shared" ca="1" si="17"/>
        <v>2102881.574136666</v>
      </c>
      <c r="AI37" s="81">
        <f t="shared" ca="1" si="18"/>
        <v>36025316.221344814</v>
      </c>
      <c r="AJ37" s="81"/>
      <c r="AK37" s="95">
        <f t="shared" ca="1" si="19"/>
        <v>4705238.135971453</v>
      </c>
      <c r="AL37" s="75"/>
      <c r="AM37" s="91">
        <f t="shared" ref="AM37:AN37" si="58">+AM36+2</f>
        <v>37</v>
      </c>
      <c r="AN37" s="75">
        <f t="shared" si="58"/>
        <v>38</v>
      </c>
      <c r="AO37" s="92">
        <f t="shared" ref="AO37:AP37" si="59">+AO36+12</f>
        <v>217</v>
      </c>
      <c r="AP37" s="93">
        <f t="shared" si="59"/>
        <v>228</v>
      </c>
    </row>
    <row r="38" spans="2:42">
      <c r="B38" s="91">
        <f t="shared" si="0"/>
        <v>20</v>
      </c>
      <c r="C38" s="94">
        <f t="shared" si="1"/>
        <v>0</v>
      </c>
      <c r="D38" s="94">
        <f t="shared" si="2"/>
        <v>2505000</v>
      </c>
      <c r="E38" s="94">
        <f t="shared" si="3"/>
        <v>0</v>
      </c>
      <c r="F38" s="81">
        <f t="shared" si="4"/>
        <v>66800000</v>
      </c>
      <c r="G38" s="81"/>
      <c r="H38" s="95">
        <f t="shared" si="5"/>
        <v>2505000</v>
      </c>
      <c r="I38" s="75"/>
      <c r="J38" s="91">
        <f t="shared" si="52"/>
        <v>39</v>
      </c>
      <c r="K38" s="75">
        <f t="shared" si="52"/>
        <v>40</v>
      </c>
      <c r="L38" s="92">
        <f t="shared" si="56"/>
        <v>229</v>
      </c>
      <c r="M38" s="93">
        <f t="shared" si="56"/>
        <v>240</v>
      </c>
      <c r="Q38" s="91">
        <f t="shared" si="7"/>
        <v>20</v>
      </c>
      <c r="R38" s="94">
        <f t="shared" ca="1" si="8"/>
        <v>7423232.7466083588</v>
      </c>
      <c r="S38" s="94">
        <f t="shared" ca="1" si="9"/>
        <v>3865784.6413227911</v>
      </c>
      <c r="T38" s="94">
        <f t="shared" ca="1" si="10"/>
        <v>3557448.1052855677</v>
      </c>
      <c r="U38" s="81">
        <f t="shared" ca="1" si="11"/>
        <v>53277997.700688563</v>
      </c>
      <c r="V38" s="81"/>
      <c r="W38" s="95">
        <f t="shared" ca="1" si="12"/>
        <v>7423232.7466083588</v>
      </c>
      <c r="X38" s="75"/>
      <c r="Y38" s="91">
        <f t="shared" si="53"/>
        <v>39</v>
      </c>
      <c r="Z38" s="75">
        <f t="shared" si="53"/>
        <v>40</v>
      </c>
      <c r="AA38" s="92">
        <f t="shared" si="57"/>
        <v>229</v>
      </c>
      <c r="AB38" s="93">
        <f t="shared" si="57"/>
        <v>240</v>
      </c>
      <c r="AE38" s="91">
        <f t="shared" si="14"/>
        <v>20</v>
      </c>
      <c r="AF38" s="94">
        <f t="shared" ca="1" si="15"/>
        <v>4705238.135971453</v>
      </c>
      <c r="AG38" s="94">
        <f t="shared" ca="1" si="16"/>
        <v>2450339.0828093593</v>
      </c>
      <c r="AH38" s="94">
        <f t="shared" ca="1" si="17"/>
        <v>2254899.0531620937</v>
      </c>
      <c r="AI38" s="81">
        <f t="shared" ca="1" si="18"/>
        <v>33770417.168182723</v>
      </c>
      <c r="AJ38" s="81"/>
      <c r="AK38" s="95">
        <f t="shared" ca="1" si="19"/>
        <v>4705238.135971453</v>
      </c>
      <c r="AL38" s="75"/>
      <c r="AM38" s="91">
        <f t="shared" ref="AM38:AN38" si="60">+AM37+2</f>
        <v>39</v>
      </c>
      <c r="AN38" s="75">
        <f t="shared" si="60"/>
        <v>40</v>
      </c>
      <c r="AO38" s="92">
        <f t="shared" ref="AO38:AP38" si="61">+AO37+12</f>
        <v>229</v>
      </c>
      <c r="AP38" s="93">
        <f t="shared" si="61"/>
        <v>240</v>
      </c>
    </row>
    <row r="39" spans="2:42">
      <c r="B39" s="91">
        <f t="shared" si="0"/>
        <v>21</v>
      </c>
      <c r="C39" s="94">
        <f t="shared" si="1"/>
        <v>0</v>
      </c>
      <c r="D39" s="94">
        <f t="shared" si="2"/>
        <v>2505000</v>
      </c>
      <c r="E39" s="94">
        <f t="shared" si="3"/>
        <v>0</v>
      </c>
      <c r="F39" s="81">
        <f t="shared" si="4"/>
        <v>66800000</v>
      </c>
      <c r="G39" s="81"/>
      <c r="H39" s="95">
        <f t="shared" si="5"/>
        <v>2505000</v>
      </c>
      <c r="I39" s="75"/>
      <c r="J39" s="91">
        <f t="shared" si="52"/>
        <v>41</v>
      </c>
      <c r="K39" s="75">
        <f t="shared" si="52"/>
        <v>42</v>
      </c>
      <c r="L39" s="92">
        <f t="shared" si="56"/>
        <v>241</v>
      </c>
      <c r="M39" s="93">
        <f t="shared" si="56"/>
        <v>252</v>
      </c>
      <c r="Q39" s="91">
        <f t="shared" si="7"/>
        <v>21</v>
      </c>
      <c r="R39" s="94">
        <f t="shared" ca="1" si="8"/>
        <v>7423232.7466083588</v>
      </c>
      <c r="S39" s="94">
        <f t="shared" ca="1" si="9"/>
        <v>3608616.4301498355</v>
      </c>
      <c r="T39" s="94">
        <f t="shared" ca="1" si="10"/>
        <v>3814616.3164585233</v>
      </c>
      <c r="U39" s="81">
        <f t="shared" ca="1" si="11"/>
        <v>49463381.38423004</v>
      </c>
      <c r="V39" s="81"/>
      <c r="W39" s="95">
        <f t="shared" ca="1" si="12"/>
        <v>7423232.7466083588</v>
      </c>
      <c r="X39" s="75"/>
      <c r="Y39" s="91">
        <f t="shared" si="53"/>
        <v>41</v>
      </c>
      <c r="Z39" s="75">
        <f t="shared" si="53"/>
        <v>42</v>
      </c>
      <c r="AA39" s="92">
        <f t="shared" si="57"/>
        <v>241</v>
      </c>
      <c r="AB39" s="93">
        <f t="shared" si="57"/>
        <v>252</v>
      </c>
      <c r="AE39" s="91">
        <f t="shared" si="14"/>
        <v>21</v>
      </c>
      <c r="AF39" s="94">
        <f t="shared" ca="1" si="15"/>
        <v>4705238.135971453</v>
      </c>
      <c r="AG39" s="94">
        <f t="shared" ca="1" si="16"/>
        <v>2287332.2479336224</v>
      </c>
      <c r="AH39" s="94">
        <f t="shared" ca="1" si="17"/>
        <v>2417905.8880378306</v>
      </c>
      <c r="AI39" s="81">
        <f t="shared" ca="1" si="18"/>
        <v>31352511.280144893</v>
      </c>
      <c r="AJ39" s="81"/>
      <c r="AK39" s="95">
        <f t="shared" ca="1" si="19"/>
        <v>4705238.135971453</v>
      </c>
      <c r="AL39" s="75"/>
      <c r="AM39" s="91">
        <f t="shared" ref="AM39:AN39" si="62">+AM38+2</f>
        <v>41</v>
      </c>
      <c r="AN39" s="75">
        <f t="shared" si="62"/>
        <v>42</v>
      </c>
      <c r="AO39" s="92">
        <f t="shared" ref="AO39:AP39" si="63">+AO38+12</f>
        <v>241</v>
      </c>
      <c r="AP39" s="93">
        <f t="shared" si="63"/>
        <v>252</v>
      </c>
    </row>
    <row r="40" spans="2:42">
      <c r="B40" s="91">
        <f t="shared" si="0"/>
        <v>22</v>
      </c>
      <c r="C40" s="94">
        <f t="shared" si="1"/>
        <v>0</v>
      </c>
      <c r="D40" s="94">
        <f t="shared" si="2"/>
        <v>2505000</v>
      </c>
      <c r="E40" s="94">
        <f t="shared" si="3"/>
        <v>0</v>
      </c>
      <c r="F40" s="81">
        <f t="shared" si="4"/>
        <v>66800000</v>
      </c>
      <c r="G40" s="81"/>
      <c r="H40" s="95">
        <f t="shared" si="5"/>
        <v>2505000</v>
      </c>
      <c r="I40" s="75"/>
      <c r="J40" s="91">
        <f t="shared" si="52"/>
        <v>43</v>
      </c>
      <c r="K40" s="75">
        <f t="shared" si="52"/>
        <v>44</v>
      </c>
      <c r="L40" s="92">
        <f t="shared" si="56"/>
        <v>253</v>
      </c>
      <c r="M40" s="93">
        <f t="shared" si="56"/>
        <v>264</v>
      </c>
      <c r="Q40" s="91">
        <f t="shared" si="7"/>
        <v>22</v>
      </c>
      <c r="R40" s="94">
        <f t="shared" ca="1" si="8"/>
        <v>7423232.7466083588</v>
      </c>
      <c r="S40" s="94">
        <f t="shared" ca="1" si="9"/>
        <v>3332857.508197533</v>
      </c>
      <c r="T40" s="94">
        <f t="shared" ca="1" si="10"/>
        <v>4090375.2384108258</v>
      </c>
      <c r="U40" s="81">
        <f t="shared" ca="1" si="11"/>
        <v>45373006.145819217</v>
      </c>
      <c r="V40" s="81"/>
      <c r="W40" s="95">
        <f t="shared" ca="1" si="12"/>
        <v>7423232.7466083588</v>
      </c>
      <c r="X40" s="75"/>
      <c r="Y40" s="91">
        <f t="shared" si="53"/>
        <v>43</v>
      </c>
      <c r="Z40" s="75">
        <f t="shared" si="53"/>
        <v>44</v>
      </c>
      <c r="AA40" s="92">
        <f t="shared" si="57"/>
        <v>253</v>
      </c>
      <c r="AB40" s="93">
        <f t="shared" si="57"/>
        <v>264</v>
      </c>
      <c r="AE40" s="91">
        <f t="shared" si="14"/>
        <v>22</v>
      </c>
      <c r="AF40" s="94">
        <f t="shared" ca="1" si="15"/>
        <v>4705238.135971453</v>
      </c>
      <c r="AG40" s="94">
        <f t="shared" ca="1" si="16"/>
        <v>2112541.635784599</v>
      </c>
      <c r="AH40" s="94">
        <f t="shared" ca="1" si="17"/>
        <v>2592696.500186854</v>
      </c>
      <c r="AI40" s="81">
        <f t="shared" ca="1" si="18"/>
        <v>28759814.77995804</v>
      </c>
      <c r="AJ40" s="81"/>
      <c r="AK40" s="95">
        <f t="shared" ca="1" si="19"/>
        <v>4705238.135971453</v>
      </c>
      <c r="AL40" s="75"/>
      <c r="AM40" s="91">
        <f t="shared" ref="AM40:AN40" si="64">+AM39+2</f>
        <v>43</v>
      </c>
      <c r="AN40" s="75">
        <f t="shared" si="64"/>
        <v>44</v>
      </c>
      <c r="AO40" s="92">
        <f t="shared" ref="AO40:AP40" si="65">+AO39+12</f>
        <v>253</v>
      </c>
      <c r="AP40" s="93">
        <f t="shared" si="65"/>
        <v>264</v>
      </c>
    </row>
    <row r="41" spans="2:42">
      <c r="B41" s="91">
        <f t="shared" si="0"/>
        <v>23</v>
      </c>
      <c r="C41" s="94">
        <f t="shared" si="1"/>
        <v>0</v>
      </c>
      <c r="D41" s="94">
        <f t="shared" si="2"/>
        <v>2505000</v>
      </c>
      <c r="E41" s="94">
        <f t="shared" si="3"/>
        <v>0</v>
      </c>
      <c r="F41" s="81">
        <f t="shared" si="4"/>
        <v>66800000</v>
      </c>
      <c r="G41" s="81"/>
      <c r="H41" s="95">
        <f t="shared" si="5"/>
        <v>2505000</v>
      </c>
      <c r="I41" s="75"/>
      <c r="J41" s="91">
        <f t="shared" si="52"/>
        <v>45</v>
      </c>
      <c r="K41" s="75">
        <f t="shared" si="52"/>
        <v>46</v>
      </c>
      <c r="L41" s="92">
        <f t="shared" si="56"/>
        <v>265</v>
      </c>
      <c r="M41" s="93">
        <f t="shared" si="56"/>
        <v>276</v>
      </c>
      <c r="Q41" s="91">
        <f t="shared" si="7"/>
        <v>23</v>
      </c>
      <c r="R41" s="94">
        <f t="shared" ca="1" si="8"/>
        <v>7423232.7466083588</v>
      </c>
      <c r="S41" s="94">
        <f t="shared" ca="1" si="9"/>
        <v>3037163.9514804697</v>
      </c>
      <c r="T41" s="94">
        <f t="shared" ca="1" si="10"/>
        <v>4386068.7951278891</v>
      </c>
      <c r="U41" s="81">
        <f t="shared" ca="1" si="11"/>
        <v>40986937.350691326</v>
      </c>
      <c r="V41" s="81"/>
      <c r="W41" s="95">
        <f t="shared" ca="1" si="12"/>
        <v>7423232.7466083588</v>
      </c>
      <c r="X41" s="75"/>
      <c r="Y41" s="91">
        <f t="shared" si="53"/>
        <v>45</v>
      </c>
      <c r="Z41" s="75">
        <f t="shared" si="53"/>
        <v>46</v>
      </c>
      <c r="AA41" s="92">
        <f t="shared" si="57"/>
        <v>265</v>
      </c>
      <c r="AB41" s="93">
        <f t="shared" si="57"/>
        <v>276</v>
      </c>
      <c r="AE41" s="91">
        <f t="shared" si="14"/>
        <v>23</v>
      </c>
      <c r="AF41" s="94">
        <f t="shared" ca="1" si="15"/>
        <v>4705238.135971453</v>
      </c>
      <c r="AG41" s="94">
        <f t="shared" ca="1" si="16"/>
        <v>1925115.3961504125</v>
      </c>
      <c r="AH41" s="94">
        <f t="shared" ca="1" si="17"/>
        <v>2780122.7398210405</v>
      </c>
      <c r="AI41" s="81">
        <f t="shared" ca="1" si="18"/>
        <v>25979692.040137</v>
      </c>
      <c r="AJ41" s="81"/>
      <c r="AK41" s="95">
        <f t="shared" ca="1" si="19"/>
        <v>4705238.135971453</v>
      </c>
      <c r="AL41" s="75"/>
      <c r="AM41" s="91">
        <f t="shared" ref="AM41:AN41" si="66">+AM40+2</f>
        <v>45</v>
      </c>
      <c r="AN41" s="75">
        <f t="shared" si="66"/>
        <v>46</v>
      </c>
      <c r="AO41" s="92">
        <f t="shared" ref="AO41:AP41" si="67">+AO40+12</f>
        <v>265</v>
      </c>
      <c r="AP41" s="93">
        <f t="shared" si="67"/>
        <v>276</v>
      </c>
    </row>
    <row r="42" spans="2:42">
      <c r="B42" s="91">
        <f t="shared" si="0"/>
        <v>24</v>
      </c>
      <c r="C42" s="94">
        <f t="shared" si="1"/>
        <v>0</v>
      </c>
      <c r="D42" s="94">
        <f t="shared" si="2"/>
        <v>2505000</v>
      </c>
      <c r="E42" s="94">
        <f t="shared" si="3"/>
        <v>0</v>
      </c>
      <c r="F42" s="81">
        <f t="shared" si="4"/>
        <v>66800000</v>
      </c>
      <c r="G42" s="81"/>
      <c r="H42" s="95">
        <f t="shared" si="5"/>
        <v>2505000</v>
      </c>
      <c r="I42" s="75"/>
      <c r="J42" s="91">
        <f t="shared" si="52"/>
        <v>47</v>
      </c>
      <c r="K42" s="75">
        <f t="shared" si="52"/>
        <v>48</v>
      </c>
      <c r="L42" s="92">
        <f t="shared" si="56"/>
        <v>277</v>
      </c>
      <c r="M42" s="93">
        <f t="shared" si="56"/>
        <v>288</v>
      </c>
      <c r="Q42" s="91">
        <f t="shared" si="7"/>
        <v>24</v>
      </c>
      <c r="R42" s="94">
        <f t="shared" ca="1" si="8"/>
        <v>7423232.7466083588</v>
      </c>
      <c r="S42" s="94">
        <f t="shared" ca="1" si="9"/>
        <v>2720094.6836396633</v>
      </c>
      <c r="T42" s="94">
        <f t="shared" ca="1" si="10"/>
        <v>4703138.0629686955</v>
      </c>
      <c r="U42" s="81">
        <f t="shared" ca="1" si="11"/>
        <v>36283799.287722632</v>
      </c>
      <c r="V42" s="81"/>
      <c r="W42" s="95">
        <f t="shared" ca="1" si="12"/>
        <v>7423232.7466083588</v>
      </c>
      <c r="X42" s="75"/>
      <c r="Y42" s="91">
        <f t="shared" si="53"/>
        <v>47</v>
      </c>
      <c r="Z42" s="75">
        <f t="shared" si="53"/>
        <v>48</v>
      </c>
      <c r="AA42" s="92">
        <f t="shared" si="57"/>
        <v>277</v>
      </c>
      <c r="AB42" s="93">
        <f t="shared" si="57"/>
        <v>288</v>
      </c>
      <c r="AE42" s="91">
        <f t="shared" si="14"/>
        <v>24</v>
      </c>
      <c r="AF42" s="94">
        <f t="shared" ca="1" si="15"/>
        <v>4705238.135971453</v>
      </c>
      <c r="AG42" s="94">
        <f t="shared" ca="1" si="16"/>
        <v>1724140.0984984902</v>
      </c>
      <c r="AH42" s="94">
        <f t="shared" ca="1" si="17"/>
        <v>2981098.0374729629</v>
      </c>
      <c r="AI42" s="81">
        <f t="shared" ca="1" si="18"/>
        <v>22998594.002664037</v>
      </c>
      <c r="AJ42" s="81"/>
      <c r="AK42" s="95">
        <f t="shared" ca="1" si="19"/>
        <v>4705238.135971453</v>
      </c>
      <c r="AL42" s="75"/>
      <c r="AM42" s="91">
        <f t="shared" ref="AM42:AN42" si="68">+AM41+2</f>
        <v>47</v>
      </c>
      <c r="AN42" s="75">
        <f t="shared" si="68"/>
        <v>48</v>
      </c>
      <c r="AO42" s="92">
        <f t="shared" ref="AO42:AP42" si="69">+AO41+12</f>
        <v>277</v>
      </c>
      <c r="AP42" s="93">
        <f t="shared" si="69"/>
        <v>288</v>
      </c>
    </row>
    <row r="43" spans="2:42">
      <c r="B43" s="91">
        <f t="shared" si="0"/>
        <v>25</v>
      </c>
      <c r="C43" s="94">
        <f t="shared" si="1"/>
        <v>0</v>
      </c>
      <c r="D43" s="94">
        <f t="shared" si="2"/>
        <v>2505000</v>
      </c>
      <c r="E43" s="94">
        <f t="shared" si="3"/>
        <v>0</v>
      </c>
      <c r="F43" s="81">
        <f t="shared" si="4"/>
        <v>66800000</v>
      </c>
      <c r="G43" s="81"/>
      <c r="H43" s="95">
        <f t="shared" si="5"/>
        <v>2505000</v>
      </c>
      <c r="I43" s="75"/>
      <c r="J43" s="91">
        <f t="shared" si="52"/>
        <v>49</v>
      </c>
      <c r="K43" s="75">
        <f t="shared" si="52"/>
        <v>50</v>
      </c>
      <c r="L43" s="92">
        <f t="shared" si="56"/>
        <v>289</v>
      </c>
      <c r="M43" s="93">
        <f t="shared" si="56"/>
        <v>300</v>
      </c>
      <c r="Q43" s="91">
        <f t="shared" si="7"/>
        <v>25</v>
      </c>
      <c r="R43" s="94">
        <f t="shared" ca="1" si="8"/>
        <v>7423232.7466083588</v>
      </c>
      <c r="S43" s="94">
        <f t="shared" ca="1" si="9"/>
        <v>2380104.4527896158</v>
      </c>
      <c r="T43" s="94">
        <f t="shared" ca="1" si="10"/>
        <v>5043128.293818743</v>
      </c>
      <c r="U43" s="81">
        <f t="shared" ca="1" si="11"/>
        <v>31240670.99390389</v>
      </c>
      <c r="V43" s="81"/>
      <c r="W43" s="95">
        <f t="shared" ca="1" si="12"/>
        <v>7423232.7466083588</v>
      </c>
      <c r="X43" s="75"/>
      <c r="Y43" s="91">
        <f t="shared" si="53"/>
        <v>49</v>
      </c>
      <c r="Z43" s="75">
        <f t="shared" si="53"/>
        <v>50</v>
      </c>
      <c r="AA43" s="92">
        <f t="shared" si="57"/>
        <v>289</v>
      </c>
      <c r="AB43" s="93">
        <f t="shared" si="57"/>
        <v>300</v>
      </c>
      <c r="AE43" s="91">
        <f t="shared" si="14"/>
        <v>25</v>
      </c>
      <c r="AF43" s="94">
        <f t="shared" ca="1" si="15"/>
        <v>4705238.135971453</v>
      </c>
      <c r="AG43" s="94">
        <f t="shared" ca="1" si="16"/>
        <v>1508636.2803292037</v>
      </c>
      <c r="AH43" s="94">
        <f t="shared" ca="1" si="17"/>
        <v>3196601.8556422493</v>
      </c>
      <c r="AI43" s="81">
        <f t="shared" ca="1" si="18"/>
        <v>19801992.147021789</v>
      </c>
      <c r="AJ43" s="81"/>
      <c r="AK43" s="95">
        <f t="shared" ca="1" si="19"/>
        <v>4705238.135971453</v>
      </c>
      <c r="AL43" s="75"/>
      <c r="AM43" s="91">
        <f t="shared" ref="AM43:AN43" si="70">+AM42+2</f>
        <v>49</v>
      </c>
      <c r="AN43" s="75">
        <f t="shared" si="70"/>
        <v>50</v>
      </c>
      <c r="AO43" s="92">
        <f t="shared" ref="AO43:AP43" si="71">+AO42+12</f>
        <v>289</v>
      </c>
      <c r="AP43" s="93">
        <f t="shared" si="71"/>
        <v>300</v>
      </c>
    </row>
    <row r="44" spans="2:42">
      <c r="B44" s="91">
        <f t="shared" si="0"/>
        <v>26</v>
      </c>
      <c r="C44" s="94">
        <f t="shared" si="1"/>
        <v>0</v>
      </c>
      <c r="D44" s="94">
        <f t="shared" si="2"/>
        <v>2505000</v>
      </c>
      <c r="E44" s="94">
        <f t="shared" si="3"/>
        <v>0</v>
      </c>
      <c r="F44" s="81">
        <f t="shared" si="4"/>
        <v>66800000</v>
      </c>
      <c r="G44" s="81"/>
      <c r="H44" s="95">
        <f t="shared" si="5"/>
        <v>2505000</v>
      </c>
      <c r="I44" s="75"/>
      <c r="J44" s="91">
        <f t="shared" si="52"/>
        <v>51</v>
      </c>
      <c r="K44" s="75">
        <f t="shared" si="52"/>
        <v>52</v>
      </c>
      <c r="L44" s="92">
        <f t="shared" si="56"/>
        <v>301</v>
      </c>
      <c r="M44" s="93">
        <f t="shared" si="56"/>
        <v>312</v>
      </c>
      <c r="Q44" s="91">
        <f t="shared" si="7"/>
        <v>26</v>
      </c>
      <c r="R44" s="94">
        <f t="shared" ca="1" si="8"/>
        <v>7423232.7466083588</v>
      </c>
      <c r="S44" s="94">
        <f t="shared" ca="1" si="9"/>
        <v>2015536.3006610889</v>
      </c>
      <c r="T44" s="94">
        <f t="shared" ca="1" si="10"/>
        <v>5407696.4459472699</v>
      </c>
      <c r="U44" s="81">
        <f t="shared" ca="1" si="11"/>
        <v>25832974.547956619</v>
      </c>
      <c r="V44" s="81"/>
      <c r="W44" s="95">
        <f t="shared" ca="1" si="12"/>
        <v>7423232.7466083588</v>
      </c>
      <c r="X44" s="75"/>
      <c r="Y44" s="91">
        <f t="shared" si="53"/>
        <v>51</v>
      </c>
      <c r="Z44" s="75">
        <f t="shared" si="53"/>
        <v>52</v>
      </c>
      <c r="AA44" s="92">
        <f t="shared" si="57"/>
        <v>301</v>
      </c>
      <c r="AB44" s="93">
        <f t="shared" si="57"/>
        <v>312</v>
      </c>
      <c r="AE44" s="91">
        <f t="shared" si="14"/>
        <v>26</v>
      </c>
      <c r="AF44" s="94">
        <f t="shared" ca="1" si="15"/>
        <v>4705238.135971453</v>
      </c>
      <c r="AG44" s="94">
        <f t="shared" ca="1" si="16"/>
        <v>1277553.6737196324</v>
      </c>
      <c r="AH44" s="94">
        <f t="shared" ca="1" si="17"/>
        <v>3427684.4622518206</v>
      </c>
      <c r="AI44" s="81">
        <f t="shared" ca="1" si="18"/>
        <v>16374307.684769969</v>
      </c>
      <c r="AJ44" s="81"/>
      <c r="AK44" s="95">
        <f t="shared" ca="1" si="19"/>
        <v>4705238.135971453</v>
      </c>
      <c r="AL44" s="75"/>
      <c r="AM44" s="91">
        <f t="shared" ref="AM44:AN44" si="72">+AM43+2</f>
        <v>51</v>
      </c>
      <c r="AN44" s="75">
        <f t="shared" si="72"/>
        <v>52</v>
      </c>
      <c r="AO44" s="92">
        <f t="shared" ref="AO44:AP44" si="73">+AO43+12</f>
        <v>301</v>
      </c>
      <c r="AP44" s="93">
        <f t="shared" si="73"/>
        <v>312</v>
      </c>
    </row>
    <row r="45" spans="2:42">
      <c r="B45" s="91">
        <f t="shared" si="0"/>
        <v>27</v>
      </c>
      <c r="C45" s="94">
        <f t="shared" si="1"/>
        <v>0</v>
      </c>
      <c r="D45" s="94">
        <f t="shared" si="2"/>
        <v>2505000</v>
      </c>
      <c r="E45" s="94">
        <f t="shared" si="3"/>
        <v>0</v>
      </c>
      <c r="F45" s="81">
        <f t="shared" si="4"/>
        <v>66800000</v>
      </c>
      <c r="G45" s="81"/>
      <c r="H45" s="95">
        <f t="shared" si="5"/>
        <v>2505000</v>
      </c>
      <c r="I45" s="75"/>
      <c r="J45" s="91">
        <f t="shared" si="52"/>
        <v>53</v>
      </c>
      <c r="K45" s="75">
        <f t="shared" si="52"/>
        <v>54</v>
      </c>
      <c r="L45" s="92">
        <f t="shared" si="56"/>
        <v>313</v>
      </c>
      <c r="M45" s="93">
        <f t="shared" si="56"/>
        <v>324</v>
      </c>
      <c r="Q45" s="91">
        <f t="shared" si="7"/>
        <v>27</v>
      </c>
      <c r="R45" s="94">
        <f t="shared" ca="1" si="8"/>
        <v>7423232.7466083588</v>
      </c>
      <c r="S45" s="94">
        <f t="shared" ca="1" si="9"/>
        <v>1624613.4873375827</v>
      </c>
      <c r="T45" s="94">
        <f t="shared" ca="1" si="10"/>
        <v>5798619.2592707761</v>
      </c>
      <c r="U45" s="81">
        <f t="shared" ca="1" si="11"/>
        <v>20034355.288685843</v>
      </c>
      <c r="V45" s="81"/>
      <c r="W45" s="95">
        <f t="shared" ca="1" si="12"/>
        <v>7423232.7466083588</v>
      </c>
      <c r="X45" s="75"/>
      <c r="Y45" s="91">
        <f t="shared" si="53"/>
        <v>53</v>
      </c>
      <c r="Z45" s="75">
        <f t="shared" si="53"/>
        <v>54</v>
      </c>
      <c r="AA45" s="92">
        <f t="shared" si="57"/>
        <v>313</v>
      </c>
      <c r="AB45" s="93">
        <f t="shared" si="57"/>
        <v>324</v>
      </c>
      <c r="AE45" s="91">
        <f t="shared" si="14"/>
        <v>27</v>
      </c>
      <c r="AF45" s="94">
        <f t="shared" ca="1" si="15"/>
        <v>4705238.135971453</v>
      </c>
      <c r="AG45" s="94">
        <f t="shared" ca="1" si="16"/>
        <v>1029766.0867937854</v>
      </c>
      <c r="AH45" s="94">
        <f t="shared" ca="1" si="17"/>
        <v>3675472.0491776676</v>
      </c>
      <c r="AI45" s="81">
        <f t="shared" ca="1" si="18"/>
        <v>12698835.635592302</v>
      </c>
      <c r="AJ45" s="81"/>
      <c r="AK45" s="95">
        <f t="shared" ca="1" si="19"/>
        <v>4705238.135971453</v>
      </c>
      <c r="AL45" s="75"/>
      <c r="AM45" s="91">
        <f t="shared" ref="AM45:AN45" si="74">+AM44+2</f>
        <v>53</v>
      </c>
      <c r="AN45" s="75">
        <f t="shared" si="74"/>
        <v>54</v>
      </c>
      <c r="AO45" s="92">
        <f t="shared" ref="AO45:AP45" si="75">+AO44+12</f>
        <v>313</v>
      </c>
      <c r="AP45" s="93">
        <f t="shared" si="75"/>
        <v>324</v>
      </c>
    </row>
    <row r="46" spans="2:42">
      <c r="B46" s="91">
        <f t="shared" si="0"/>
        <v>28</v>
      </c>
      <c r="C46" s="94">
        <f t="shared" si="1"/>
        <v>0</v>
      </c>
      <c r="D46" s="94">
        <f t="shared" si="2"/>
        <v>2505000</v>
      </c>
      <c r="E46" s="94">
        <f t="shared" si="3"/>
        <v>0</v>
      </c>
      <c r="F46" s="81">
        <f t="shared" si="4"/>
        <v>66800000</v>
      </c>
      <c r="G46" s="81"/>
      <c r="H46" s="95">
        <f t="shared" si="5"/>
        <v>2505000</v>
      </c>
      <c r="I46" s="75"/>
      <c r="J46" s="91">
        <f t="shared" si="52"/>
        <v>55</v>
      </c>
      <c r="K46" s="75">
        <f t="shared" si="52"/>
        <v>56</v>
      </c>
      <c r="L46" s="92">
        <f t="shared" si="56"/>
        <v>325</v>
      </c>
      <c r="M46" s="93">
        <f t="shared" si="56"/>
        <v>336</v>
      </c>
      <c r="Q46" s="91">
        <f t="shared" si="7"/>
        <v>28</v>
      </c>
      <c r="R46" s="94">
        <f t="shared" ca="1" si="8"/>
        <v>7423232.7466083588</v>
      </c>
      <c r="S46" s="94">
        <f t="shared" ca="1" si="9"/>
        <v>1205430.8322303733</v>
      </c>
      <c r="T46" s="94">
        <f t="shared" ca="1" si="10"/>
        <v>6217801.9143779855</v>
      </c>
      <c r="U46" s="81">
        <f t="shared" ca="1" si="11"/>
        <v>13816553.374307858</v>
      </c>
      <c r="V46" s="81"/>
      <c r="W46" s="95">
        <f t="shared" ca="1" si="12"/>
        <v>7423232.7466083588</v>
      </c>
      <c r="X46" s="75"/>
      <c r="Y46" s="91">
        <f t="shared" si="53"/>
        <v>55</v>
      </c>
      <c r="Z46" s="75">
        <f t="shared" si="53"/>
        <v>56</v>
      </c>
      <c r="AA46" s="92">
        <f t="shared" si="57"/>
        <v>325</v>
      </c>
      <c r="AB46" s="93">
        <f t="shared" si="57"/>
        <v>336</v>
      </c>
      <c r="AE46" s="91">
        <f t="shared" si="14"/>
        <v>28</v>
      </c>
      <c r="AF46" s="94">
        <f t="shared" ca="1" si="15"/>
        <v>4705238.135971453</v>
      </c>
      <c r="AG46" s="94">
        <f t="shared" ca="1" si="16"/>
        <v>764065.91517389799</v>
      </c>
      <c r="AH46" s="94">
        <f t="shared" ca="1" si="17"/>
        <v>3941172.2207975551</v>
      </c>
      <c r="AI46" s="81">
        <f t="shared" ca="1" si="18"/>
        <v>8757663.4147947468</v>
      </c>
      <c r="AJ46" s="81"/>
      <c r="AK46" s="95">
        <f t="shared" ca="1" si="19"/>
        <v>4705238.135971453</v>
      </c>
      <c r="AL46" s="75"/>
      <c r="AM46" s="91">
        <f t="shared" ref="AM46:AN46" si="76">+AM45+2</f>
        <v>55</v>
      </c>
      <c r="AN46" s="75">
        <f t="shared" si="76"/>
        <v>56</v>
      </c>
      <c r="AO46" s="92">
        <f t="shared" ref="AO46:AP46" si="77">+AO45+12</f>
        <v>325</v>
      </c>
      <c r="AP46" s="93">
        <f t="shared" si="77"/>
        <v>336</v>
      </c>
    </row>
    <row r="47" spans="2:42">
      <c r="B47" s="91">
        <f t="shared" si="0"/>
        <v>29</v>
      </c>
      <c r="C47" s="94">
        <f t="shared" si="1"/>
        <v>0</v>
      </c>
      <c r="D47" s="94">
        <f t="shared" si="2"/>
        <v>2505000</v>
      </c>
      <c r="E47" s="94">
        <f t="shared" si="3"/>
        <v>0</v>
      </c>
      <c r="F47" s="81">
        <f t="shared" si="4"/>
        <v>66800000</v>
      </c>
      <c r="G47" s="81"/>
      <c r="H47" s="95">
        <f t="shared" si="5"/>
        <v>2505000</v>
      </c>
      <c r="I47" s="75"/>
      <c r="J47" s="91">
        <f t="shared" si="52"/>
        <v>57</v>
      </c>
      <c r="K47" s="75">
        <f t="shared" si="52"/>
        <v>58</v>
      </c>
      <c r="L47" s="92">
        <f t="shared" si="56"/>
        <v>337</v>
      </c>
      <c r="M47" s="93">
        <f t="shared" si="56"/>
        <v>348</v>
      </c>
      <c r="Q47" s="91">
        <f t="shared" si="7"/>
        <v>29</v>
      </c>
      <c r="R47" s="94">
        <f t="shared" ca="1" si="8"/>
        <v>7423232.7466083588</v>
      </c>
      <c r="S47" s="94">
        <f t="shared" ca="1" si="9"/>
        <v>755945.42909193039</v>
      </c>
      <c r="T47" s="94">
        <f t="shared" ca="1" si="10"/>
        <v>6667287.3175164284</v>
      </c>
      <c r="U47" s="81">
        <f t="shared" ca="1" si="11"/>
        <v>7149266.0567914294</v>
      </c>
      <c r="V47" s="81"/>
      <c r="W47" s="95">
        <f t="shared" ca="1" si="12"/>
        <v>7423232.7466083588</v>
      </c>
      <c r="X47" s="75"/>
      <c r="Y47" s="91">
        <f t="shared" si="53"/>
        <v>57</v>
      </c>
      <c r="Z47" s="75">
        <f t="shared" si="53"/>
        <v>58</v>
      </c>
      <c r="AA47" s="92">
        <f t="shared" si="57"/>
        <v>337</v>
      </c>
      <c r="AB47" s="93">
        <f t="shared" si="57"/>
        <v>348</v>
      </c>
      <c r="AE47" s="91">
        <f t="shared" si="14"/>
        <v>29</v>
      </c>
      <c r="AF47" s="94">
        <f t="shared" ca="1" si="15"/>
        <v>4705238.135971453</v>
      </c>
      <c r="AG47" s="94">
        <f t="shared" ca="1" si="16"/>
        <v>479158.25666409265</v>
      </c>
      <c r="AH47" s="94">
        <f t="shared" ca="1" si="17"/>
        <v>4226079.8793073604</v>
      </c>
      <c r="AI47" s="81">
        <f t="shared" ca="1" si="18"/>
        <v>4531583.5354873864</v>
      </c>
      <c r="AJ47" s="81"/>
      <c r="AK47" s="95">
        <f t="shared" ca="1" si="19"/>
        <v>4705238.135971453</v>
      </c>
      <c r="AL47" s="75"/>
      <c r="AM47" s="91">
        <f t="shared" ref="AM47:AN47" si="78">+AM46+2</f>
        <v>57</v>
      </c>
      <c r="AN47" s="75">
        <f t="shared" si="78"/>
        <v>58</v>
      </c>
      <c r="AO47" s="92">
        <f t="shared" ref="AO47:AP47" si="79">+AO46+12</f>
        <v>337</v>
      </c>
      <c r="AP47" s="93">
        <f t="shared" si="79"/>
        <v>348</v>
      </c>
    </row>
    <row r="48" spans="2:42">
      <c r="B48" s="91">
        <f t="shared" si="0"/>
        <v>30</v>
      </c>
      <c r="C48" s="94">
        <f t="shared" si="1"/>
        <v>0</v>
      </c>
      <c r="D48" s="94">
        <f t="shared" si="2"/>
        <v>2505000</v>
      </c>
      <c r="E48" s="94">
        <f t="shared" si="3"/>
        <v>0</v>
      </c>
      <c r="F48" s="81">
        <f t="shared" si="4"/>
        <v>66800000</v>
      </c>
      <c r="G48" s="81"/>
      <c r="H48" s="95">
        <f t="shared" si="5"/>
        <v>2505000</v>
      </c>
      <c r="I48" s="75"/>
      <c r="J48" s="91">
        <f t="shared" si="52"/>
        <v>59</v>
      </c>
      <c r="K48" s="75">
        <f t="shared" si="52"/>
        <v>60</v>
      </c>
      <c r="L48" s="92">
        <f t="shared" si="56"/>
        <v>349</v>
      </c>
      <c r="M48" s="93">
        <f t="shared" si="56"/>
        <v>360</v>
      </c>
      <c r="Q48" s="91">
        <f t="shared" si="7"/>
        <v>30</v>
      </c>
      <c r="R48" s="94">
        <f t="shared" ca="1" si="8"/>
        <v>7423232.7466083588</v>
      </c>
      <c r="S48" s="94">
        <f t="shared" ca="1" si="9"/>
        <v>273966.68981691357</v>
      </c>
      <c r="T48" s="94">
        <f t="shared" ca="1" si="10"/>
        <v>7149266.0567914452</v>
      </c>
      <c r="U48" s="81">
        <f t="shared" ca="1" si="11"/>
        <v>-1.5832483768463135E-8</v>
      </c>
      <c r="V48" s="81"/>
      <c r="W48" s="95">
        <f t="shared" ca="1" si="12"/>
        <v>7423232.7466083588</v>
      </c>
      <c r="X48" s="75"/>
      <c r="Y48" s="91">
        <f t="shared" si="53"/>
        <v>59</v>
      </c>
      <c r="Z48" s="75">
        <f t="shared" si="53"/>
        <v>60</v>
      </c>
      <c r="AA48" s="92">
        <f t="shared" si="57"/>
        <v>349</v>
      </c>
      <c r="AB48" s="93">
        <f t="shared" si="57"/>
        <v>360</v>
      </c>
      <c r="AE48" s="91">
        <f t="shared" si="14"/>
        <v>30</v>
      </c>
      <c r="AF48" s="94">
        <f t="shared" ca="1" si="15"/>
        <v>4705238.135971453</v>
      </c>
      <c r="AG48" s="94">
        <f t="shared" ca="1" si="16"/>
        <v>173654.60048405267</v>
      </c>
      <c r="AH48" s="94">
        <f t="shared" ca="1" si="17"/>
        <v>4531583.5354874004</v>
      </c>
      <c r="AI48" s="81">
        <f t="shared" ca="1" si="18"/>
        <v>-1.3969838619232178E-8</v>
      </c>
      <c r="AJ48" s="81"/>
      <c r="AK48" s="95">
        <f t="shared" ca="1" si="19"/>
        <v>4705238.135971453</v>
      </c>
      <c r="AL48" s="75"/>
      <c r="AM48" s="91">
        <f t="shared" ref="AM48:AN48" si="80">+AM47+2</f>
        <v>59</v>
      </c>
      <c r="AN48" s="75">
        <f t="shared" si="80"/>
        <v>60</v>
      </c>
      <c r="AO48" s="92">
        <f t="shared" ref="AO48:AP48" si="81">+AO47+12</f>
        <v>349</v>
      </c>
      <c r="AP48" s="93">
        <f t="shared" si="81"/>
        <v>360</v>
      </c>
    </row>
    <row r="49" spans="1:42">
      <c r="B49" s="91">
        <f t="shared" si="0"/>
        <v>31</v>
      </c>
      <c r="C49" s="94">
        <f t="shared" si="1"/>
        <v>0</v>
      </c>
      <c r="D49" s="94">
        <f t="shared" ca="1" si="2"/>
        <v>2602597.4025974022</v>
      </c>
      <c r="E49" s="94">
        <f ca="1">IF(B49&lt;=$F$9,0,C49-D49)</f>
        <v>-2602597.4025974022</v>
      </c>
      <c r="F49" s="81">
        <f t="shared" ca="1" si="4"/>
        <v>69402597.402597398</v>
      </c>
      <c r="G49" s="81"/>
      <c r="H49" s="95">
        <f t="shared" ca="1" si="5"/>
        <v>0</v>
      </c>
      <c r="I49" s="75"/>
      <c r="J49" s="91">
        <f t="shared" si="52"/>
        <v>61</v>
      </c>
      <c r="K49" s="75">
        <f t="shared" si="52"/>
        <v>62</v>
      </c>
      <c r="L49" s="92">
        <f t="shared" si="56"/>
        <v>361</v>
      </c>
      <c r="M49" s="93">
        <f t="shared" si="56"/>
        <v>372</v>
      </c>
      <c r="Q49" s="91">
        <f t="shared" si="7"/>
        <v>31</v>
      </c>
      <c r="R49" s="94">
        <f t="shared" si="8"/>
        <v>0</v>
      </c>
      <c r="S49" s="94" t="e">
        <f t="shared" ca="1" si="9"/>
        <v>#DIV/0!</v>
      </c>
      <c r="T49" s="94" t="e">
        <f t="shared" ca="1" si="10"/>
        <v>#DIV/0!</v>
      </c>
      <c r="U49" s="81" t="e">
        <f t="shared" ca="1" si="11"/>
        <v>#DIV/0!</v>
      </c>
      <c r="V49" s="81"/>
      <c r="W49" s="95" t="e">
        <f t="shared" ca="1" si="12"/>
        <v>#DIV/0!</v>
      </c>
      <c r="X49" s="75"/>
      <c r="Y49" s="91">
        <f t="shared" si="53"/>
        <v>61</v>
      </c>
      <c r="Z49" s="75">
        <f t="shared" si="53"/>
        <v>62</v>
      </c>
      <c r="AA49" s="92">
        <f t="shared" si="57"/>
        <v>361</v>
      </c>
      <c r="AB49" s="93">
        <f t="shared" si="57"/>
        <v>372</v>
      </c>
      <c r="AE49" s="91">
        <f t="shared" si="14"/>
        <v>31</v>
      </c>
      <c r="AF49" s="94">
        <f t="shared" si="15"/>
        <v>0</v>
      </c>
      <c r="AG49" s="94" t="e">
        <f t="shared" ca="1" si="16"/>
        <v>#DIV/0!</v>
      </c>
      <c r="AH49" s="94" t="e">
        <f t="shared" ca="1" si="17"/>
        <v>#DIV/0!</v>
      </c>
      <c r="AI49" s="81" t="e">
        <f t="shared" ca="1" si="18"/>
        <v>#DIV/0!</v>
      </c>
      <c r="AJ49" s="81"/>
      <c r="AK49" s="95" t="e">
        <f t="shared" ca="1" si="19"/>
        <v>#DIV/0!</v>
      </c>
      <c r="AL49" s="75"/>
      <c r="AM49" s="91">
        <f t="shared" ref="AM49:AN49" si="82">+AM48+2</f>
        <v>61</v>
      </c>
      <c r="AN49" s="75">
        <f t="shared" si="82"/>
        <v>62</v>
      </c>
      <c r="AO49" s="92">
        <f t="shared" ref="AO49:AP49" si="83">+AO48+12</f>
        <v>361</v>
      </c>
      <c r="AP49" s="93">
        <f t="shared" si="83"/>
        <v>372</v>
      </c>
    </row>
    <row r="50" spans="1:42">
      <c r="B50" s="91">
        <f t="shared" si="0"/>
        <v>32</v>
      </c>
      <c r="C50" s="94">
        <f t="shared" si="1"/>
        <v>0</v>
      </c>
      <c r="D50" s="94">
        <f t="shared" ca="1" si="2"/>
        <v>2703997.3013998987</v>
      </c>
      <c r="E50" s="94">
        <f t="shared" ca="1" si="3"/>
        <v>-2703997.3013998987</v>
      </c>
      <c r="F50" s="81">
        <f t="shared" ca="1" si="4"/>
        <v>72106594.703997299</v>
      </c>
      <c r="G50" s="81"/>
      <c r="H50" s="95">
        <f t="shared" ca="1" si="5"/>
        <v>0</v>
      </c>
      <c r="I50" s="75"/>
      <c r="J50" s="91">
        <f t="shared" si="52"/>
        <v>63</v>
      </c>
      <c r="K50" s="75">
        <f t="shared" si="52"/>
        <v>64</v>
      </c>
      <c r="L50" s="92">
        <f t="shared" si="56"/>
        <v>373</v>
      </c>
      <c r="M50" s="93">
        <f t="shared" si="56"/>
        <v>384</v>
      </c>
      <c r="Q50" s="91">
        <f t="shared" si="7"/>
        <v>32</v>
      </c>
      <c r="R50" s="94">
        <f t="shared" si="8"/>
        <v>0</v>
      </c>
      <c r="S50" s="94" t="e">
        <f t="shared" ca="1" si="9"/>
        <v>#DIV/0!</v>
      </c>
      <c r="T50" s="94" t="e">
        <f t="shared" ca="1" si="10"/>
        <v>#DIV/0!</v>
      </c>
      <c r="U50" s="81" t="e">
        <f t="shared" ca="1" si="11"/>
        <v>#DIV/0!</v>
      </c>
      <c r="V50" s="81"/>
      <c r="W50" s="95" t="e">
        <f t="shared" ca="1" si="12"/>
        <v>#DIV/0!</v>
      </c>
      <c r="X50" s="75"/>
      <c r="Y50" s="91">
        <f t="shared" si="53"/>
        <v>63</v>
      </c>
      <c r="Z50" s="75">
        <f t="shared" si="53"/>
        <v>64</v>
      </c>
      <c r="AA50" s="92">
        <f t="shared" si="57"/>
        <v>373</v>
      </c>
      <c r="AB50" s="93">
        <f t="shared" si="57"/>
        <v>384</v>
      </c>
      <c r="AE50" s="91">
        <f t="shared" si="14"/>
        <v>32</v>
      </c>
      <c r="AF50" s="94">
        <f t="shared" si="15"/>
        <v>0</v>
      </c>
      <c r="AG50" s="94" t="e">
        <f t="shared" ca="1" si="16"/>
        <v>#DIV/0!</v>
      </c>
      <c r="AH50" s="94" t="e">
        <f t="shared" ca="1" si="17"/>
        <v>#DIV/0!</v>
      </c>
      <c r="AI50" s="81" t="e">
        <f t="shared" ca="1" si="18"/>
        <v>#DIV/0!</v>
      </c>
      <c r="AJ50" s="81"/>
      <c r="AK50" s="95" t="e">
        <f t="shared" ca="1" si="19"/>
        <v>#DIV/0!</v>
      </c>
      <c r="AL50" s="75"/>
      <c r="AM50" s="91">
        <f t="shared" ref="AM50:AN50" si="84">+AM49+2</f>
        <v>63</v>
      </c>
      <c r="AN50" s="75">
        <f t="shared" si="84"/>
        <v>64</v>
      </c>
      <c r="AO50" s="92">
        <f t="shared" ref="AO50:AP50" si="85">+AO49+12</f>
        <v>373</v>
      </c>
      <c r="AP50" s="93">
        <f t="shared" si="85"/>
        <v>384</v>
      </c>
    </row>
    <row r="51" spans="1:42">
      <c r="B51" s="91">
        <f t="shared" si="0"/>
        <v>33</v>
      </c>
      <c r="C51" s="94">
        <f t="shared" si="1"/>
        <v>0</v>
      </c>
      <c r="D51" s="94">
        <f t="shared" ca="1" si="2"/>
        <v>2809347.8456102847</v>
      </c>
      <c r="E51" s="94">
        <f t="shared" ca="1" si="3"/>
        <v>-2809347.8456102847</v>
      </c>
      <c r="F51" s="81">
        <f t="shared" ca="1" si="4"/>
        <v>74915942.54960759</v>
      </c>
      <c r="G51" s="81"/>
      <c r="H51" s="95">
        <f t="shared" ca="1" si="5"/>
        <v>0</v>
      </c>
      <c r="I51" s="75"/>
      <c r="J51" s="91">
        <f t="shared" si="52"/>
        <v>65</v>
      </c>
      <c r="K51" s="75">
        <f t="shared" si="52"/>
        <v>66</v>
      </c>
      <c r="L51" s="92">
        <f t="shared" si="56"/>
        <v>385</v>
      </c>
      <c r="M51" s="93">
        <f t="shared" si="56"/>
        <v>396</v>
      </c>
      <c r="Q51" s="91">
        <f t="shared" si="7"/>
        <v>33</v>
      </c>
      <c r="R51" s="94">
        <f t="shared" si="8"/>
        <v>0</v>
      </c>
      <c r="S51" s="94" t="e">
        <f t="shared" ca="1" si="9"/>
        <v>#DIV/0!</v>
      </c>
      <c r="T51" s="94" t="e">
        <f t="shared" ca="1" si="10"/>
        <v>#DIV/0!</v>
      </c>
      <c r="U51" s="81" t="e">
        <f t="shared" ca="1" si="11"/>
        <v>#DIV/0!</v>
      </c>
      <c r="V51" s="81"/>
      <c r="W51" s="95" t="e">
        <f t="shared" ca="1" si="12"/>
        <v>#DIV/0!</v>
      </c>
      <c r="X51" s="75"/>
      <c r="Y51" s="91">
        <f t="shared" si="53"/>
        <v>65</v>
      </c>
      <c r="Z51" s="75">
        <f t="shared" si="53"/>
        <v>66</v>
      </c>
      <c r="AA51" s="92">
        <f t="shared" si="57"/>
        <v>385</v>
      </c>
      <c r="AB51" s="93">
        <f t="shared" si="57"/>
        <v>396</v>
      </c>
      <c r="AE51" s="91">
        <f t="shared" si="14"/>
        <v>33</v>
      </c>
      <c r="AF51" s="94">
        <f t="shared" si="15"/>
        <v>0</v>
      </c>
      <c r="AG51" s="94" t="e">
        <f t="shared" ca="1" si="16"/>
        <v>#DIV/0!</v>
      </c>
      <c r="AH51" s="94" t="e">
        <f t="shared" ca="1" si="17"/>
        <v>#DIV/0!</v>
      </c>
      <c r="AI51" s="81" t="e">
        <f t="shared" ca="1" si="18"/>
        <v>#DIV/0!</v>
      </c>
      <c r="AJ51" s="81"/>
      <c r="AK51" s="95" t="e">
        <f t="shared" ca="1" si="19"/>
        <v>#DIV/0!</v>
      </c>
      <c r="AL51" s="75"/>
      <c r="AM51" s="91">
        <f t="shared" ref="AM51:AN51" si="86">+AM50+2</f>
        <v>65</v>
      </c>
      <c r="AN51" s="75">
        <f t="shared" si="86"/>
        <v>66</v>
      </c>
      <c r="AO51" s="92">
        <f t="shared" ref="AO51:AP51" si="87">+AO50+12</f>
        <v>385</v>
      </c>
      <c r="AP51" s="93">
        <f t="shared" si="87"/>
        <v>396</v>
      </c>
    </row>
    <row r="52" spans="1:42">
      <c r="B52" s="91">
        <f t="shared" si="0"/>
        <v>34</v>
      </c>
      <c r="C52" s="94">
        <f t="shared" si="1"/>
        <v>0</v>
      </c>
      <c r="D52" s="94">
        <f t="shared" ca="1" si="2"/>
        <v>2918802.9564782181</v>
      </c>
      <c r="E52" s="94">
        <f t="shared" ca="1" si="3"/>
        <v>-2918802.9564782181</v>
      </c>
      <c r="F52" s="81">
        <f t="shared" ca="1" si="4"/>
        <v>77834745.506085813</v>
      </c>
      <c r="G52" s="81"/>
      <c r="H52" s="95">
        <f t="shared" ca="1" si="5"/>
        <v>0</v>
      </c>
      <c r="I52" s="75"/>
      <c r="J52" s="91">
        <f t="shared" ref="J52:K58" si="88">+J51+2</f>
        <v>67</v>
      </c>
      <c r="K52" s="75">
        <f t="shared" si="88"/>
        <v>68</v>
      </c>
      <c r="L52" s="92">
        <f t="shared" si="56"/>
        <v>397</v>
      </c>
      <c r="M52" s="93">
        <f t="shared" si="56"/>
        <v>408</v>
      </c>
      <c r="Q52" s="91">
        <f t="shared" si="7"/>
        <v>34</v>
      </c>
      <c r="R52" s="94">
        <f t="shared" si="8"/>
        <v>0</v>
      </c>
      <c r="S52" s="94" t="e">
        <f t="shared" ca="1" si="9"/>
        <v>#DIV/0!</v>
      </c>
      <c r="T52" s="94" t="e">
        <f t="shared" ca="1" si="10"/>
        <v>#DIV/0!</v>
      </c>
      <c r="U52" s="81" t="e">
        <f t="shared" ca="1" si="11"/>
        <v>#DIV/0!</v>
      </c>
      <c r="V52" s="81"/>
      <c r="W52" s="95" t="e">
        <f t="shared" ca="1" si="12"/>
        <v>#DIV/0!</v>
      </c>
      <c r="X52" s="75"/>
      <c r="Y52" s="91">
        <f t="shared" ref="Y52:Z58" si="89">+Y51+2</f>
        <v>67</v>
      </c>
      <c r="Z52" s="75">
        <f t="shared" si="89"/>
        <v>68</v>
      </c>
      <c r="AA52" s="92">
        <f t="shared" si="57"/>
        <v>397</v>
      </c>
      <c r="AB52" s="93">
        <f t="shared" si="57"/>
        <v>408</v>
      </c>
      <c r="AE52" s="91">
        <f t="shared" si="14"/>
        <v>34</v>
      </c>
      <c r="AF52" s="94">
        <f t="shared" si="15"/>
        <v>0</v>
      </c>
      <c r="AG52" s="94" t="e">
        <f t="shared" ca="1" si="16"/>
        <v>#DIV/0!</v>
      </c>
      <c r="AH52" s="94" t="e">
        <f t="shared" ca="1" si="17"/>
        <v>#DIV/0!</v>
      </c>
      <c r="AI52" s="81" t="e">
        <f t="shared" ca="1" si="18"/>
        <v>#DIV/0!</v>
      </c>
      <c r="AJ52" s="81"/>
      <c r="AK52" s="95" t="e">
        <f t="shared" ca="1" si="19"/>
        <v>#DIV/0!</v>
      </c>
      <c r="AL52" s="75"/>
      <c r="AM52" s="91">
        <f t="shared" ref="AM52:AN52" si="90">+AM51+2</f>
        <v>67</v>
      </c>
      <c r="AN52" s="75">
        <f t="shared" si="90"/>
        <v>68</v>
      </c>
      <c r="AO52" s="92">
        <f t="shared" ref="AO52:AP52" si="91">+AO51+12</f>
        <v>397</v>
      </c>
      <c r="AP52" s="93">
        <f t="shared" si="91"/>
        <v>408</v>
      </c>
    </row>
    <row r="53" spans="1:42">
      <c r="B53" s="91">
        <f t="shared" si="0"/>
        <v>35</v>
      </c>
      <c r="C53" s="94">
        <f t="shared" si="1"/>
        <v>0</v>
      </c>
      <c r="D53" s="94">
        <f t="shared" ca="1" si="2"/>
        <v>3032522.5521851615</v>
      </c>
      <c r="E53" s="94">
        <f t="shared" ca="1" si="3"/>
        <v>-3032522.5521851615</v>
      </c>
      <c r="F53" s="81">
        <f t="shared" ca="1" si="4"/>
        <v>80867268.058270976</v>
      </c>
      <c r="G53" s="81"/>
      <c r="H53" s="95">
        <f t="shared" ca="1" si="5"/>
        <v>0</v>
      </c>
      <c r="I53" s="75"/>
      <c r="J53" s="91">
        <f t="shared" si="88"/>
        <v>69</v>
      </c>
      <c r="K53" s="75">
        <f t="shared" si="88"/>
        <v>70</v>
      </c>
      <c r="L53" s="92">
        <f t="shared" ref="L53:M58" si="92">+L52+12</f>
        <v>409</v>
      </c>
      <c r="M53" s="93">
        <f t="shared" si="92"/>
        <v>420</v>
      </c>
      <c r="Q53" s="91">
        <f t="shared" si="7"/>
        <v>35</v>
      </c>
      <c r="R53" s="94">
        <f t="shared" si="8"/>
        <v>0</v>
      </c>
      <c r="S53" s="94" t="e">
        <f t="shared" ca="1" si="9"/>
        <v>#DIV/0!</v>
      </c>
      <c r="T53" s="94" t="e">
        <f t="shared" ca="1" si="10"/>
        <v>#DIV/0!</v>
      </c>
      <c r="U53" s="81" t="e">
        <f t="shared" ca="1" si="11"/>
        <v>#DIV/0!</v>
      </c>
      <c r="V53" s="81"/>
      <c r="W53" s="95" t="e">
        <f t="shared" ca="1" si="12"/>
        <v>#DIV/0!</v>
      </c>
      <c r="X53" s="75"/>
      <c r="Y53" s="91">
        <f t="shared" si="89"/>
        <v>69</v>
      </c>
      <c r="Z53" s="75">
        <f t="shared" si="89"/>
        <v>70</v>
      </c>
      <c r="AA53" s="92">
        <f t="shared" ref="AA53:AB58" si="93">+AA52+12</f>
        <v>409</v>
      </c>
      <c r="AB53" s="93">
        <f t="shared" si="93"/>
        <v>420</v>
      </c>
      <c r="AE53" s="91">
        <f t="shared" si="14"/>
        <v>35</v>
      </c>
      <c r="AF53" s="94">
        <f t="shared" si="15"/>
        <v>0</v>
      </c>
      <c r="AG53" s="94" t="e">
        <f t="shared" ca="1" si="16"/>
        <v>#DIV/0!</v>
      </c>
      <c r="AH53" s="94" t="e">
        <f t="shared" ca="1" si="17"/>
        <v>#DIV/0!</v>
      </c>
      <c r="AI53" s="81" t="e">
        <f t="shared" ca="1" si="18"/>
        <v>#DIV/0!</v>
      </c>
      <c r="AJ53" s="81"/>
      <c r="AK53" s="95" t="e">
        <f t="shared" ca="1" si="19"/>
        <v>#DIV/0!</v>
      </c>
      <c r="AL53" s="75"/>
      <c r="AM53" s="91">
        <f t="shared" ref="AM53:AN53" si="94">+AM52+2</f>
        <v>69</v>
      </c>
      <c r="AN53" s="75">
        <f t="shared" si="94"/>
        <v>70</v>
      </c>
      <c r="AO53" s="92">
        <f t="shared" ref="AO53:AP53" si="95">+AO52+12</f>
        <v>409</v>
      </c>
      <c r="AP53" s="93">
        <f t="shared" si="95"/>
        <v>420</v>
      </c>
    </row>
    <row r="54" spans="1:42">
      <c r="B54" s="91">
        <f t="shared" si="0"/>
        <v>36</v>
      </c>
      <c r="C54" s="94">
        <f t="shared" si="1"/>
        <v>0</v>
      </c>
      <c r="D54" s="94">
        <f t="shared" ca="1" si="2"/>
        <v>3150672.7814910766</v>
      </c>
      <c r="E54" s="94">
        <f t="shared" ca="1" si="3"/>
        <v>-3150672.7814910766</v>
      </c>
      <c r="F54" s="81">
        <f t="shared" ca="1" si="4"/>
        <v>84017940.839762047</v>
      </c>
      <c r="G54" s="81"/>
      <c r="H54" s="95">
        <f t="shared" ca="1" si="5"/>
        <v>0</v>
      </c>
      <c r="I54" s="75"/>
      <c r="J54" s="91">
        <f t="shared" si="88"/>
        <v>71</v>
      </c>
      <c r="K54" s="75">
        <f t="shared" si="88"/>
        <v>72</v>
      </c>
      <c r="L54" s="92">
        <f t="shared" si="92"/>
        <v>421</v>
      </c>
      <c r="M54" s="93">
        <f t="shared" si="92"/>
        <v>432</v>
      </c>
      <c r="Q54" s="91">
        <f t="shared" si="7"/>
        <v>36</v>
      </c>
      <c r="R54" s="94">
        <f t="shared" si="8"/>
        <v>0</v>
      </c>
      <c r="S54" s="94" t="e">
        <f t="shared" ca="1" si="9"/>
        <v>#DIV/0!</v>
      </c>
      <c r="T54" s="94" t="e">
        <f t="shared" ca="1" si="10"/>
        <v>#DIV/0!</v>
      </c>
      <c r="U54" s="81" t="e">
        <f t="shared" ca="1" si="11"/>
        <v>#DIV/0!</v>
      </c>
      <c r="V54" s="81"/>
      <c r="W54" s="95" t="e">
        <f t="shared" ca="1" si="12"/>
        <v>#DIV/0!</v>
      </c>
      <c r="X54" s="75"/>
      <c r="Y54" s="91">
        <f t="shared" si="89"/>
        <v>71</v>
      </c>
      <c r="Z54" s="75">
        <f t="shared" si="89"/>
        <v>72</v>
      </c>
      <c r="AA54" s="92">
        <f t="shared" si="93"/>
        <v>421</v>
      </c>
      <c r="AB54" s="93">
        <f t="shared" si="93"/>
        <v>432</v>
      </c>
      <c r="AE54" s="91">
        <f t="shared" si="14"/>
        <v>36</v>
      </c>
      <c r="AF54" s="94">
        <f t="shared" si="15"/>
        <v>0</v>
      </c>
      <c r="AG54" s="94" t="e">
        <f t="shared" ca="1" si="16"/>
        <v>#DIV/0!</v>
      </c>
      <c r="AH54" s="94" t="e">
        <f t="shared" ca="1" si="17"/>
        <v>#DIV/0!</v>
      </c>
      <c r="AI54" s="81" t="e">
        <f t="shared" ca="1" si="18"/>
        <v>#DIV/0!</v>
      </c>
      <c r="AJ54" s="81"/>
      <c r="AK54" s="95" t="e">
        <f t="shared" ca="1" si="19"/>
        <v>#DIV/0!</v>
      </c>
      <c r="AL54" s="75"/>
      <c r="AM54" s="91">
        <f t="shared" ref="AM54:AN54" si="96">+AM53+2</f>
        <v>71</v>
      </c>
      <c r="AN54" s="75">
        <f t="shared" si="96"/>
        <v>72</v>
      </c>
      <c r="AO54" s="92">
        <f t="shared" ref="AO54:AP54" si="97">+AO53+12</f>
        <v>421</v>
      </c>
      <c r="AP54" s="93">
        <f t="shared" si="97"/>
        <v>432</v>
      </c>
    </row>
    <row r="55" spans="1:42">
      <c r="B55" s="91">
        <f t="shared" si="0"/>
        <v>37</v>
      </c>
      <c r="C55" s="94">
        <f t="shared" si="1"/>
        <v>0</v>
      </c>
      <c r="D55" s="94">
        <f t="shared" ca="1" si="2"/>
        <v>3273426.2664842354</v>
      </c>
      <c r="E55" s="94">
        <f t="shared" ca="1" si="3"/>
        <v>-3273426.2664842354</v>
      </c>
      <c r="F55" s="81">
        <f t="shared" ca="1" si="4"/>
        <v>87291367.106246278</v>
      </c>
      <c r="G55" s="81"/>
      <c r="H55" s="95">
        <f t="shared" ca="1" si="5"/>
        <v>0</v>
      </c>
      <c r="I55" s="75"/>
      <c r="J55" s="91">
        <f t="shared" si="88"/>
        <v>73</v>
      </c>
      <c r="K55" s="75">
        <f t="shared" si="88"/>
        <v>74</v>
      </c>
      <c r="L55" s="92">
        <f t="shared" si="92"/>
        <v>433</v>
      </c>
      <c r="M55" s="93">
        <f t="shared" si="92"/>
        <v>444</v>
      </c>
      <c r="Q55" s="91">
        <f t="shared" si="7"/>
        <v>37</v>
      </c>
      <c r="R55" s="94">
        <f t="shared" si="8"/>
        <v>0</v>
      </c>
      <c r="S55" s="94" t="e">
        <f t="shared" ca="1" si="9"/>
        <v>#DIV/0!</v>
      </c>
      <c r="T55" s="94" t="e">
        <f t="shared" ca="1" si="10"/>
        <v>#DIV/0!</v>
      </c>
      <c r="U55" s="81" t="e">
        <f t="shared" ca="1" si="11"/>
        <v>#DIV/0!</v>
      </c>
      <c r="V55" s="81"/>
      <c r="W55" s="95" t="e">
        <f t="shared" ca="1" si="12"/>
        <v>#DIV/0!</v>
      </c>
      <c r="X55" s="75"/>
      <c r="Y55" s="91">
        <f t="shared" si="89"/>
        <v>73</v>
      </c>
      <c r="Z55" s="75">
        <f t="shared" si="89"/>
        <v>74</v>
      </c>
      <c r="AA55" s="92">
        <f t="shared" si="93"/>
        <v>433</v>
      </c>
      <c r="AB55" s="93">
        <f t="shared" si="93"/>
        <v>444</v>
      </c>
      <c r="AE55" s="91">
        <f t="shared" si="14"/>
        <v>37</v>
      </c>
      <c r="AF55" s="94">
        <f t="shared" si="15"/>
        <v>0</v>
      </c>
      <c r="AG55" s="94" t="e">
        <f t="shared" ca="1" si="16"/>
        <v>#DIV/0!</v>
      </c>
      <c r="AH55" s="94" t="e">
        <f t="shared" ca="1" si="17"/>
        <v>#DIV/0!</v>
      </c>
      <c r="AI55" s="81" t="e">
        <f t="shared" ca="1" si="18"/>
        <v>#DIV/0!</v>
      </c>
      <c r="AJ55" s="81"/>
      <c r="AK55" s="95" t="e">
        <f t="shared" ca="1" si="19"/>
        <v>#DIV/0!</v>
      </c>
      <c r="AL55" s="75"/>
      <c r="AM55" s="91">
        <f t="shared" ref="AM55:AN55" si="98">+AM54+2</f>
        <v>73</v>
      </c>
      <c r="AN55" s="75">
        <f t="shared" si="98"/>
        <v>74</v>
      </c>
      <c r="AO55" s="92">
        <f t="shared" ref="AO55:AP55" si="99">+AO54+12</f>
        <v>433</v>
      </c>
      <c r="AP55" s="93">
        <f t="shared" si="99"/>
        <v>444</v>
      </c>
    </row>
    <row r="56" spans="1:42">
      <c r="B56" s="91">
        <f t="shared" si="0"/>
        <v>38</v>
      </c>
      <c r="C56" s="94">
        <f t="shared" si="1"/>
        <v>0</v>
      </c>
      <c r="D56" s="94">
        <f t="shared" ca="1" si="2"/>
        <v>3400962.3547888156</v>
      </c>
      <c r="E56" s="94">
        <f t="shared" ca="1" si="3"/>
        <v>-3400962.3547888156</v>
      </c>
      <c r="F56" s="81">
        <f t="shared" ca="1" si="4"/>
        <v>90692329.461035088</v>
      </c>
      <c r="G56" s="81"/>
      <c r="H56" s="95">
        <f t="shared" ca="1" si="5"/>
        <v>0</v>
      </c>
      <c r="I56" s="75"/>
      <c r="J56" s="91">
        <f t="shared" si="88"/>
        <v>75</v>
      </c>
      <c r="K56" s="75">
        <f t="shared" si="88"/>
        <v>76</v>
      </c>
      <c r="L56" s="92">
        <f t="shared" si="92"/>
        <v>445</v>
      </c>
      <c r="M56" s="93">
        <f t="shared" si="92"/>
        <v>456</v>
      </c>
      <c r="Q56" s="91">
        <f t="shared" si="7"/>
        <v>38</v>
      </c>
      <c r="R56" s="94">
        <f t="shared" si="8"/>
        <v>0</v>
      </c>
      <c r="S56" s="94" t="e">
        <f t="shared" ca="1" si="9"/>
        <v>#DIV/0!</v>
      </c>
      <c r="T56" s="94" t="e">
        <f t="shared" ca="1" si="10"/>
        <v>#DIV/0!</v>
      </c>
      <c r="U56" s="81" t="e">
        <f t="shared" ca="1" si="11"/>
        <v>#DIV/0!</v>
      </c>
      <c r="V56" s="81"/>
      <c r="W56" s="95" t="e">
        <f t="shared" ca="1" si="12"/>
        <v>#DIV/0!</v>
      </c>
      <c r="X56" s="75"/>
      <c r="Y56" s="91">
        <f t="shared" si="89"/>
        <v>75</v>
      </c>
      <c r="Z56" s="75">
        <f t="shared" si="89"/>
        <v>76</v>
      </c>
      <c r="AA56" s="92">
        <f t="shared" si="93"/>
        <v>445</v>
      </c>
      <c r="AB56" s="93">
        <f t="shared" si="93"/>
        <v>456</v>
      </c>
      <c r="AE56" s="91">
        <f t="shared" si="14"/>
        <v>38</v>
      </c>
      <c r="AF56" s="94">
        <f t="shared" si="15"/>
        <v>0</v>
      </c>
      <c r="AG56" s="94" t="e">
        <f t="shared" ca="1" si="16"/>
        <v>#DIV/0!</v>
      </c>
      <c r="AH56" s="94" t="e">
        <f t="shared" ca="1" si="17"/>
        <v>#DIV/0!</v>
      </c>
      <c r="AI56" s="81" t="e">
        <f t="shared" ca="1" si="18"/>
        <v>#DIV/0!</v>
      </c>
      <c r="AJ56" s="81"/>
      <c r="AK56" s="95" t="e">
        <f t="shared" ca="1" si="19"/>
        <v>#DIV/0!</v>
      </c>
      <c r="AL56" s="75"/>
      <c r="AM56" s="91">
        <f t="shared" ref="AM56:AN56" si="100">+AM55+2</f>
        <v>75</v>
      </c>
      <c r="AN56" s="75">
        <f t="shared" si="100"/>
        <v>76</v>
      </c>
      <c r="AO56" s="92">
        <f t="shared" ref="AO56:AP56" si="101">+AO55+12</f>
        <v>445</v>
      </c>
      <c r="AP56" s="93">
        <f t="shared" si="101"/>
        <v>456</v>
      </c>
    </row>
    <row r="57" spans="1:42">
      <c r="B57" s="91">
        <f t="shared" si="0"/>
        <v>39</v>
      </c>
      <c r="C57" s="94">
        <f t="shared" si="1"/>
        <v>0</v>
      </c>
      <c r="D57" s="94">
        <f t="shared" ca="1" si="2"/>
        <v>3533467.3815987697</v>
      </c>
      <c r="E57" s="94">
        <f t="shared" ca="1" si="3"/>
        <v>-3533467.3815987697</v>
      </c>
      <c r="F57" s="81">
        <f t="shared" ca="1" si="4"/>
        <v>94225796.842633858</v>
      </c>
      <c r="G57" s="81"/>
      <c r="H57" s="95">
        <f t="shared" ca="1" si="5"/>
        <v>0</v>
      </c>
      <c r="I57" s="75"/>
      <c r="J57" s="91">
        <f t="shared" si="88"/>
        <v>77</v>
      </c>
      <c r="K57" s="75">
        <f t="shared" si="88"/>
        <v>78</v>
      </c>
      <c r="L57" s="92">
        <f t="shared" si="92"/>
        <v>457</v>
      </c>
      <c r="M57" s="93">
        <f t="shared" si="92"/>
        <v>468</v>
      </c>
      <c r="Q57" s="91">
        <f t="shared" si="7"/>
        <v>39</v>
      </c>
      <c r="R57" s="94">
        <f t="shared" si="8"/>
        <v>0</v>
      </c>
      <c r="S57" s="94" t="e">
        <f t="shared" ca="1" si="9"/>
        <v>#DIV/0!</v>
      </c>
      <c r="T57" s="94" t="e">
        <f t="shared" ca="1" si="10"/>
        <v>#DIV/0!</v>
      </c>
      <c r="U57" s="81" t="e">
        <f t="shared" ca="1" si="11"/>
        <v>#DIV/0!</v>
      </c>
      <c r="V57" s="81"/>
      <c r="W57" s="95" t="e">
        <f t="shared" ca="1" si="12"/>
        <v>#DIV/0!</v>
      </c>
      <c r="X57" s="75"/>
      <c r="Y57" s="91">
        <f t="shared" si="89"/>
        <v>77</v>
      </c>
      <c r="Z57" s="75">
        <f t="shared" si="89"/>
        <v>78</v>
      </c>
      <c r="AA57" s="92">
        <f t="shared" si="93"/>
        <v>457</v>
      </c>
      <c r="AB57" s="93">
        <f t="shared" si="93"/>
        <v>468</v>
      </c>
      <c r="AE57" s="91">
        <f t="shared" si="14"/>
        <v>39</v>
      </c>
      <c r="AF57" s="94">
        <f t="shared" si="15"/>
        <v>0</v>
      </c>
      <c r="AG57" s="94" t="e">
        <f t="shared" ca="1" si="16"/>
        <v>#DIV/0!</v>
      </c>
      <c r="AH57" s="94" t="e">
        <f t="shared" ca="1" si="17"/>
        <v>#DIV/0!</v>
      </c>
      <c r="AI57" s="81" t="e">
        <f t="shared" ca="1" si="18"/>
        <v>#DIV/0!</v>
      </c>
      <c r="AJ57" s="81"/>
      <c r="AK57" s="95" t="e">
        <f t="shared" ca="1" si="19"/>
        <v>#DIV/0!</v>
      </c>
      <c r="AL57" s="75"/>
      <c r="AM57" s="91">
        <f t="shared" ref="AM57:AN57" si="102">+AM56+2</f>
        <v>77</v>
      </c>
      <c r="AN57" s="75">
        <f t="shared" si="102"/>
        <v>78</v>
      </c>
      <c r="AO57" s="92">
        <f t="shared" ref="AO57:AP57" si="103">+AO56+12</f>
        <v>457</v>
      </c>
      <c r="AP57" s="93">
        <f t="shared" si="103"/>
        <v>468</v>
      </c>
    </row>
    <row r="58" spans="1:42" ht="17" thickBot="1">
      <c r="B58" s="96">
        <f t="shared" si="0"/>
        <v>40</v>
      </c>
      <c r="C58" s="97">
        <f t="shared" si="1"/>
        <v>0</v>
      </c>
      <c r="D58" s="97">
        <f t="shared" ca="1" si="2"/>
        <v>3671134.9419207997</v>
      </c>
      <c r="E58" s="97">
        <f t="shared" ca="1" si="3"/>
        <v>-3671134.9419207997</v>
      </c>
      <c r="F58" s="86">
        <f t="shared" ca="1" si="4"/>
        <v>97896931.78455466</v>
      </c>
      <c r="G58" s="86"/>
      <c r="H58" s="98">
        <f t="shared" ca="1" si="5"/>
        <v>0</v>
      </c>
      <c r="I58" s="75"/>
      <c r="J58" s="96">
        <f t="shared" si="88"/>
        <v>79</v>
      </c>
      <c r="K58" s="97">
        <f t="shared" si="88"/>
        <v>80</v>
      </c>
      <c r="L58" s="99">
        <f t="shared" si="92"/>
        <v>469</v>
      </c>
      <c r="M58" s="98">
        <f t="shared" si="92"/>
        <v>480</v>
      </c>
      <c r="Q58" s="96">
        <f t="shared" si="7"/>
        <v>40</v>
      </c>
      <c r="R58" s="97">
        <f t="shared" si="8"/>
        <v>0</v>
      </c>
      <c r="S58" s="97" t="e">
        <f t="shared" ca="1" si="9"/>
        <v>#DIV/0!</v>
      </c>
      <c r="T58" s="97" t="e">
        <f t="shared" ca="1" si="10"/>
        <v>#DIV/0!</v>
      </c>
      <c r="U58" s="86" t="e">
        <f t="shared" ca="1" si="11"/>
        <v>#DIV/0!</v>
      </c>
      <c r="V58" s="86"/>
      <c r="W58" s="98" t="e">
        <f t="shared" ca="1" si="12"/>
        <v>#DIV/0!</v>
      </c>
      <c r="X58" s="75"/>
      <c r="Y58" s="96">
        <f t="shared" si="89"/>
        <v>79</v>
      </c>
      <c r="Z58" s="97">
        <f t="shared" si="89"/>
        <v>80</v>
      </c>
      <c r="AA58" s="99">
        <f t="shared" si="93"/>
        <v>469</v>
      </c>
      <c r="AB58" s="98">
        <f t="shared" si="93"/>
        <v>480</v>
      </c>
      <c r="AE58" s="96">
        <f t="shared" si="14"/>
        <v>40</v>
      </c>
      <c r="AF58" s="97">
        <f t="shared" si="15"/>
        <v>0</v>
      </c>
      <c r="AG58" s="97" t="e">
        <f t="shared" ca="1" si="16"/>
        <v>#DIV/0!</v>
      </c>
      <c r="AH58" s="97" t="e">
        <f t="shared" ca="1" si="17"/>
        <v>#DIV/0!</v>
      </c>
      <c r="AI58" s="86" t="e">
        <f t="shared" ca="1" si="18"/>
        <v>#DIV/0!</v>
      </c>
      <c r="AJ58" s="86"/>
      <c r="AK58" s="98" t="e">
        <f t="shared" ca="1" si="19"/>
        <v>#DIV/0!</v>
      </c>
      <c r="AL58" s="75"/>
      <c r="AM58" s="96">
        <f t="shared" ref="AM58:AN58" si="104">+AM57+2</f>
        <v>79</v>
      </c>
      <c r="AN58" s="97">
        <f t="shared" si="104"/>
        <v>80</v>
      </c>
      <c r="AO58" s="99">
        <f t="shared" ref="AO58:AP58" si="105">+AO57+12</f>
        <v>469</v>
      </c>
      <c r="AP58" s="98">
        <f t="shared" si="105"/>
        <v>480</v>
      </c>
    </row>
    <row r="62" spans="1:42" ht="17" thickBot="1"/>
    <row r="63" spans="1:42">
      <c r="B63" s="235"/>
      <c r="C63" s="236" t="s">
        <v>273</v>
      </c>
      <c r="D63" s="489" t="s">
        <v>274</v>
      </c>
    </row>
    <row r="64" spans="1:42">
      <c r="A64" s="501" t="s">
        <v>226</v>
      </c>
      <c r="B64" s="497" t="s">
        <v>227</v>
      </c>
      <c r="C64" s="490">
        <v>2.5095000000000001</v>
      </c>
      <c r="D64" s="491">
        <f>AVERAGE(C70:C75)/100</f>
        <v>1.9816833333333336E-2</v>
      </c>
      <c r="E64" s="101"/>
      <c r="F64" s="101"/>
    </row>
    <row r="65" spans="2:13">
      <c r="B65" s="497" t="s">
        <v>228</v>
      </c>
      <c r="C65" s="490">
        <v>2.4944999999999999</v>
      </c>
      <c r="D65" s="492"/>
      <c r="E65" s="101"/>
      <c r="F65" s="101"/>
    </row>
    <row r="66" spans="2:13">
      <c r="B66" s="497" t="s">
        <v>229</v>
      </c>
      <c r="C66" s="490">
        <v>2.4897999999999998</v>
      </c>
      <c r="D66" s="492"/>
      <c r="E66" s="101"/>
      <c r="F66" s="101"/>
    </row>
    <row r="67" spans="2:13">
      <c r="B67" s="497" t="s">
        <v>230</v>
      </c>
      <c r="C67" s="490">
        <v>2.4802</v>
      </c>
      <c r="D67" s="492"/>
      <c r="E67" s="101"/>
      <c r="F67" s="101"/>
    </row>
    <row r="68" spans="2:13">
      <c r="B68" s="497" t="s">
        <v>231</v>
      </c>
      <c r="C68" s="490">
        <v>2.4451000000000001</v>
      </c>
      <c r="D68" s="492"/>
      <c r="E68" s="101"/>
      <c r="F68" s="101"/>
    </row>
    <row r="69" spans="2:13">
      <c r="B69" s="497" t="s">
        <v>232</v>
      </c>
      <c r="C69" s="490">
        <v>2.4034</v>
      </c>
      <c r="D69" s="492"/>
      <c r="E69" s="101"/>
      <c r="F69" s="101"/>
    </row>
    <row r="70" spans="2:13">
      <c r="B70" s="497" t="s">
        <v>233</v>
      </c>
      <c r="C70" s="490">
        <v>2.3060999999999998</v>
      </c>
      <c r="D70" s="492"/>
      <c r="E70" s="101"/>
      <c r="F70" s="101"/>
    </row>
    <row r="71" spans="2:13">
      <c r="B71" s="497" t="s">
        <v>234</v>
      </c>
      <c r="C71" s="490">
        <v>2.1728999999999998</v>
      </c>
      <c r="D71" s="492"/>
      <c r="E71" s="101"/>
      <c r="F71" s="101"/>
    </row>
    <row r="72" spans="2:13" ht="20">
      <c r="B72" s="497" t="s">
        <v>235</v>
      </c>
      <c r="C72" s="490">
        <v>2.0432000000000001</v>
      </c>
      <c r="D72" s="492"/>
      <c r="E72" s="101"/>
      <c r="F72" s="101"/>
      <c r="J72" s="342"/>
      <c r="K72" s="103"/>
      <c r="L72" s="103"/>
      <c r="M72" s="103"/>
    </row>
    <row r="73" spans="2:13" ht="20">
      <c r="B73" s="497" t="s">
        <v>236</v>
      </c>
      <c r="C73" s="490">
        <v>1.8782000000000001</v>
      </c>
      <c r="D73" s="492"/>
      <c r="E73" s="101"/>
      <c r="F73" s="101"/>
      <c r="J73" s="342"/>
      <c r="K73" s="103"/>
      <c r="L73" s="103"/>
      <c r="M73" s="103"/>
    </row>
    <row r="74" spans="2:13" ht="20">
      <c r="B74" s="497" t="s">
        <v>237</v>
      </c>
      <c r="C74" s="490">
        <v>1.7354000000000001</v>
      </c>
      <c r="D74" s="492"/>
      <c r="E74" s="101"/>
      <c r="F74" s="101"/>
      <c r="J74" s="342"/>
      <c r="K74" s="103"/>
      <c r="L74" s="103"/>
      <c r="M74" s="103"/>
    </row>
    <row r="75" spans="2:13" ht="20">
      <c r="B75" s="497" t="s">
        <v>238</v>
      </c>
      <c r="C75" s="490">
        <v>1.7543</v>
      </c>
      <c r="D75" s="492"/>
      <c r="E75" s="101"/>
      <c r="F75" s="101"/>
      <c r="J75" s="342"/>
      <c r="K75" s="103"/>
      <c r="L75" s="103"/>
      <c r="M75" s="103"/>
    </row>
    <row r="76" spans="2:13" ht="20">
      <c r="B76" s="497"/>
      <c r="C76" s="490"/>
      <c r="D76" s="492"/>
      <c r="E76" s="101"/>
      <c r="F76" s="101"/>
      <c r="J76" s="342"/>
      <c r="K76" s="103"/>
      <c r="L76" s="103"/>
      <c r="M76" s="103"/>
    </row>
    <row r="77" spans="2:13" ht="20">
      <c r="B77" s="497" t="s">
        <v>239</v>
      </c>
      <c r="C77" s="490">
        <v>1.6708000000000001</v>
      </c>
      <c r="D77" s="491">
        <f>AVERAGE(C77:C88)/100</f>
        <v>5.183908333333335E-3</v>
      </c>
      <c r="E77" s="101"/>
      <c r="F77" s="101"/>
      <c r="J77" s="342"/>
      <c r="K77" s="103"/>
      <c r="L77" s="103"/>
      <c r="M77" s="103"/>
    </row>
    <row r="78" spans="2:13" ht="20">
      <c r="B78" s="497" t="s">
        <v>240</v>
      </c>
      <c r="C78" s="490">
        <v>1.6367</v>
      </c>
      <c r="D78" s="492"/>
      <c r="E78" s="101"/>
      <c r="F78" s="101"/>
      <c r="J78" s="342"/>
      <c r="K78" s="103"/>
      <c r="L78" s="103"/>
      <c r="M78" s="103"/>
    </row>
    <row r="79" spans="2:13" ht="20">
      <c r="B79" s="497" t="s">
        <v>241</v>
      </c>
      <c r="C79" s="490">
        <v>0.91720000000000002</v>
      </c>
      <c r="D79" s="492"/>
      <c r="E79" s="101"/>
      <c r="F79" s="101"/>
      <c r="J79" s="342"/>
      <c r="K79" s="103"/>
      <c r="L79" s="103"/>
      <c r="M79" s="103"/>
    </row>
    <row r="80" spans="2:13" ht="20">
      <c r="B80" s="497" t="s">
        <v>242</v>
      </c>
      <c r="C80" s="490">
        <v>0.69569999999999999</v>
      </c>
      <c r="D80" s="492"/>
      <c r="E80" s="101"/>
      <c r="F80" s="101"/>
      <c r="J80" s="342"/>
      <c r="K80" s="103"/>
      <c r="L80" s="103"/>
      <c r="M80" s="103"/>
    </row>
    <row r="81" spans="2:13" ht="20">
      <c r="B81" s="497" t="s">
        <v>243</v>
      </c>
      <c r="C81" s="490">
        <v>0.19389999999999999</v>
      </c>
      <c r="D81" s="492"/>
      <c r="E81" s="101"/>
      <c r="F81" s="101"/>
      <c r="J81" s="342"/>
      <c r="K81" s="103"/>
      <c r="L81" s="103"/>
      <c r="M81" s="103"/>
    </row>
    <row r="82" spans="2:13" ht="20">
      <c r="B82" s="497" t="s">
        <v>244</v>
      </c>
      <c r="C82" s="490">
        <v>0.18301000000000001</v>
      </c>
      <c r="D82" s="492"/>
      <c r="E82" s="101"/>
      <c r="F82" s="101"/>
      <c r="J82" s="342"/>
      <c r="K82" s="103"/>
      <c r="L82" s="103"/>
      <c r="M82" s="103"/>
    </row>
    <row r="83" spans="2:13" ht="20">
      <c r="B83" s="497" t="s">
        <v>245</v>
      </c>
      <c r="C83" s="490">
        <v>0.17249999999999999</v>
      </c>
      <c r="D83" s="492"/>
      <c r="E83" s="101"/>
      <c r="F83" s="101"/>
      <c r="J83" s="342"/>
      <c r="K83" s="103"/>
      <c r="L83" s="103"/>
      <c r="M83" s="103"/>
    </row>
    <row r="84" spans="2:13" ht="20">
      <c r="B84" s="497" t="s">
        <v>246</v>
      </c>
      <c r="C84" s="490">
        <v>0.16192000000000001</v>
      </c>
      <c r="D84" s="492"/>
      <c r="E84" s="101"/>
      <c r="F84" s="101"/>
      <c r="J84" s="342"/>
      <c r="K84" s="103"/>
      <c r="L84" s="103"/>
      <c r="M84" s="103"/>
    </row>
    <row r="85" spans="2:13" ht="20">
      <c r="B85" s="497" t="s">
        <v>247</v>
      </c>
      <c r="C85" s="490">
        <v>0.15179999999999999</v>
      </c>
      <c r="D85" s="492"/>
      <c r="E85" s="101"/>
      <c r="F85" s="101"/>
      <c r="J85" s="342"/>
      <c r="K85" s="103"/>
      <c r="L85" s="103"/>
      <c r="M85" s="103"/>
    </row>
    <row r="86" spans="2:13" ht="20">
      <c r="B86" s="497" t="s">
        <v>248</v>
      </c>
      <c r="C86" s="490">
        <v>0.14607999999999999</v>
      </c>
      <c r="D86" s="492"/>
      <c r="E86" s="101"/>
      <c r="F86" s="101"/>
      <c r="J86" s="342"/>
      <c r="K86" s="103"/>
      <c r="L86" s="103"/>
      <c r="M86" s="103"/>
    </row>
    <row r="87" spans="2:13" ht="20">
      <c r="B87" s="497" t="s">
        <v>249</v>
      </c>
      <c r="C87" s="490">
        <v>0.14219000000000001</v>
      </c>
      <c r="D87" s="492"/>
      <c r="E87" s="101"/>
      <c r="F87" s="101"/>
      <c r="J87" s="342"/>
      <c r="K87" s="103"/>
      <c r="L87" s="103"/>
      <c r="M87" s="103"/>
    </row>
    <row r="88" spans="2:13" ht="20">
      <c r="B88" s="497" t="s">
        <v>250</v>
      </c>
      <c r="C88" s="490">
        <v>0.14888999999999999</v>
      </c>
      <c r="D88" s="492"/>
      <c r="E88" s="101"/>
      <c r="F88" s="101"/>
      <c r="J88" s="342"/>
      <c r="K88" s="103"/>
      <c r="L88" s="103"/>
      <c r="M88" s="103"/>
    </row>
    <row r="89" spans="2:13" ht="20">
      <c r="B89" s="497"/>
      <c r="C89" s="490"/>
      <c r="D89" s="492"/>
      <c r="E89" s="101"/>
      <c r="F89" s="101"/>
      <c r="J89" s="342"/>
      <c r="K89" s="103"/>
      <c r="L89" s="103"/>
      <c r="M89" s="103"/>
    </row>
    <row r="90" spans="2:13" ht="20">
      <c r="B90" s="497" t="s">
        <v>251</v>
      </c>
      <c r="C90" s="490">
        <v>0.12783</v>
      </c>
      <c r="D90" s="491">
        <f>AVERAGE(C90:C101)/100</f>
        <v>9.9254166666666653E-4</v>
      </c>
      <c r="E90" s="101"/>
      <c r="F90" s="101"/>
      <c r="J90" s="342"/>
      <c r="K90" s="103"/>
      <c r="L90" s="103"/>
      <c r="M90" s="103"/>
    </row>
    <row r="91" spans="2:13" ht="20">
      <c r="B91" s="497" t="s">
        <v>252</v>
      </c>
      <c r="C91" s="490">
        <v>0.11408</v>
      </c>
      <c r="D91" s="492"/>
      <c r="E91" s="101"/>
      <c r="F91" s="101"/>
      <c r="J91" s="342"/>
      <c r="K91" s="103"/>
      <c r="L91" s="103"/>
      <c r="M91" s="103"/>
    </row>
    <row r="92" spans="2:13" ht="20">
      <c r="B92" s="497" t="s">
        <v>253</v>
      </c>
      <c r="C92" s="490">
        <v>0.10786999999999999</v>
      </c>
      <c r="D92" s="492"/>
      <c r="E92" s="101"/>
      <c r="F92" s="101"/>
      <c r="J92" s="342"/>
      <c r="K92" s="103"/>
      <c r="L92" s="103"/>
      <c r="M92" s="103"/>
    </row>
    <row r="93" spans="2:13" ht="20">
      <c r="B93" s="497" t="s">
        <v>254</v>
      </c>
      <c r="C93" s="490">
        <v>0.1113</v>
      </c>
      <c r="D93" s="492"/>
      <c r="E93" s="101"/>
      <c r="F93" s="101"/>
      <c r="J93" s="342"/>
      <c r="K93" s="103"/>
      <c r="L93" s="103"/>
      <c r="M93" s="103"/>
    </row>
    <row r="94" spans="2:13" ht="20">
      <c r="B94" s="497" t="s">
        <v>255</v>
      </c>
      <c r="C94" s="490">
        <v>9.6750000000000003E-2</v>
      </c>
      <c r="D94" s="492"/>
      <c r="E94" s="101"/>
      <c r="F94" s="101"/>
      <c r="J94" s="342"/>
      <c r="K94" s="103"/>
      <c r="L94" s="103"/>
      <c r="M94" s="103"/>
    </row>
    <row r="95" spans="2:13" ht="20">
      <c r="B95" s="497" t="s">
        <v>256</v>
      </c>
      <c r="C95" s="490">
        <v>8.6879999999999999E-2</v>
      </c>
      <c r="D95" s="492"/>
      <c r="E95" s="101"/>
      <c r="F95" s="101"/>
      <c r="J95" s="342"/>
      <c r="K95" s="103"/>
      <c r="L95" s="103"/>
      <c r="M95" s="103"/>
    </row>
    <row r="96" spans="2:13" ht="20">
      <c r="B96" s="497" t="s">
        <v>257</v>
      </c>
      <c r="C96" s="490">
        <v>9.3619999999999995E-2</v>
      </c>
      <c r="D96" s="492"/>
      <c r="E96" s="101"/>
      <c r="F96" s="101"/>
      <c r="J96" s="342"/>
      <c r="K96" s="103"/>
      <c r="L96" s="103"/>
      <c r="M96" s="103"/>
    </row>
    <row r="97" spans="2:13" ht="20">
      <c r="B97" s="497" t="s">
        <v>258</v>
      </c>
      <c r="C97" s="490">
        <v>8.974E-2</v>
      </c>
      <c r="D97" s="492"/>
      <c r="E97" s="101"/>
      <c r="F97" s="101"/>
      <c r="J97" s="342"/>
      <c r="K97" s="103"/>
      <c r="L97" s="103"/>
      <c r="M97" s="103"/>
    </row>
    <row r="98" spans="2:13" ht="20">
      <c r="B98" s="497" t="s">
        <v>259</v>
      </c>
      <c r="C98" s="490">
        <v>8.3799999999999999E-2</v>
      </c>
      <c r="D98" s="492"/>
      <c r="E98" s="101"/>
      <c r="F98" s="101"/>
      <c r="J98" s="342"/>
      <c r="K98" s="103"/>
      <c r="L98" s="103"/>
      <c r="M98" s="103"/>
    </row>
    <row r="99" spans="2:13" ht="20">
      <c r="B99" s="497" t="s">
        <v>260</v>
      </c>
      <c r="C99" s="490">
        <v>8.548E-2</v>
      </c>
      <c r="D99" s="492"/>
      <c r="E99" s="101"/>
      <c r="F99" s="101"/>
      <c r="J99" s="342"/>
      <c r="K99" s="103"/>
      <c r="L99" s="103"/>
      <c r="M99" s="103"/>
    </row>
    <row r="100" spans="2:13" ht="20">
      <c r="B100" s="497" t="s">
        <v>261</v>
      </c>
      <c r="C100" s="490">
        <v>0.09</v>
      </c>
      <c r="D100" s="492"/>
      <c r="E100" s="101"/>
      <c r="F100" s="101"/>
      <c r="J100" s="342"/>
      <c r="K100" s="103"/>
      <c r="L100" s="103"/>
      <c r="M100" s="103"/>
    </row>
    <row r="101" spans="2:13" ht="20">
      <c r="B101" s="497" t="s">
        <v>262</v>
      </c>
      <c r="C101" s="490">
        <v>0.1037</v>
      </c>
      <c r="D101" s="492"/>
      <c r="E101" s="101"/>
      <c r="F101" s="101"/>
      <c r="J101" s="342"/>
      <c r="K101" s="103"/>
      <c r="L101" s="103"/>
      <c r="M101" s="103"/>
    </row>
    <row r="102" spans="2:13" ht="20">
      <c r="B102" s="497"/>
      <c r="C102" s="490"/>
      <c r="D102" s="492"/>
      <c r="E102" s="101"/>
      <c r="F102" s="101"/>
      <c r="J102" s="342"/>
      <c r="K102" s="103"/>
      <c r="L102" s="103"/>
      <c r="M102" s="103"/>
    </row>
    <row r="103" spans="2:13" ht="20">
      <c r="B103" s="497" t="s">
        <v>263</v>
      </c>
      <c r="C103" s="490">
        <v>0.10617</v>
      </c>
      <c r="D103" s="491">
        <f>AVERAGE(C103:C114)/100</f>
        <v>1.9152025000000003E-2</v>
      </c>
      <c r="E103" s="101"/>
      <c r="F103" s="101"/>
      <c r="J103" s="342"/>
      <c r="K103" s="103"/>
      <c r="L103" s="103"/>
      <c r="M103" s="103"/>
    </row>
    <row r="104" spans="2:13" ht="20">
      <c r="B104" s="497" t="s">
        <v>264</v>
      </c>
      <c r="C104" s="490">
        <v>0.15279999999999999</v>
      </c>
      <c r="D104" s="492"/>
      <c r="E104" s="101"/>
      <c r="F104" s="101"/>
      <c r="J104" s="342"/>
      <c r="K104" s="103"/>
      <c r="L104" s="103"/>
      <c r="M104" s="103"/>
    </row>
    <row r="105" spans="2:13" ht="20">
      <c r="B105" s="497" t="s">
        <v>265</v>
      </c>
      <c r="C105" s="490">
        <v>0.39718999999999999</v>
      </c>
      <c r="D105" s="492"/>
      <c r="E105" s="101"/>
      <c r="F105" s="101"/>
      <c r="J105" s="342"/>
      <c r="K105" s="103"/>
      <c r="L105" s="103"/>
      <c r="M105" s="103"/>
    </row>
    <row r="106" spans="2:13" ht="20">
      <c r="B106" s="497" t="s">
        <v>266</v>
      </c>
      <c r="C106" s="490">
        <v>0.60097</v>
      </c>
      <c r="D106" s="492"/>
      <c r="E106" s="101"/>
      <c r="F106" s="101"/>
      <c r="J106" s="342"/>
      <c r="K106" s="103"/>
      <c r="L106" s="103"/>
      <c r="M106" s="103"/>
    </row>
    <row r="107" spans="2:13" ht="20">
      <c r="B107" s="497" t="s">
        <v>267</v>
      </c>
      <c r="C107" s="490">
        <v>0.93381000000000003</v>
      </c>
      <c r="D107" s="492"/>
      <c r="E107" s="101"/>
      <c r="F107" s="101"/>
      <c r="J107" s="342"/>
      <c r="K107" s="103"/>
      <c r="L107" s="103"/>
      <c r="M107" s="103"/>
    </row>
    <row r="108" spans="2:13" ht="20">
      <c r="B108" s="497" t="s">
        <v>268</v>
      </c>
      <c r="C108" s="490">
        <v>1.4538599999999999</v>
      </c>
      <c r="D108" s="492"/>
      <c r="E108" s="101"/>
      <c r="F108" s="101"/>
      <c r="J108" s="342"/>
      <c r="K108" s="103"/>
      <c r="L108" s="103"/>
      <c r="M108" s="103"/>
    </row>
    <row r="109" spans="2:13" ht="20">
      <c r="B109" s="497" t="s">
        <v>269</v>
      </c>
      <c r="C109" s="490">
        <v>2.0915300000000001</v>
      </c>
      <c r="D109" s="492"/>
      <c r="E109" s="101"/>
      <c r="F109" s="101"/>
      <c r="J109" s="342"/>
      <c r="K109" s="103"/>
      <c r="L109" s="103"/>
      <c r="M109" s="103"/>
    </row>
    <row r="110" spans="2:13" ht="20">
      <c r="B110" s="497" t="s">
        <v>270</v>
      </c>
      <c r="C110" s="490">
        <v>2.4169800000000001</v>
      </c>
      <c r="D110" s="492"/>
      <c r="E110" s="101"/>
      <c r="F110" s="101"/>
      <c r="J110" s="342"/>
      <c r="K110" s="103"/>
      <c r="L110" s="103"/>
      <c r="M110" s="103"/>
    </row>
    <row r="111" spans="2:13" ht="20">
      <c r="B111" s="497" t="s">
        <v>271</v>
      </c>
      <c r="C111" s="490">
        <v>2.9230499999999999</v>
      </c>
      <c r="D111" s="492"/>
      <c r="E111" s="101"/>
      <c r="F111" s="101"/>
      <c r="J111" s="342"/>
      <c r="K111" s="103"/>
      <c r="L111" s="103"/>
      <c r="M111" s="103"/>
    </row>
    <row r="112" spans="2:13" ht="20">
      <c r="B112" s="497" t="s">
        <v>272</v>
      </c>
      <c r="C112" s="490">
        <v>3.4660700000000002</v>
      </c>
      <c r="D112" s="492"/>
      <c r="E112" s="101"/>
      <c r="F112" s="101"/>
      <c r="J112" s="342"/>
      <c r="K112" s="103"/>
      <c r="L112" s="103"/>
      <c r="M112" s="103"/>
    </row>
    <row r="113" spans="1:30" ht="20">
      <c r="A113" s="500" t="s">
        <v>276</v>
      </c>
      <c r="B113" s="498">
        <v>44875</v>
      </c>
      <c r="C113" s="490">
        <v>3.87</v>
      </c>
      <c r="D113" s="114"/>
      <c r="J113" s="342"/>
      <c r="K113" s="103"/>
      <c r="L113" s="103"/>
      <c r="M113" s="103"/>
    </row>
    <row r="114" spans="1:30" ht="20">
      <c r="A114" s="500"/>
      <c r="B114" s="498">
        <v>44905</v>
      </c>
      <c r="C114" s="490">
        <v>4.57</v>
      </c>
      <c r="D114" s="493"/>
      <c r="J114" s="342"/>
      <c r="K114" s="103"/>
      <c r="L114" s="103"/>
      <c r="M114" s="103"/>
    </row>
    <row r="115" spans="1:30" ht="20">
      <c r="A115" s="500"/>
      <c r="B115" s="498"/>
      <c r="C115" s="173"/>
      <c r="D115" s="493"/>
      <c r="J115" s="342"/>
      <c r="K115" s="103"/>
      <c r="L115" s="103"/>
      <c r="M115" s="103"/>
    </row>
    <row r="116" spans="1:30">
      <c r="A116" s="501" t="s">
        <v>339</v>
      </c>
      <c r="B116" s="498">
        <v>44936</v>
      </c>
      <c r="C116" s="494">
        <v>4.5699999999999998E-2</v>
      </c>
      <c r="D116" s="491">
        <f>AVERAGE(C116:C127)</f>
        <v>4.7783333333333337E-2</v>
      </c>
      <c r="G116" s="417"/>
      <c r="H116" s="417"/>
      <c r="I116" s="417"/>
      <c r="J116" s="417"/>
      <c r="K116" s="417"/>
      <c r="L116" s="417"/>
      <c r="M116" s="417"/>
      <c r="N116" s="417"/>
      <c r="O116" s="417"/>
      <c r="P116" s="417"/>
      <c r="Q116" s="417"/>
      <c r="R116" s="417"/>
      <c r="S116" s="417"/>
      <c r="T116" s="417"/>
      <c r="U116" s="417"/>
      <c r="V116" s="417"/>
      <c r="W116" s="417"/>
      <c r="X116" s="417"/>
      <c r="Y116" s="417"/>
      <c r="Z116" s="417"/>
      <c r="AA116" s="417"/>
      <c r="AB116" s="417"/>
      <c r="AC116" s="417"/>
      <c r="AD116" s="417"/>
    </row>
    <row r="117" spans="1:30" ht="20">
      <c r="B117" s="498">
        <v>44967</v>
      </c>
      <c r="C117" s="494">
        <v>4.7199999999999999E-2</v>
      </c>
      <c r="D117" s="493"/>
      <c r="I117" s="417"/>
      <c r="J117" s="342"/>
      <c r="K117" s="103"/>
      <c r="L117" s="103"/>
      <c r="M117" s="103"/>
    </row>
    <row r="118" spans="1:30" ht="20">
      <c r="B118" s="498">
        <v>44995</v>
      </c>
      <c r="C118" s="494">
        <v>4.9000000000000002E-2</v>
      </c>
      <c r="D118" s="493"/>
      <c r="I118" s="417"/>
      <c r="J118" s="342"/>
      <c r="K118" s="103"/>
      <c r="L118" s="103"/>
      <c r="M118" s="103"/>
    </row>
    <row r="119" spans="1:30" ht="20">
      <c r="B119" s="498">
        <v>45026</v>
      </c>
      <c r="C119" s="494">
        <v>4.9599999999999998E-2</v>
      </c>
      <c r="D119" s="493"/>
      <c r="I119" s="417"/>
      <c r="J119" s="342"/>
      <c r="K119" s="103"/>
    </row>
    <row r="120" spans="1:30" ht="20">
      <c r="B120" s="498">
        <v>45056</v>
      </c>
      <c r="C120" s="494">
        <v>4.99E-2</v>
      </c>
      <c r="D120" s="493"/>
      <c r="I120" s="417"/>
    </row>
    <row r="121" spans="1:30" ht="20">
      <c r="B121" s="498">
        <v>45087</v>
      </c>
      <c r="C121" s="494">
        <v>4.9799999999999997E-2</v>
      </c>
      <c r="D121" s="493"/>
      <c r="I121" s="417"/>
    </row>
    <row r="122" spans="1:30" ht="20">
      <c r="B122" s="498">
        <v>45117</v>
      </c>
      <c r="C122" s="494">
        <v>4.9399999999999999E-2</v>
      </c>
      <c r="D122" s="493"/>
      <c r="I122" s="417"/>
    </row>
    <row r="123" spans="1:30" ht="20">
      <c r="B123" s="498">
        <v>45148</v>
      </c>
      <c r="C123" s="494">
        <v>4.9200000000000001E-2</v>
      </c>
      <c r="D123" s="493"/>
      <c r="I123" s="417"/>
    </row>
    <row r="124" spans="1:30" ht="20">
      <c r="B124" s="498">
        <v>45179</v>
      </c>
      <c r="C124" s="494">
        <v>4.8300000000000003E-2</v>
      </c>
      <c r="D124" s="493"/>
      <c r="I124" s="417"/>
    </row>
    <row r="125" spans="1:30" ht="20">
      <c r="B125" s="498">
        <v>45209</v>
      </c>
      <c r="C125" s="494">
        <v>4.7699999999999999E-2</v>
      </c>
      <c r="D125" s="493"/>
      <c r="I125" s="417"/>
    </row>
    <row r="126" spans="1:30" ht="20">
      <c r="B126" s="498">
        <v>45240</v>
      </c>
      <c r="C126" s="494">
        <v>4.3799999999999999E-2</v>
      </c>
      <c r="D126" s="493"/>
      <c r="I126" s="417"/>
    </row>
    <row r="127" spans="1:30" ht="20">
      <c r="B127" s="498">
        <v>45270</v>
      </c>
      <c r="C127" s="494">
        <v>4.3799999999999999E-2</v>
      </c>
      <c r="D127" s="493"/>
      <c r="I127" s="417"/>
    </row>
    <row r="128" spans="1:30" ht="20">
      <c r="B128" s="498"/>
      <c r="C128" s="494"/>
      <c r="D128" s="493"/>
    </row>
    <row r="129" spans="2:75">
      <c r="B129" s="498">
        <v>45301</v>
      </c>
      <c r="C129" s="494">
        <v>4.3799999999999999E-2</v>
      </c>
      <c r="D129" s="491">
        <f>AVERAGE(C129:C140)</f>
        <v>3.868333333333334E-2</v>
      </c>
    </row>
    <row r="130" spans="2:75" ht="20">
      <c r="B130" s="498">
        <v>45332</v>
      </c>
      <c r="C130" s="494">
        <v>4.3799999999999999E-2</v>
      </c>
      <c r="D130" s="493"/>
    </row>
    <row r="131" spans="2:75" ht="20">
      <c r="B131" s="498">
        <v>45361</v>
      </c>
      <c r="C131" s="494">
        <v>4.3799999999999999E-2</v>
      </c>
      <c r="D131" s="493"/>
    </row>
    <row r="132" spans="2:75" ht="20">
      <c r="B132" s="498">
        <v>45392</v>
      </c>
      <c r="C132" s="494">
        <v>4.3799999999999999E-2</v>
      </c>
      <c r="D132" s="493"/>
    </row>
    <row r="133" spans="2:75" ht="20">
      <c r="B133" s="498">
        <v>45422</v>
      </c>
      <c r="C133" s="494">
        <v>3.7600000000000001E-2</v>
      </c>
      <c r="D133" s="493"/>
    </row>
    <row r="134" spans="2:75" ht="20">
      <c r="B134" s="498">
        <v>45453</v>
      </c>
      <c r="C134" s="494">
        <v>3.7199999999999997E-2</v>
      </c>
      <c r="D134" s="493"/>
    </row>
    <row r="135" spans="2:75" ht="20">
      <c r="B135" s="498">
        <v>45483</v>
      </c>
      <c r="C135" s="494">
        <v>3.7199999999999997E-2</v>
      </c>
      <c r="D135" s="493"/>
    </row>
    <row r="136" spans="2:75" ht="20">
      <c r="B136" s="498">
        <v>45514</v>
      </c>
      <c r="C136" s="494">
        <v>3.7199999999999997E-2</v>
      </c>
      <c r="D136" s="493"/>
    </row>
    <row r="137" spans="2:75" ht="20">
      <c r="B137" s="498">
        <v>45545</v>
      </c>
      <c r="C137" s="494">
        <v>3.7199999999999997E-2</v>
      </c>
      <c r="D137" s="493"/>
    </row>
    <row r="138" spans="2:75" ht="20">
      <c r="B138" s="498">
        <v>45575</v>
      </c>
      <c r="C138" s="494">
        <v>3.7199999999999997E-2</v>
      </c>
      <c r="D138" s="493"/>
    </row>
    <row r="139" spans="2:75" ht="20">
      <c r="B139" s="498">
        <v>45606</v>
      </c>
      <c r="C139" s="494">
        <v>3.32E-2</v>
      </c>
      <c r="D139" s="493"/>
    </row>
    <row r="140" spans="2:75" ht="20">
      <c r="B140" s="498">
        <v>45636</v>
      </c>
      <c r="C140" s="494">
        <v>3.2199999999999999E-2</v>
      </c>
      <c r="D140" s="493"/>
    </row>
    <row r="141" spans="2:75">
      <c r="B141" s="120"/>
      <c r="D141" s="114"/>
    </row>
    <row r="142" spans="2:75" ht="20">
      <c r="B142" s="498">
        <v>45680</v>
      </c>
      <c r="C142" s="494">
        <v>3.09E-2</v>
      </c>
      <c r="D142" s="493">
        <f>AVERAGE(C142:C153)</f>
        <v>3.0849999999999999E-2</v>
      </c>
      <c r="E142" s="103"/>
      <c r="H142" s="417"/>
      <c r="I142" s="417"/>
      <c r="J142" s="417"/>
      <c r="K142" s="417"/>
      <c r="L142" s="417"/>
      <c r="M142" s="417"/>
      <c r="N142" s="417"/>
      <c r="O142" s="417"/>
      <c r="P142" s="417"/>
      <c r="Q142" s="417"/>
      <c r="R142" s="417"/>
      <c r="S142" s="417"/>
      <c r="T142" s="417"/>
      <c r="U142" s="417"/>
      <c r="V142" s="417"/>
      <c r="W142" s="417"/>
      <c r="X142" s="417"/>
      <c r="Y142" s="417"/>
      <c r="Z142" s="417"/>
      <c r="AA142" s="417"/>
      <c r="AB142" s="417"/>
      <c r="AC142" s="417"/>
      <c r="AD142" s="417"/>
      <c r="AE142" s="417"/>
      <c r="AF142" s="417"/>
    </row>
    <row r="143" spans="2:75" ht="20">
      <c r="B143" s="498">
        <v>45711</v>
      </c>
      <c r="C143" s="494">
        <v>3.0800000000000001E-2</v>
      </c>
      <c r="D143" s="493"/>
      <c r="E143" s="103"/>
      <c r="F143" s="104"/>
      <c r="G143" s="104"/>
      <c r="H143" s="104"/>
      <c r="I143" s="417"/>
      <c r="J143" s="417"/>
      <c r="K143" s="417"/>
      <c r="L143" s="417"/>
      <c r="M143" s="417"/>
      <c r="N143" s="417"/>
      <c r="O143" s="417"/>
      <c r="P143" s="417"/>
      <c r="Q143" s="417"/>
      <c r="R143" s="417"/>
      <c r="S143" s="417"/>
      <c r="T143" s="417"/>
      <c r="U143" s="417"/>
      <c r="V143" s="417"/>
      <c r="W143" s="417"/>
      <c r="X143" s="417"/>
      <c r="Y143" s="417"/>
      <c r="Z143" s="417"/>
      <c r="AA143" s="417"/>
      <c r="AB143" s="417"/>
      <c r="AC143" s="417"/>
      <c r="AD143" s="417"/>
      <c r="AE143" s="417"/>
      <c r="AF143" s="417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  <c r="BB143" s="104"/>
      <c r="BC143" s="104"/>
      <c r="BD143" s="104"/>
      <c r="BE143" s="104"/>
      <c r="BF143" s="104"/>
      <c r="BG143" s="104"/>
      <c r="BH143" s="104"/>
      <c r="BI143" s="104"/>
      <c r="BJ143" s="104"/>
      <c r="BK143" s="104"/>
      <c r="BL143" s="104"/>
      <c r="BM143" s="104"/>
      <c r="BN143" s="104"/>
      <c r="BO143" s="104"/>
      <c r="BP143" s="104"/>
      <c r="BQ143" s="104"/>
      <c r="BR143" s="104"/>
      <c r="BS143" s="104"/>
      <c r="BT143" s="104"/>
      <c r="BU143" s="104"/>
      <c r="BV143" s="104"/>
      <c r="BW143" s="104"/>
    </row>
    <row r="144" spans="2:75" ht="20">
      <c r="B144" s="498">
        <v>45739</v>
      </c>
      <c r="C144" s="494">
        <v>3.09E-2</v>
      </c>
      <c r="D144" s="493"/>
      <c r="E144" s="103"/>
      <c r="I144" s="417"/>
      <c r="J144" s="417"/>
      <c r="K144" s="417"/>
      <c r="L144" s="417"/>
      <c r="M144" s="417"/>
      <c r="N144" s="417"/>
      <c r="O144" s="417"/>
      <c r="P144" s="417"/>
      <c r="Q144" s="417"/>
      <c r="R144" s="417"/>
      <c r="S144" s="417"/>
      <c r="T144" s="417"/>
      <c r="U144" s="417"/>
      <c r="V144" s="417"/>
      <c r="W144" s="417"/>
      <c r="X144" s="417"/>
      <c r="Y144" s="417"/>
      <c r="Z144" s="417"/>
      <c r="AA144" s="417"/>
      <c r="AB144" s="417"/>
      <c r="AC144" s="417"/>
      <c r="AD144" s="417"/>
      <c r="AE144" s="417"/>
      <c r="AF144" s="417"/>
    </row>
    <row r="145" spans="2:32" ht="20">
      <c r="B145" s="498">
        <v>45770</v>
      </c>
      <c r="C145" s="494">
        <v>3.09E-2</v>
      </c>
      <c r="D145" s="493"/>
      <c r="E145" s="103"/>
      <c r="I145" s="417"/>
      <c r="J145" s="417"/>
      <c r="K145" s="417"/>
      <c r="L145" s="417"/>
      <c r="M145" s="417"/>
      <c r="N145" s="417"/>
      <c r="O145" s="417"/>
      <c r="P145" s="417"/>
      <c r="Q145" s="417"/>
      <c r="R145" s="417"/>
      <c r="S145" s="417"/>
      <c r="T145" s="417"/>
      <c r="U145" s="417"/>
      <c r="V145" s="417"/>
      <c r="W145" s="417"/>
      <c r="X145" s="417"/>
      <c r="Y145" s="417"/>
      <c r="Z145" s="417"/>
      <c r="AA145" s="417"/>
      <c r="AB145" s="417"/>
      <c r="AC145" s="417"/>
      <c r="AD145" s="417"/>
      <c r="AE145" s="417"/>
      <c r="AF145" s="417"/>
    </row>
    <row r="146" spans="2:32" ht="20">
      <c r="B146" s="498">
        <v>45800</v>
      </c>
      <c r="C146" s="494">
        <v>3.09E-2</v>
      </c>
      <c r="D146" s="493"/>
      <c r="E146" s="103"/>
      <c r="I146" s="417"/>
      <c r="J146" s="417"/>
      <c r="K146" s="417"/>
      <c r="L146" s="417"/>
      <c r="M146" s="417"/>
      <c r="N146" s="417"/>
      <c r="O146" s="417"/>
      <c r="P146" s="417"/>
      <c r="Q146" s="417"/>
      <c r="R146" s="417"/>
      <c r="S146" s="417"/>
      <c r="T146" s="417"/>
      <c r="U146" s="417"/>
      <c r="V146" s="417"/>
      <c r="W146" s="417"/>
      <c r="X146" s="417"/>
      <c r="Y146" s="417"/>
      <c r="Z146" s="417"/>
      <c r="AA146" s="417"/>
      <c r="AB146" s="417"/>
      <c r="AC146" s="417"/>
      <c r="AD146" s="417"/>
      <c r="AE146" s="417"/>
      <c r="AF146" s="417"/>
    </row>
    <row r="147" spans="2:32" ht="20">
      <c r="B147" s="498">
        <v>45831</v>
      </c>
      <c r="C147" s="494">
        <v>3.09E-2</v>
      </c>
      <c r="D147" s="493"/>
      <c r="E147" s="103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17"/>
      <c r="V147" s="417"/>
      <c r="W147" s="417"/>
      <c r="X147" s="417"/>
      <c r="Y147" s="417"/>
      <c r="Z147" s="417"/>
      <c r="AA147" s="417"/>
      <c r="AB147" s="417"/>
      <c r="AC147" s="417"/>
      <c r="AD147" s="417"/>
      <c r="AE147" s="417"/>
      <c r="AF147" s="417"/>
    </row>
    <row r="148" spans="2:32" ht="20">
      <c r="B148" s="498">
        <v>45861</v>
      </c>
      <c r="C148" s="494">
        <v>3.09E-2</v>
      </c>
      <c r="D148" s="493"/>
      <c r="E148" s="103"/>
      <c r="I148" s="417"/>
      <c r="J148" s="417"/>
      <c r="K148" s="417"/>
      <c r="L148" s="417"/>
      <c r="M148" s="417"/>
      <c r="N148" s="417"/>
      <c r="O148" s="417"/>
      <c r="P148" s="417"/>
      <c r="Q148" s="417"/>
      <c r="R148" s="417"/>
      <c r="S148" s="417"/>
      <c r="T148" s="417"/>
      <c r="U148" s="417"/>
      <c r="V148" s="417"/>
      <c r="W148" s="417"/>
      <c r="X148" s="417"/>
      <c r="Y148" s="417"/>
      <c r="Z148" s="417"/>
      <c r="AA148" s="417"/>
      <c r="AB148" s="417"/>
      <c r="AC148" s="417"/>
      <c r="AD148" s="417"/>
      <c r="AE148" s="417"/>
      <c r="AF148" s="417"/>
    </row>
    <row r="149" spans="2:32" ht="20">
      <c r="B149" s="498">
        <v>45892</v>
      </c>
      <c r="C149" s="494">
        <v>3.09E-2</v>
      </c>
      <c r="D149" s="493"/>
      <c r="E149" s="103"/>
      <c r="I149" s="417"/>
      <c r="J149" s="417"/>
      <c r="K149" s="417"/>
      <c r="L149" s="417"/>
      <c r="M149" s="417"/>
      <c r="N149" s="417"/>
      <c r="O149" s="417"/>
      <c r="P149" s="417"/>
      <c r="Q149" s="417"/>
      <c r="R149" s="417"/>
      <c r="S149" s="417"/>
      <c r="T149" s="417"/>
      <c r="U149" s="417"/>
      <c r="V149" s="417"/>
      <c r="W149" s="417"/>
      <c r="X149" s="417"/>
      <c r="Y149" s="417"/>
      <c r="Z149" s="417"/>
      <c r="AA149" s="417"/>
      <c r="AB149" s="417"/>
      <c r="AC149" s="417"/>
      <c r="AD149" s="417"/>
      <c r="AE149" s="417"/>
      <c r="AF149" s="417"/>
    </row>
    <row r="150" spans="2:32" ht="20">
      <c r="B150" s="498">
        <v>45923</v>
      </c>
      <c r="C150" s="494">
        <v>3.09E-2</v>
      </c>
      <c r="D150" s="493"/>
      <c r="E150" s="103"/>
      <c r="I150" s="417"/>
      <c r="J150" s="417"/>
      <c r="K150" s="417"/>
      <c r="L150" s="417"/>
      <c r="M150" s="417"/>
      <c r="N150" s="417"/>
      <c r="O150" s="417"/>
      <c r="P150" s="417"/>
      <c r="Q150" s="417"/>
      <c r="R150" s="417"/>
      <c r="S150" s="417"/>
      <c r="T150" s="417"/>
      <c r="U150" s="417"/>
      <c r="V150" s="417"/>
      <c r="W150" s="417"/>
      <c r="X150" s="417"/>
      <c r="Y150" s="417"/>
      <c r="Z150" s="417"/>
      <c r="AA150" s="417"/>
      <c r="AB150" s="417"/>
      <c r="AC150" s="417"/>
      <c r="AD150" s="417"/>
      <c r="AE150" s="417"/>
      <c r="AF150" s="417"/>
    </row>
    <row r="151" spans="2:32" ht="20">
      <c r="B151" s="498">
        <v>45953</v>
      </c>
      <c r="C151" s="494">
        <v>3.09E-2</v>
      </c>
      <c r="D151" s="493"/>
      <c r="E151" s="103"/>
      <c r="I151" s="417"/>
      <c r="J151" s="417"/>
      <c r="K151" s="417"/>
      <c r="L151" s="417"/>
      <c r="M151" s="417"/>
      <c r="N151" s="417"/>
      <c r="O151" s="417"/>
      <c r="P151" s="417"/>
      <c r="Q151" s="417"/>
      <c r="R151" s="417"/>
      <c r="S151" s="417"/>
      <c r="T151" s="417"/>
      <c r="U151" s="417"/>
      <c r="V151" s="417"/>
      <c r="W151" s="417"/>
      <c r="X151" s="417"/>
      <c r="Y151" s="417"/>
      <c r="Z151" s="417"/>
      <c r="AA151" s="417"/>
      <c r="AB151" s="417"/>
      <c r="AC151" s="417"/>
      <c r="AD151" s="417"/>
      <c r="AE151" s="417"/>
      <c r="AF151" s="417"/>
    </row>
    <row r="152" spans="2:32" ht="20">
      <c r="B152" s="498">
        <v>45984</v>
      </c>
      <c r="C152" s="494">
        <v>3.09E-2</v>
      </c>
      <c r="D152" s="493"/>
      <c r="E152" s="103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17"/>
      <c r="V152" s="417"/>
      <c r="W152" s="417"/>
      <c r="X152" s="417"/>
      <c r="Y152" s="417"/>
      <c r="Z152" s="417"/>
      <c r="AA152" s="417"/>
      <c r="AB152" s="417"/>
      <c r="AC152" s="417"/>
      <c r="AD152" s="417"/>
      <c r="AE152" s="417"/>
      <c r="AF152" s="417"/>
    </row>
    <row r="153" spans="2:32" ht="20">
      <c r="B153" s="498">
        <v>46014</v>
      </c>
      <c r="C153" s="494">
        <v>3.04E-2</v>
      </c>
      <c r="D153" s="493"/>
      <c r="E153" s="103"/>
      <c r="I153" s="417"/>
      <c r="J153" s="417"/>
      <c r="K153" s="417"/>
      <c r="L153" s="417"/>
      <c r="M153" s="417"/>
      <c r="N153" s="417"/>
      <c r="O153" s="417"/>
      <c r="P153" s="417"/>
      <c r="Q153" s="417"/>
      <c r="R153" s="417"/>
      <c r="S153" s="417"/>
      <c r="T153" s="417"/>
      <c r="U153" s="417"/>
      <c r="V153" s="417"/>
      <c r="W153" s="417"/>
      <c r="X153" s="417"/>
      <c r="Y153" s="417"/>
      <c r="Z153" s="417"/>
      <c r="AA153" s="417"/>
      <c r="AB153" s="417"/>
      <c r="AC153" s="417"/>
      <c r="AD153" s="417"/>
      <c r="AE153" s="417"/>
      <c r="AF153" s="417"/>
    </row>
    <row r="154" spans="2:32" ht="20">
      <c r="B154" s="498">
        <v>46045</v>
      </c>
      <c r="C154" s="494">
        <v>3.0300000000000001E-2</v>
      </c>
      <c r="D154" s="493">
        <f>AVERAGE(C154:C165)</f>
        <v>3.0316666666666669E-2</v>
      </c>
      <c r="E154" s="103"/>
      <c r="I154" s="417"/>
      <c r="J154" s="417"/>
      <c r="K154" s="417"/>
      <c r="L154" s="417"/>
      <c r="M154" s="417"/>
      <c r="N154" s="417"/>
      <c r="O154" s="417"/>
      <c r="P154" s="417"/>
      <c r="Q154" s="417"/>
      <c r="R154" s="417"/>
      <c r="S154" s="417"/>
      <c r="T154" s="417"/>
      <c r="U154" s="417"/>
      <c r="V154" s="417"/>
      <c r="W154" s="417"/>
      <c r="X154" s="417"/>
      <c r="Y154" s="417"/>
      <c r="Z154" s="417"/>
      <c r="AA154" s="417"/>
      <c r="AB154" s="417"/>
      <c r="AC154" s="417"/>
      <c r="AD154" s="417"/>
      <c r="AE154" s="417"/>
      <c r="AF154" s="417"/>
    </row>
    <row r="155" spans="2:32" ht="20">
      <c r="B155" s="498">
        <v>46076</v>
      </c>
      <c r="C155" s="494">
        <v>3.0300000000000001E-2</v>
      </c>
      <c r="D155" s="493"/>
      <c r="E155" s="103"/>
      <c r="I155" s="417"/>
      <c r="J155" s="417"/>
      <c r="K155" s="417"/>
      <c r="L155" s="417"/>
      <c r="M155" s="417"/>
      <c r="N155" s="417"/>
      <c r="O155" s="417"/>
      <c r="P155" s="417"/>
      <c r="Q155" s="417"/>
      <c r="R155" s="417"/>
      <c r="S155" s="417"/>
      <c r="T155" s="417"/>
      <c r="U155" s="417"/>
      <c r="V155" s="417"/>
      <c r="W155" s="417"/>
      <c r="X155" s="417"/>
      <c r="Y155" s="417"/>
      <c r="Z155" s="417"/>
      <c r="AA155" s="417"/>
      <c r="AB155" s="417"/>
      <c r="AC155" s="417"/>
      <c r="AD155" s="417"/>
      <c r="AE155" s="417"/>
      <c r="AF155" s="417"/>
    </row>
    <row r="156" spans="2:32" ht="20">
      <c r="B156" s="498">
        <v>46104</v>
      </c>
      <c r="C156" s="494">
        <v>3.0300000000000001E-2</v>
      </c>
      <c r="D156" s="493"/>
      <c r="E156" s="103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17"/>
      <c r="V156" s="417"/>
      <c r="W156" s="417"/>
      <c r="X156" s="417"/>
      <c r="Y156" s="417"/>
      <c r="Z156" s="417"/>
      <c r="AA156" s="417"/>
      <c r="AB156" s="417"/>
      <c r="AC156" s="417"/>
      <c r="AD156" s="417"/>
      <c r="AE156" s="417"/>
      <c r="AF156" s="417"/>
    </row>
    <row r="157" spans="2:32" ht="20">
      <c r="B157" s="498">
        <v>46135</v>
      </c>
      <c r="C157" s="494">
        <v>3.0300000000000001E-2</v>
      </c>
      <c r="D157" s="493"/>
      <c r="E157" s="103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17"/>
      <c r="V157" s="417"/>
      <c r="W157" s="417"/>
      <c r="X157" s="417"/>
      <c r="Y157" s="417"/>
      <c r="Z157" s="417"/>
      <c r="AA157" s="417"/>
      <c r="AB157" s="417"/>
      <c r="AC157" s="417"/>
      <c r="AD157" s="417"/>
      <c r="AE157" s="417"/>
      <c r="AF157" s="417"/>
    </row>
    <row r="158" spans="2:32" ht="20">
      <c r="B158" s="498">
        <v>46165</v>
      </c>
      <c r="C158" s="494">
        <v>3.0300000000000001E-2</v>
      </c>
      <c r="D158" s="493"/>
      <c r="E158" s="103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17"/>
      <c r="V158" s="417"/>
      <c r="W158" s="417"/>
      <c r="X158" s="417"/>
      <c r="Y158" s="417"/>
      <c r="Z158" s="417"/>
      <c r="AA158" s="417"/>
      <c r="AB158" s="417"/>
      <c r="AC158" s="417"/>
      <c r="AD158" s="417"/>
      <c r="AE158" s="417"/>
      <c r="AF158" s="417"/>
    </row>
    <row r="159" spans="2:32" ht="20">
      <c r="B159" s="498">
        <v>46196</v>
      </c>
      <c r="C159" s="494">
        <v>3.0300000000000001E-2</v>
      </c>
      <c r="D159" s="493"/>
      <c r="E159" s="103"/>
      <c r="I159" s="417"/>
      <c r="J159" s="417"/>
      <c r="K159" s="417"/>
      <c r="L159" s="417"/>
      <c r="M159" s="417"/>
      <c r="N159" s="417"/>
      <c r="O159" s="417"/>
      <c r="P159" s="417"/>
      <c r="Q159" s="417"/>
      <c r="R159" s="417"/>
      <c r="S159" s="417"/>
      <c r="T159" s="417"/>
      <c r="U159" s="417"/>
      <c r="V159" s="417"/>
      <c r="W159" s="417"/>
      <c r="X159" s="417"/>
      <c r="Y159" s="417"/>
      <c r="Z159" s="417"/>
      <c r="AA159" s="417"/>
      <c r="AB159" s="417"/>
      <c r="AC159" s="417"/>
      <c r="AD159" s="417"/>
      <c r="AE159" s="417"/>
      <c r="AF159" s="417"/>
    </row>
    <row r="160" spans="2:32" ht="20">
      <c r="B160" s="498">
        <v>46226</v>
      </c>
      <c r="C160" s="494">
        <v>3.0300000000000001E-2</v>
      </c>
      <c r="D160" s="493"/>
      <c r="E160" s="103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17"/>
      <c r="V160" s="417"/>
      <c r="W160" s="417"/>
      <c r="X160" s="417"/>
      <c r="Y160" s="417"/>
      <c r="Z160" s="417"/>
      <c r="AA160" s="417"/>
      <c r="AB160" s="417"/>
      <c r="AC160" s="417"/>
      <c r="AD160" s="417"/>
      <c r="AE160" s="417"/>
      <c r="AF160" s="417"/>
    </row>
    <row r="161" spans="2:32" ht="20">
      <c r="B161" s="498">
        <v>46257</v>
      </c>
      <c r="C161" s="494">
        <v>3.0300000000000001E-2</v>
      </c>
      <c r="D161" s="493"/>
      <c r="E161" s="103"/>
      <c r="I161" s="417"/>
      <c r="J161" s="417"/>
      <c r="K161" s="417"/>
      <c r="L161" s="417"/>
      <c r="M161" s="417"/>
      <c r="N161" s="417"/>
      <c r="O161" s="417"/>
      <c r="P161" s="417"/>
      <c r="Q161" s="417"/>
      <c r="R161" s="417"/>
      <c r="S161" s="417"/>
      <c r="T161" s="417"/>
      <c r="U161" s="417"/>
      <c r="V161" s="417"/>
      <c r="W161" s="417"/>
      <c r="X161" s="417"/>
      <c r="Y161" s="417"/>
      <c r="Z161" s="417"/>
      <c r="AA161" s="417"/>
      <c r="AB161" s="417"/>
      <c r="AC161" s="417"/>
      <c r="AD161" s="417"/>
      <c r="AE161" s="417"/>
      <c r="AF161" s="417"/>
    </row>
    <row r="162" spans="2:32" ht="20">
      <c r="B162" s="498">
        <v>46288</v>
      </c>
      <c r="C162" s="494">
        <v>3.0300000000000001E-2</v>
      </c>
      <c r="D162" s="493"/>
      <c r="E162" s="103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17"/>
      <c r="V162" s="417"/>
      <c r="W162" s="417"/>
      <c r="X162" s="417"/>
      <c r="Y162" s="417"/>
      <c r="Z162" s="417"/>
      <c r="AA162" s="417"/>
      <c r="AB162" s="417"/>
      <c r="AC162" s="417"/>
      <c r="AD162" s="417"/>
      <c r="AE162" s="417"/>
      <c r="AF162" s="417"/>
    </row>
    <row r="163" spans="2:32" ht="20">
      <c r="B163" s="498">
        <v>46318</v>
      </c>
      <c r="C163" s="494">
        <v>3.0300000000000001E-2</v>
      </c>
      <c r="D163" s="493"/>
      <c r="E163" s="103"/>
      <c r="I163" s="417"/>
      <c r="J163" s="417"/>
      <c r="K163" s="417"/>
      <c r="L163" s="417"/>
      <c r="M163" s="417"/>
      <c r="N163" s="417"/>
      <c r="O163" s="417"/>
      <c r="P163" s="417"/>
      <c r="Q163" s="417"/>
      <c r="R163" s="417"/>
      <c r="S163" s="417"/>
      <c r="T163" s="417"/>
      <c r="U163" s="417"/>
      <c r="V163" s="417"/>
      <c r="W163" s="417"/>
      <c r="X163" s="417"/>
      <c r="Y163" s="417"/>
      <c r="Z163" s="417"/>
      <c r="AA163" s="417"/>
      <c r="AB163" s="417"/>
      <c r="AC163" s="417"/>
      <c r="AD163" s="417"/>
      <c r="AE163" s="417"/>
      <c r="AF163" s="417"/>
    </row>
    <row r="164" spans="2:32" ht="20">
      <c r="B164" s="498">
        <v>46349</v>
      </c>
      <c r="C164" s="494">
        <v>3.0300000000000001E-2</v>
      </c>
      <c r="D164" s="493"/>
      <c r="E164" s="103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17"/>
      <c r="V164" s="417"/>
      <c r="W164" s="417"/>
      <c r="X164" s="417"/>
      <c r="Y164" s="417"/>
      <c r="Z164" s="417"/>
      <c r="AA164" s="417"/>
      <c r="AB164" s="417"/>
      <c r="AC164" s="417"/>
      <c r="AD164" s="417"/>
      <c r="AE164" s="417"/>
      <c r="AF164" s="417"/>
    </row>
    <row r="165" spans="2:32" ht="17" thickBot="1">
      <c r="B165" s="499">
        <v>46379</v>
      </c>
      <c r="C165" s="495">
        <v>3.0499999999999999E-2</v>
      </c>
      <c r="D165" s="496"/>
      <c r="I165" s="417"/>
      <c r="J165" s="417"/>
      <c r="K165" s="417"/>
      <c r="L165" s="417"/>
      <c r="M165" s="417"/>
      <c r="N165" s="417"/>
      <c r="O165" s="417"/>
      <c r="P165" s="417"/>
      <c r="Q165" s="417"/>
      <c r="R165" s="417"/>
      <c r="S165" s="417"/>
      <c r="T165" s="417"/>
      <c r="U165" s="417"/>
      <c r="V165" s="417"/>
      <c r="W165" s="417"/>
      <c r="X165" s="417"/>
      <c r="Y165" s="417"/>
      <c r="Z165" s="417"/>
      <c r="AA165" s="417"/>
      <c r="AB165" s="417"/>
      <c r="AC165" s="417"/>
      <c r="AD165" s="417"/>
      <c r="AE165" s="417"/>
      <c r="AF165" s="417"/>
    </row>
    <row r="166" spans="2:32">
      <c r="C166" s="104"/>
    </row>
    <row r="167" spans="2:32">
      <c r="C167" s="104"/>
    </row>
    <row r="168" spans="2:32">
      <c r="C168" s="104"/>
    </row>
    <row r="169" spans="2:32">
      <c r="C169" s="104"/>
    </row>
    <row r="170" spans="2:32">
      <c r="C170" s="104"/>
    </row>
    <row r="171" spans="2:32">
      <c r="C171" s="104"/>
    </row>
    <row r="172" spans="2:32">
      <c r="C172" s="104"/>
    </row>
    <row r="173" spans="2:32">
      <c r="C173" s="104"/>
    </row>
    <row r="174" spans="2:32">
      <c r="C174" s="104"/>
    </row>
    <row r="175" spans="2:32">
      <c r="C175" s="104"/>
    </row>
    <row r="176" spans="2:32">
      <c r="C176" s="104"/>
    </row>
    <row r="177" spans="3:3">
      <c r="C177" s="104"/>
    </row>
    <row r="178" spans="3:3">
      <c r="C178" s="104"/>
    </row>
    <row r="179" spans="3:3">
      <c r="C179" s="104"/>
    </row>
    <row r="180" spans="3:3">
      <c r="C180" s="104"/>
    </row>
    <row r="181" spans="3:3">
      <c r="C181" s="104"/>
    </row>
    <row r="182" spans="3:3">
      <c r="C182" s="104"/>
    </row>
    <row r="183" spans="3:3">
      <c r="C183" s="104"/>
    </row>
    <row r="184" spans="3:3">
      <c r="C184" s="104"/>
    </row>
    <row r="185" spans="3:3">
      <c r="C185" s="104"/>
    </row>
    <row r="186" spans="3:3">
      <c r="C186" s="104"/>
    </row>
    <row r="187" spans="3:3">
      <c r="C187" s="104"/>
    </row>
    <row r="188" spans="3:3">
      <c r="C188" s="104"/>
    </row>
    <row r="189" spans="3:3">
      <c r="C189" s="104"/>
    </row>
    <row r="190" spans="3:3">
      <c r="C190" s="104"/>
    </row>
    <row r="191" spans="3:3">
      <c r="C191" s="104"/>
    </row>
    <row r="192" spans="3:3">
      <c r="C192" s="104"/>
    </row>
    <row r="193" spans="3:3">
      <c r="C193" s="104"/>
    </row>
    <row r="194" spans="3:3">
      <c r="C194" s="104"/>
    </row>
    <row r="195" spans="3:3">
      <c r="C195" s="104"/>
    </row>
    <row r="196" spans="3:3">
      <c r="C196" s="104"/>
    </row>
    <row r="197" spans="3:3">
      <c r="C197" s="104"/>
    </row>
    <row r="198" spans="3:3">
      <c r="C198" s="104"/>
    </row>
    <row r="199" spans="3:3">
      <c r="C199" s="104"/>
    </row>
    <row r="200" spans="3:3">
      <c r="C200" s="104"/>
    </row>
    <row r="201" spans="3:3">
      <c r="C201" s="104"/>
    </row>
    <row r="202" spans="3:3">
      <c r="C202" s="104"/>
    </row>
    <row r="203" spans="3:3">
      <c r="C203" s="104"/>
    </row>
    <row r="204" spans="3:3">
      <c r="C204" s="104"/>
    </row>
    <row r="205" spans="3:3">
      <c r="C205" s="104"/>
    </row>
    <row r="206" spans="3:3">
      <c r="C206" s="104"/>
    </row>
    <row r="207" spans="3:3">
      <c r="C207" s="104"/>
    </row>
    <row r="208" spans="3:3">
      <c r="C208" s="104"/>
    </row>
    <row r="209" spans="3:3">
      <c r="C209" s="104"/>
    </row>
    <row r="210" spans="3:3">
      <c r="C210" s="104"/>
    </row>
    <row r="211" spans="3:3">
      <c r="C211" s="104"/>
    </row>
    <row r="212" spans="3:3">
      <c r="C212" s="104"/>
    </row>
    <row r="213" spans="3:3">
      <c r="C213" s="104"/>
    </row>
    <row r="214" spans="3:3">
      <c r="C214" s="104"/>
    </row>
  </sheetData>
  <pageMargins left="0.7" right="0.7" top="0.75" bottom="0.75" header="0.3" footer="0.3"/>
  <pageSetup scale="91" orientation="portrait" horizontalDpi="0" verticalDpi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652B-0FC8-AC45-BEB9-51672EA861A2}">
  <sheetPr codeName="Sheet4"/>
  <dimension ref="A2:ES109"/>
  <sheetViews>
    <sheetView zoomScale="108" zoomScaleNormal="108" workbookViewId="0">
      <pane xSplit="2" ySplit="7" topLeftCell="CI83" activePane="bottomRight" state="frozen"/>
      <selection pane="topRight" activeCell="C1" sqref="C1"/>
      <selection pane="bottomLeft" activeCell="A8" sqref="A8"/>
      <selection pane="bottomRight" activeCell="CO117" sqref="CO117"/>
    </sheetView>
  </sheetViews>
  <sheetFormatPr baseColWidth="10" defaultRowHeight="16" outlineLevelRow="1"/>
  <cols>
    <col min="2" max="2" width="35.1640625" bestFit="1" customWidth="1"/>
    <col min="5" max="5" width="14" bestFit="1" customWidth="1"/>
    <col min="6" max="6" width="14.5" bestFit="1" customWidth="1"/>
    <col min="9" max="9" width="14" bestFit="1" customWidth="1"/>
    <col min="10" max="12" width="11.5" bestFit="1" customWidth="1"/>
    <col min="13" max="13" width="13" bestFit="1" customWidth="1"/>
    <col min="14" max="46" width="11.5" bestFit="1" customWidth="1"/>
    <col min="47" max="53" width="12.5" bestFit="1" customWidth="1"/>
    <col min="54" max="56" width="13" bestFit="1" customWidth="1"/>
    <col min="57" max="57" width="15.1640625" bestFit="1" customWidth="1"/>
    <col min="58" max="76" width="13" bestFit="1" customWidth="1"/>
  </cols>
  <sheetData>
    <row r="2" spans="1:149">
      <c r="B2" s="164" t="s">
        <v>466</v>
      </c>
    </row>
    <row r="3" spans="1:149">
      <c r="I3" s="51" t="str">
        <f>IF(I7=Summary!$C$13,"Const. Complete"," ")</f>
        <v xml:space="preserve"> </v>
      </c>
      <c r="J3" s="51" t="str">
        <f>IF(J7=Summary!$C$13,"Const. Complete"," ")</f>
        <v xml:space="preserve"> </v>
      </c>
      <c r="K3" s="51" t="str">
        <f>IF(K7=Summary!$C$13,"Const. Complete"," ")</f>
        <v xml:space="preserve"> </v>
      </c>
      <c r="L3" s="51" t="str">
        <f>IF(L7=Summary!$C$13,"Const. Complete"," ")</f>
        <v xml:space="preserve"> </v>
      </c>
      <c r="M3" s="51" t="str">
        <f>IF(M7=Summary!$C$13,"Const. Complete"," ")</f>
        <v xml:space="preserve"> </v>
      </c>
      <c r="N3" s="51" t="str">
        <f>IF(N7=Summary!$C$13,"Const. Complete"," ")</f>
        <v xml:space="preserve"> </v>
      </c>
      <c r="O3" s="51" t="str">
        <f>IF(O7=Summary!$C$13,"Const. Complete"," ")</f>
        <v xml:space="preserve"> </v>
      </c>
      <c r="P3" s="51" t="str">
        <f>IF(P7=Summary!$C$13,"Const. Complete"," ")</f>
        <v xml:space="preserve"> </v>
      </c>
      <c r="Q3" s="51" t="str">
        <f>IF(Q7=Summary!$C$13,"Const. Complete"," ")</f>
        <v xml:space="preserve"> </v>
      </c>
      <c r="R3" s="51" t="str">
        <f>IF(R7=Summary!$C$13,"Const. Complete"," ")</f>
        <v xml:space="preserve"> </v>
      </c>
      <c r="S3" s="51" t="str">
        <f>IF(S7=Summary!$C$13,"Const. Complete"," ")</f>
        <v xml:space="preserve"> </v>
      </c>
      <c r="T3" s="51" t="str">
        <f>IF(T7=Summary!$C$13,"Const. Complete"," ")</f>
        <v xml:space="preserve"> </v>
      </c>
      <c r="U3" s="51" t="str">
        <f>IF(U7=Summary!$C$13,"Const. Complete"," ")</f>
        <v xml:space="preserve"> </v>
      </c>
      <c r="V3" s="51" t="str">
        <f>IF(V7=Summary!$C$13,"Const. Complete"," ")</f>
        <v xml:space="preserve"> </v>
      </c>
      <c r="W3" s="51" t="str">
        <f>IF(W7=Summary!$C$13,"Const. Complete"," ")</f>
        <v xml:space="preserve"> </v>
      </c>
      <c r="X3" s="51" t="str">
        <f>IF(X7=Summary!$C$13,"Const. Complete"," ")</f>
        <v xml:space="preserve"> </v>
      </c>
      <c r="Y3" s="51" t="str">
        <f>IF(Y7=Summary!$C$13,"Const. Complete"," ")</f>
        <v xml:space="preserve"> </v>
      </c>
      <c r="Z3" s="51" t="str">
        <f>IF(Z7=Summary!$C$13,"Const. Complete"," ")</f>
        <v xml:space="preserve"> </v>
      </c>
      <c r="AA3" s="51" t="str">
        <f>IF(AA7=Summary!$C$13,"Const. Complete"," ")</f>
        <v xml:space="preserve"> </v>
      </c>
      <c r="AB3" s="51" t="str">
        <f>IF(AB7=Summary!$C$13,"Const. Complete"," ")</f>
        <v xml:space="preserve"> </v>
      </c>
      <c r="AC3" s="51" t="str">
        <f>IF(AC7=Summary!$C$13,"Const. Complete"," ")</f>
        <v xml:space="preserve"> </v>
      </c>
      <c r="AD3" s="51" t="str">
        <f>IF(AD7=Summary!$C$13,"Const. Complete"," ")</f>
        <v xml:space="preserve"> </v>
      </c>
      <c r="AE3" s="51" t="str">
        <f>IF(AE7=Summary!$C$13,"Const. Complete"," ")</f>
        <v xml:space="preserve"> </v>
      </c>
      <c r="AF3" s="51" t="str">
        <f>IF(AF7=Summary!$C$13,"Const. Complete"," ")</f>
        <v xml:space="preserve"> </v>
      </c>
      <c r="AG3" s="51" t="str">
        <f>IF(AG7=Summary!$C$13,"Const. Complete"," ")</f>
        <v xml:space="preserve"> </v>
      </c>
      <c r="AH3" s="51" t="str">
        <f>IF(AH7=Summary!$C$13,"Const. Complete"," ")</f>
        <v xml:space="preserve"> </v>
      </c>
      <c r="AI3" s="51" t="str">
        <f>IF(AI7=Summary!$C$13,"Const. Complete"," ")</f>
        <v xml:space="preserve"> </v>
      </c>
      <c r="AJ3" s="51" t="str">
        <f>IF(AJ7=Summary!$C$13,"Const. Complete"," ")</f>
        <v xml:space="preserve"> </v>
      </c>
      <c r="AK3" s="51" t="str">
        <f>IF(AK7=Summary!$C$13,"Const. Complete"," ")</f>
        <v xml:space="preserve"> </v>
      </c>
      <c r="AL3" s="51" t="str">
        <f>IF(AL7=Summary!$C$13,"Const. Complete"," ")</f>
        <v xml:space="preserve"> </v>
      </c>
      <c r="AM3" s="51" t="str">
        <f>IF(AM7=Summary!$C$13,"Const. Complete"," ")</f>
        <v xml:space="preserve"> </v>
      </c>
      <c r="AN3" s="51" t="str">
        <f>IF(AN7=Summary!$C$13,"Const. Complete"," ")</f>
        <v xml:space="preserve"> </v>
      </c>
      <c r="AO3" s="51" t="str">
        <f>IF(AO7=Summary!$C$13,"Const. Complete"," ")</f>
        <v xml:space="preserve"> </v>
      </c>
      <c r="AP3" s="51" t="str">
        <f>IF(AP7=Summary!$C$13,"Const. Complete"," ")</f>
        <v xml:space="preserve"> </v>
      </c>
      <c r="AQ3" s="51" t="str">
        <f>IF(AQ7=Summary!$C$13,"Const. Complete"," ")</f>
        <v xml:space="preserve"> </v>
      </c>
      <c r="AR3" s="51" t="str">
        <f>IF(AR7=Summary!$C$13,"Const. Complete"," ")</f>
        <v xml:space="preserve"> </v>
      </c>
      <c r="AS3" s="51" t="str">
        <f>IF(AS7=Summary!$C$13,"Const. Complete"," ")</f>
        <v xml:space="preserve"> </v>
      </c>
      <c r="AT3" s="51" t="str">
        <f>IF(AT7=Summary!$C$13,"Const. Complete"," ")</f>
        <v xml:space="preserve"> </v>
      </c>
      <c r="AU3" s="51" t="str">
        <f>IF(AU7=Summary!$C$13,"Const. Complete"," ")</f>
        <v xml:space="preserve"> </v>
      </c>
      <c r="AV3" s="51" t="str">
        <f>IF(AV7=Summary!$C$13,"Const. Complete"," ")</f>
        <v xml:space="preserve"> </v>
      </c>
      <c r="AW3" s="51" t="str">
        <f>IF(AW7=Summary!$C$13,"Const. Complete"," ")</f>
        <v xml:space="preserve"> </v>
      </c>
      <c r="AX3" s="51" t="str">
        <f>IF(AX7=Summary!$C$13,"Const. Complete"," ")</f>
        <v xml:space="preserve"> </v>
      </c>
      <c r="AY3" s="51" t="str">
        <f>IF(AY7=Summary!$C$13,"Const. Complete"," ")</f>
        <v xml:space="preserve"> </v>
      </c>
      <c r="AZ3" s="51" t="str">
        <f>IF(AZ7=Summary!$C$13,"Const. Complete"," ")</f>
        <v xml:space="preserve"> </v>
      </c>
      <c r="BA3" s="51" t="str">
        <f>IF(BA7=Summary!$C$13,"Const. Complete"," ")</f>
        <v xml:space="preserve"> </v>
      </c>
      <c r="BB3" s="51" t="str">
        <f>IF(BB7=Summary!$C$13,"Const. Complete"," ")</f>
        <v xml:space="preserve"> </v>
      </c>
      <c r="BC3" s="51" t="str">
        <f>IF(BC7=Summary!$C$13,"Const. Complete"," ")</f>
        <v xml:space="preserve"> </v>
      </c>
      <c r="BD3" s="51" t="str">
        <f>IF(BD7=Summary!$C$13,"Const. Complete"," ")</f>
        <v xml:space="preserve"> </v>
      </c>
      <c r="BE3" s="51" t="str">
        <f>IF(BE7=Summary!$C$13,"Const. Complete"," ")</f>
        <v xml:space="preserve"> </v>
      </c>
      <c r="BF3" s="51" t="str">
        <f>IF(BF7=Summary!$C$13,"Const. Complete"," ")</f>
        <v xml:space="preserve"> </v>
      </c>
      <c r="BG3" s="51" t="str">
        <f>IF(BG7=Summary!$C$13,"Const. Complete"," ")</f>
        <v xml:space="preserve"> </v>
      </c>
      <c r="BH3" s="51" t="str">
        <f>IF(BH7=Summary!$C$13,"Const. Complete"," ")</f>
        <v xml:space="preserve"> </v>
      </c>
      <c r="BI3" s="51" t="str">
        <f>IF(BI7=Summary!$C$13,"Const. Complete"," ")</f>
        <v xml:space="preserve"> </v>
      </c>
      <c r="BJ3" s="51" t="str">
        <f>IF(BJ7=Summary!$C$13,"Const. Complete"," ")</f>
        <v xml:space="preserve"> </v>
      </c>
      <c r="BK3" s="51" t="str">
        <f>IF(BK7=Summary!$C$13,"Const. Complete"," ")</f>
        <v xml:space="preserve"> </v>
      </c>
      <c r="BL3" s="51" t="str">
        <f>IF(BL7=Summary!$C$13,"Const. Complete"," ")</f>
        <v>Const. Complete</v>
      </c>
      <c r="BM3" s="51" t="str">
        <f>IF(BM7=Summary!$C$13,"Const. Complete"," ")</f>
        <v xml:space="preserve"> </v>
      </c>
      <c r="BN3" s="51" t="str">
        <f>IF(BN7=Summary!$C$13,"Const. Complete"," ")</f>
        <v xml:space="preserve"> </v>
      </c>
      <c r="BO3" s="51" t="str">
        <f>IF(BO7=Summary!$C$13,"Const. Complete"," ")</f>
        <v xml:space="preserve"> </v>
      </c>
      <c r="BP3" s="51" t="str">
        <f>IF(BP7=Summary!$C$13,"Const. Complete"," ")</f>
        <v xml:space="preserve"> </v>
      </c>
      <c r="BQ3" s="51" t="str">
        <f>IF(BQ7=Summary!$C$13,"Const. Complete"," ")</f>
        <v xml:space="preserve"> </v>
      </c>
      <c r="BR3" s="51" t="str">
        <f>IF(BR7=Summary!$C$13,"Const. Complete"," ")</f>
        <v xml:space="preserve"> </v>
      </c>
      <c r="BS3" s="51" t="str">
        <f>IF(BS7=Summary!$C$13,"Const. Complete"," ")</f>
        <v xml:space="preserve"> </v>
      </c>
      <c r="BT3" s="51" t="str">
        <f>IF(BT7=Summary!$C$13,"Const. Complete"," ")</f>
        <v xml:space="preserve"> </v>
      </c>
      <c r="BU3" s="51" t="str">
        <f>IF(BU7=Summary!$C$13,"Const. Complete"," ")</f>
        <v xml:space="preserve"> </v>
      </c>
      <c r="BV3" s="51" t="str">
        <f>IF(BV7=Summary!$C$13,"Const. Complete"," ")</f>
        <v xml:space="preserve"> </v>
      </c>
      <c r="BW3" s="51" t="str">
        <f>IF(BW7=Summary!$C$13,"Const. Complete"," ")</f>
        <v xml:space="preserve"> </v>
      </c>
      <c r="BX3" s="51" t="str">
        <f>IF(BX7=Summary!$C$13,"Const. Complete"," ")</f>
        <v xml:space="preserve"> </v>
      </c>
      <c r="BY3" s="51" t="str">
        <f>IF(BY7=Summary!$C$13,"Const. Complete"," ")</f>
        <v xml:space="preserve"> </v>
      </c>
      <c r="BZ3" s="51" t="str">
        <f>IF(BZ7=Summary!$C$13,"Const. Complete"," ")</f>
        <v xml:space="preserve"> </v>
      </c>
      <c r="CA3" s="51" t="str">
        <f>IF(CA7=Summary!$C$13,"Const. Complete"," ")</f>
        <v xml:space="preserve"> </v>
      </c>
      <c r="CB3" s="51" t="str">
        <f>IF(CB7=Summary!$C$13,"Const. Complete"," ")</f>
        <v xml:space="preserve"> </v>
      </c>
      <c r="CC3" s="51" t="str">
        <f>IF(CC7=Summary!$C$13,"Const. Complete"," ")</f>
        <v xml:space="preserve"> </v>
      </c>
      <c r="CD3" s="51" t="str">
        <f>IF(CD7=Summary!$C$13,"Const. Complete"," ")</f>
        <v xml:space="preserve"> </v>
      </c>
      <c r="CE3" s="51" t="str">
        <f>IF(CE7=Summary!$C$13,"Const. Complete"," ")</f>
        <v xml:space="preserve"> </v>
      </c>
      <c r="CF3" s="51" t="str">
        <f>IF(CF7=Summary!$C$13,"Const. Complete"," ")</f>
        <v xml:space="preserve"> </v>
      </c>
      <c r="CG3" s="51" t="str">
        <f>IF(CG7=Summary!$C$13,"Const. Complete"," ")</f>
        <v xml:space="preserve"> </v>
      </c>
      <c r="CH3" s="51" t="str">
        <f>IF(CH7=Summary!$C$13,"Const. Complete"," ")</f>
        <v xml:space="preserve"> </v>
      </c>
      <c r="CI3" s="51" t="str">
        <f>IF(CI7=Summary!$C$13,"Const. Complete"," ")</f>
        <v xml:space="preserve"> </v>
      </c>
      <c r="CJ3" s="51" t="str">
        <f>IF(CJ7=Summary!$C$13,"Const. Complete"," ")</f>
        <v xml:space="preserve"> </v>
      </c>
      <c r="CK3" s="51" t="str">
        <f>IF(CK7=Summary!$C$13,"Const. Complete"," ")</f>
        <v xml:space="preserve"> </v>
      </c>
      <c r="CL3" s="51" t="str">
        <f>IF(CL7=Summary!$C$13,"Const. Complete"," ")</f>
        <v xml:space="preserve"> </v>
      </c>
      <c r="CM3" s="51" t="str">
        <f>IF(CM7=Summary!$C$13,"Const. Complete"," ")</f>
        <v xml:space="preserve"> </v>
      </c>
      <c r="CN3" s="51" t="str">
        <f>IF(CN7=Summary!$C$13,"Const. Complete"," ")</f>
        <v xml:space="preserve"> </v>
      </c>
      <c r="CO3" s="51" t="str">
        <f>IF(CO7=Summary!$C$13,"Const. Complete"," ")</f>
        <v xml:space="preserve"> </v>
      </c>
      <c r="CP3" s="51" t="str">
        <f>IF(CP7=Summary!$C$13,"Const. Complete"," ")</f>
        <v xml:space="preserve"> </v>
      </c>
      <c r="CQ3" s="51" t="str">
        <f>IF(CQ7=Summary!$C$13,"Const. Complete"," ")</f>
        <v xml:space="preserve"> </v>
      </c>
      <c r="CR3" s="51" t="str">
        <f>IF(CR7=Summary!$C$13,"Const. Complete"," ")</f>
        <v xml:space="preserve"> </v>
      </c>
      <c r="CS3" s="51" t="str">
        <f>IF(CS7=Summary!$C$13,"Const. Complete"," ")</f>
        <v xml:space="preserve"> </v>
      </c>
      <c r="CT3" s="51" t="str">
        <f>IF(CT7=Summary!$C$13,"Const. Complete"," ")</f>
        <v xml:space="preserve"> </v>
      </c>
      <c r="CU3" s="51" t="str">
        <f>IF(CU7=Summary!$C$13,"Const. Complete"," ")</f>
        <v xml:space="preserve"> </v>
      </c>
      <c r="CV3" s="51" t="str">
        <f>IF(CV7=Summary!$C$13,"Const. Complete"," ")</f>
        <v xml:space="preserve"> </v>
      </c>
      <c r="CW3" s="51" t="str">
        <f>IF(CW7=Summary!$C$13,"Const. Complete"," ")</f>
        <v xml:space="preserve"> </v>
      </c>
      <c r="CX3" s="51" t="str">
        <f>IF(CX7=Summary!$C$13,"Const. Complete"," ")</f>
        <v xml:space="preserve"> </v>
      </c>
      <c r="CY3" s="51" t="str">
        <f>IF(CY7=Summary!$C$13,"Const. Complete"," ")</f>
        <v xml:space="preserve"> </v>
      </c>
      <c r="CZ3" s="51" t="str">
        <f>IF(CZ7=Summary!$C$13,"Const. Complete"," ")</f>
        <v xml:space="preserve"> </v>
      </c>
      <c r="DA3" s="51" t="str">
        <f>IF(DA7=Summary!$C$13,"Const. Complete"," ")</f>
        <v xml:space="preserve"> </v>
      </c>
      <c r="DB3" s="51" t="str">
        <f>IF(DB7=Summary!$C$13,"Const. Complete"," ")</f>
        <v xml:space="preserve"> </v>
      </c>
      <c r="DC3" s="51" t="str">
        <f>IF(DC7=Summary!$C$13,"Const. Complete"," ")</f>
        <v xml:space="preserve"> </v>
      </c>
      <c r="DD3" s="51" t="str">
        <f>IF(DD7=Summary!$C$13,"Const. Complete"," ")</f>
        <v xml:space="preserve"> </v>
      </c>
      <c r="DE3" s="51" t="str">
        <f>IF(DE7=Summary!$C$13,"Const. Complete"," ")</f>
        <v xml:space="preserve"> </v>
      </c>
    </row>
    <row r="4" spans="1:149" ht="17" thickBot="1">
      <c r="AT4" t="s">
        <v>339</v>
      </c>
    </row>
    <row r="5" spans="1:149">
      <c r="B5" s="378"/>
      <c r="C5" s="372"/>
      <c r="D5" s="372"/>
      <c r="E5" s="372"/>
      <c r="F5" s="372"/>
      <c r="G5" s="372"/>
      <c r="H5" s="372"/>
      <c r="I5" s="372">
        <v>0</v>
      </c>
      <c r="J5" s="372">
        <f>I5+1</f>
        <v>1</v>
      </c>
      <c r="K5" s="372">
        <f t="shared" ref="K5:BO5" si="0">J5+1</f>
        <v>2</v>
      </c>
      <c r="L5" s="372">
        <f t="shared" si="0"/>
        <v>3</v>
      </c>
      <c r="M5" s="372">
        <f t="shared" si="0"/>
        <v>4</v>
      </c>
      <c r="N5" s="372">
        <f t="shared" si="0"/>
        <v>5</v>
      </c>
      <c r="O5" s="372">
        <f t="shared" si="0"/>
        <v>6</v>
      </c>
      <c r="P5" s="372">
        <f t="shared" si="0"/>
        <v>7</v>
      </c>
      <c r="Q5" s="372">
        <f t="shared" si="0"/>
        <v>8</v>
      </c>
      <c r="R5" s="372">
        <f t="shared" si="0"/>
        <v>9</v>
      </c>
      <c r="S5" s="372">
        <f t="shared" si="0"/>
        <v>10</v>
      </c>
      <c r="T5" s="372">
        <f t="shared" si="0"/>
        <v>11</v>
      </c>
      <c r="U5" s="372">
        <f t="shared" si="0"/>
        <v>12</v>
      </c>
      <c r="V5" s="372">
        <f t="shared" si="0"/>
        <v>13</v>
      </c>
      <c r="W5" s="372">
        <f t="shared" si="0"/>
        <v>14</v>
      </c>
      <c r="X5" s="372">
        <f t="shared" si="0"/>
        <v>15</v>
      </c>
      <c r="Y5" s="372">
        <f t="shared" si="0"/>
        <v>16</v>
      </c>
      <c r="Z5" s="372">
        <f t="shared" si="0"/>
        <v>17</v>
      </c>
      <c r="AA5" s="372">
        <f t="shared" si="0"/>
        <v>18</v>
      </c>
      <c r="AB5" s="372">
        <f t="shared" si="0"/>
        <v>19</v>
      </c>
      <c r="AC5" s="372">
        <f t="shared" si="0"/>
        <v>20</v>
      </c>
      <c r="AD5" s="372">
        <f t="shared" si="0"/>
        <v>21</v>
      </c>
      <c r="AE5" s="372">
        <f t="shared" si="0"/>
        <v>22</v>
      </c>
      <c r="AF5" s="372">
        <f t="shared" si="0"/>
        <v>23</v>
      </c>
      <c r="AG5" s="372">
        <f t="shared" si="0"/>
        <v>24</v>
      </c>
      <c r="AH5" s="372">
        <f t="shared" si="0"/>
        <v>25</v>
      </c>
      <c r="AI5" s="372">
        <f t="shared" si="0"/>
        <v>26</v>
      </c>
      <c r="AJ5" s="372">
        <f t="shared" si="0"/>
        <v>27</v>
      </c>
      <c r="AK5" s="372">
        <f t="shared" si="0"/>
        <v>28</v>
      </c>
      <c r="AL5" s="372">
        <f t="shared" si="0"/>
        <v>29</v>
      </c>
      <c r="AM5" s="372">
        <f t="shared" si="0"/>
        <v>30</v>
      </c>
      <c r="AN5" s="372">
        <f t="shared" si="0"/>
        <v>31</v>
      </c>
      <c r="AO5" s="372">
        <f t="shared" si="0"/>
        <v>32</v>
      </c>
      <c r="AP5" s="372">
        <f t="shared" si="0"/>
        <v>33</v>
      </c>
      <c r="AQ5" s="372">
        <f t="shared" si="0"/>
        <v>34</v>
      </c>
      <c r="AR5" s="372">
        <f t="shared" si="0"/>
        <v>35</v>
      </c>
      <c r="AS5" s="372">
        <f t="shared" si="0"/>
        <v>36</v>
      </c>
      <c r="AT5" s="372">
        <f t="shared" si="0"/>
        <v>37</v>
      </c>
      <c r="AU5" s="372">
        <f t="shared" si="0"/>
        <v>38</v>
      </c>
      <c r="AV5" s="372">
        <f t="shared" si="0"/>
        <v>39</v>
      </c>
      <c r="AW5" s="372">
        <f t="shared" si="0"/>
        <v>40</v>
      </c>
      <c r="AX5" s="372">
        <f t="shared" si="0"/>
        <v>41</v>
      </c>
      <c r="AY5" s="372">
        <f t="shared" si="0"/>
        <v>42</v>
      </c>
      <c r="AZ5" s="372">
        <f t="shared" si="0"/>
        <v>43</v>
      </c>
      <c r="BA5" s="372">
        <f t="shared" si="0"/>
        <v>44</v>
      </c>
      <c r="BB5" s="372">
        <f t="shared" si="0"/>
        <v>45</v>
      </c>
      <c r="BC5" s="372">
        <f t="shared" si="0"/>
        <v>46</v>
      </c>
      <c r="BD5" s="372">
        <f t="shared" si="0"/>
        <v>47</v>
      </c>
      <c r="BE5" s="372">
        <f t="shared" si="0"/>
        <v>48</v>
      </c>
      <c r="BF5" s="372">
        <f t="shared" si="0"/>
        <v>49</v>
      </c>
      <c r="BG5" s="372">
        <f t="shared" si="0"/>
        <v>50</v>
      </c>
      <c r="BH5" s="372">
        <f t="shared" si="0"/>
        <v>51</v>
      </c>
      <c r="BI5" s="372">
        <f t="shared" si="0"/>
        <v>52</v>
      </c>
      <c r="BJ5" s="372">
        <f t="shared" si="0"/>
        <v>53</v>
      </c>
      <c r="BK5" s="372">
        <f t="shared" si="0"/>
        <v>54</v>
      </c>
      <c r="BL5" s="372">
        <f t="shared" si="0"/>
        <v>55</v>
      </c>
      <c r="BM5" s="372">
        <f t="shared" si="0"/>
        <v>56</v>
      </c>
      <c r="BN5" s="372">
        <f t="shared" si="0"/>
        <v>57</v>
      </c>
      <c r="BO5" s="372">
        <f t="shared" si="0"/>
        <v>58</v>
      </c>
      <c r="BP5" s="372">
        <f t="shared" ref="BP5:CB5" si="1">BO5+1</f>
        <v>59</v>
      </c>
      <c r="BQ5" s="372">
        <f t="shared" si="1"/>
        <v>60</v>
      </c>
      <c r="BR5" s="372">
        <f t="shared" si="1"/>
        <v>61</v>
      </c>
      <c r="BS5" s="372">
        <f t="shared" si="1"/>
        <v>62</v>
      </c>
      <c r="BT5" s="372">
        <f t="shared" si="1"/>
        <v>63</v>
      </c>
      <c r="BU5" s="372">
        <f t="shared" si="1"/>
        <v>64</v>
      </c>
      <c r="BV5" s="372">
        <f t="shared" si="1"/>
        <v>65</v>
      </c>
      <c r="BW5" s="372">
        <f t="shared" si="1"/>
        <v>66</v>
      </c>
      <c r="BX5" s="372">
        <f t="shared" si="1"/>
        <v>67</v>
      </c>
      <c r="BY5" s="372">
        <f t="shared" si="1"/>
        <v>68</v>
      </c>
      <c r="BZ5" s="372">
        <f t="shared" si="1"/>
        <v>69</v>
      </c>
      <c r="CA5" s="372">
        <f t="shared" si="1"/>
        <v>70</v>
      </c>
      <c r="CB5" s="372">
        <f t="shared" si="1"/>
        <v>71</v>
      </c>
      <c r="CC5" s="372">
        <f t="shared" ref="CC5" si="2">CB5+1</f>
        <v>72</v>
      </c>
      <c r="CD5" s="372">
        <f t="shared" ref="CD5" si="3">CC5+1</f>
        <v>73</v>
      </c>
      <c r="CE5" s="372">
        <f t="shared" ref="CE5" si="4">CD5+1</f>
        <v>74</v>
      </c>
      <c r="CF5" s="372">
        <f t="shared" ref="CF5" si="5">CE5+1</f>
        <v>75</v>
      </c>
      <c r="CG5" s="372">
        <f t="shared" ref="CG5" si="6">CF5+1</f>
        <v>76</v>
      </c>
      <c r="CH5" s="372">
        <f t="shared" ref="CH5" si="7">CG5+1</f>
        <v>77</v>
      </c>
      <c r="CI5" s="372">
        <f t="shared" ref="CI5" si="8">CH5+1</f>
        <v>78</v>
      </c>
      <c r="CJ5" s="372">
        <f t="shared" ref="CJ5" si="9">CI5+1</f>
        <v>79</v>
      </c>
      <c r="CK5" s="372">
        <f t="shared" ref="CK5" si="10">CJ5+1</f>
        <v>80</v>
      </c>
      <c r="CL5" s="372">
        <f t="shared" ref="CL5" si="11">CK5+1</f>
        <v>81</v>
      </c>
      <c r="CM5" s="372">
        <f t="shared" ref="CM5" si="12">CL5+1</f>
        <v>82</v>
      </c>
      <c r="CN5" s="372">
        <f t="shared" ref="CN5" si="13">CM5+1</f>
        <v>83</v>
      </c>
      <c r="CO5" s="372">
        <f t="shared" ref="CO5" si="14">CN5+1</f>
        <v>84</v>
      </c>
      <c r="CP5" s="372">
        <f t="shared" ref="CP5" si="15">CO5+1</f>
        <v>85</v>
      </c>
      <c r="CQ5" s="372">
        <f t="shared" ref="CQ5" si="16">CP5+1</f>
        <v>86</v>
      </c>
      <c r="CR5" s="372">
        <f t="shared" ref="CR5" si="17">CQ5+1</f>
        <v>87</v>
      </c>
      <c r="CS5" s="372">
        <f t="shared" ref="CS5" si="18">CR5+1</f>
        <v>88</v>
      </c>
      <c r="CT5" s="372">
        <f t="shared" ref="CT5" si="19">CS5+1</f>
        <v>89</v>
      </c>
      <c r="CU5" s="372">
        <f t="shared" ref="CU5" si="20">CT5+1</f>
        <v>90</v>
      </c>
      <c r="CV5" s="372">
        <f t="shared" ref="CV5" si="21">CU5+1</f>
        <v>91</v>
      </c>
      <c r="CW5" s="372">
        <f t="shared" ref="CW5" si="22">CV5+1</f>
        <v>92</v>
      </c>
      <c r="CX5" s="372">
        <f t="shared" ref="CX5" si="23">CW5+1</f>
        <v>93</v>
      </c>
      <c r="CY5" s="372">
        <f t="shared" ref="CY5" si="24">CX5+1</f>
        <v>94</v>
      </c>
      <c r="CZ5" s="372">
        <f t="shared" ref="CZ5" si="25">CY5+1</f>
        <v>95</v>
      </c>
      <c r="DA5" s="372">
        <f t="shared" ref="DA5" si="26">CZ5+1</f>
        <v>96</v>
      </c>
      <c r="DB5" s="372">
        <f t="shared" ref="DB5" si="27">DA5+1</f>
        <v>97</v>
      </c>
      <c r="DC5" s="372">
        <f t="shared" ref="DC5" si="28">DB5+1</f>
        <v>98</v>
      </c>
      <c r="DD5" s="372">
        <f t="shared" ref="DD5" si="29">DC5+1</f>
        <v>99</v>
      </c>
      <c r="DE5" s="373">
        <f t="shared" ref="DE5" si="30">DD5+1</f>
        <v>100</v>
      </c>
    </row>
    <row r="6" spans="1:149">
      <c r="B6" s="379"/>
      <c r="C6" s="506"/>
      <c r="D6" s="506"/>
      <c r="E6" s="506"/>
      <c r="F6" s="506"/>
      <c r="G6" s="506"/>
      <c r="H6" s="506"/>
      <c r="I6" s="506">
        <f>YEAR(I7)</f>
        <v>2019</v>
      </c>
      <c r="J6" s="506">
        <f t="shared" ref="J6:BU6" si="31">YEAR(J7)</f>
        <v>2019</v>
      </c>
      <c r="K6" s="506">
        <f t="shared" si="31"/>
        <v>2020</v>
      </c>
      <c r="L6" s="506">
        <f t="shared" si="31"/>
        <v>2020</v>
      </c>
      <c r="M6" s="506">
        <f t="shared" si="31"/>
        <v>2020</v>
      </c>
      <c r="N6" s="506">
        <f t="shared" si="31"/>
        <v>2020</v>
      </c>
      <c r="O6" s="506">
        <f t="shared" si="31"/>
        <v>2020</v>
      </c>
      <c r="P6" s="506">
        <f t="shared" si="31"/>
        <v>2020</v>
      </c>
      <c r="Q6" s="506">
        <f t="shared" si="31"/>
        <v>2020</v>
      </c>
      <c r="R6" s="506">
        <f t="shared" si="31"/>
        <v>2020</v>
      </c>
      <c r="S6" s="506">
        <f t="shared" si="31"/>
        <v>2020</v>
      </c>
      <c r="T6" s="506">
        <f t="shared" si="31"/>
        <v>2020</v>
      </c>
      <c r="U6" s="506">
        <f t="shared" si="31"/>
        <v>2020</v>
      </c>
      <c r="V6" s="506">
        <f t="shared" si="31"/>
        <v>2020</v>
      </c>
      <c r="W6" s="506">
        <f t="shared" si="31"/>
        <v>2021</v>
      </c>
      <c r="X6" s="506">
        <f t="shared" si="31"/>
        <v>2021</v>
      </c>
      <c r="Y6" s="506">
        <f t="shared" si="31"/>
        <v>2021</v>
      </c>
      <c r="Z6" s="506">
        <f t="shared" si="31"/>
        <v>2021</v>
      </c>
      <c r="AA6" s="506">
        <f t="shared" si="31"/>
        <v>2021</v>
      </c>
      <c r="AB6" s="506">
        <f t="shared" si="31"/>
        <v>2021</v>
      </c>
      <c r="AC6" s="506">
        <f t="shared" si="31"/>
        <v>2021</v>
      </c>
      <c r="AD6" s="506">
        <f t="shared" si="31"/>
        <v>2021</v>
      </c>
      <c r="AE6" s="506">
        <f t="shared" si="31"/>
        <v>2021</v>
      </c>
      <c r="AF6" s="506">
        <f t="shared" si="31"/>
        <v>2021</v>
      </c>
      <c r="AG6" s="506">
        <f t="shared" si="31"/>
        <v>2021</v>
      </c>
      <c r="AH6" s="506">
        <f t="shared" si="31"/>
        <v>2021</v>
      </c>
      <c r="AI6" s="506">
        <f t="shared" si="31"/>
        <v>2022</v>
      </c>
      <c r="AJ6" s="506">
        <f t="shared" si="31"/>
        <v>2022</v>
      </c>
      <c r="AK6" s="506">
        <f t="shared" si="31"/>
        <v>2022</v>
      </c>
      <c r="AL6" s="506">
        <f t="shared" si="31"/>
        <v>2022</v>
      </c>
      <c r="AM6" s="506">
        <f t="shared" si="31"/>
        <v>2022</v>
      </c>
      <c r="AN6" s="506">
        <f t="shared" si="31"/>
        <v>2022</v>
      </c>
      <c r="AO6" s="506">
        <f t="shared" si="31"/>
        <v>2022</v>
      </c>
      <c r="AP6" s="506">
        <f t="shared" si="31"/>
        <v>2022</v>
      </c>
      <c r="AQ6" s="506">
        <f t="shared" si="31"/>
        <v>2022</v>
      </c>
      <c r="AR6" s="506">
        <f t="shared" si="31"/>
        <v>2022</v>
      </c>
      <c r="AS6" s="506">
        <f t="shared" si="31"/>
        <v>2022</v>
      </c>
      <c r="AT6" s="506">
        <f t="shared" si="31"/>
        <v>2022</v>
      </c>
      <c r="AU6" s="506">
        <f t="shared" si="31"/>
        <v>2023</v>
      </c>
      <c r="AV6" s="506">
        <f t="shared" si="31"/>
        <v>2023</v>
      </c>
      <c r="AW6" s="506">
        <f t="shared" si="31"/>
        <v>2023</v>
      </c>
      <c r="AX6" s="506">
        <f t="shared" si="31"/>
        <v>2023</v>
      </c>
      <c r="AY6" s="506">
        <f t="shared" si="31"/>
        <v>2023</v>
      </c>
      <c r="AZ6" s="506">
        <f t="shared" si="31"/>
        <v>2023</v>
      </c>
      <c r="BA6" s="506">
        <f t="shared" si="31"/>
        <v>2023</v>
      </c>
      <c r="BB6" s="506">
        <f t="shared" si="31"/>
        <v>2023</v>
      </c>
      <c r="BC6" s="506">
        <f t="shared" si="31"/>
        <v>2023</v>
      </c>
      <c r="BD6" s="506">
        <f t="shared" si="31"/>
        <v>2023</v>
      </c>
      <c r="BE6" s="506">
        <f t="shared" si="31"/>
        <v>2023</v>
      </c>
      <c r="BF6" s="506">
        <f t="shared" si="31"/>
        <v>2023</v>
      </c>
      <c r="BG6" s="506">
        <f t="shared" si="31"/>
        <v>2024</v>
      </c>
      <c r="BH6" s="506">
        <f t="shared" si="31"/>
        <v>2024</v>
      </c>
      <c r="BI6" s="506">
        <f t="shared" si="31"/>
        <v>2024</v>
      </c>
      <c r="BJ6" s="506">
        <f t="shared" si="31"/>
        <v>2024</v>
      </c>
      <c r="BK6" s="506">
        <f t="shared" si="31"/>
        <v>2024</v>
      </c>
      <c r="BL6" s="506">
        <f t="shared" si="31"/>
        <v>2024</v>
      </c>
      <c r="BM6" s="506">
        <f t="shared" si="31"/>
        <v>2024</v>
      </c>
      <c r="BN6" s="506">
        <f t="shared" si="31"/>
        <v>2024</v>
      </c>
      <c r="BO6" s="506">
        <f t="shared" si="31"/>
        <v>2024</v>
      </c>
      <c r="BP6" s="506">
        <f t="shared" si="31"/>
        <v>2024</v>
      </c>
      <c r="BQ6" s="506">
        <f t="shared" si="31"/>
        <v>2024</v>
      </c>
      <c r="BR6" s="506">
        <f t="shared" si="31"/>
        <v>2024</v>
      </c>
      <c r="BS6" s="506">
        <f t="shared" si="31"/>
        <v>2025</v>
      </c>
      <c r="BT6" s="506">
        <f t="shared" si="31"/>
        <v>2025</v>
      </c>
      <c r="BU6" s="506">
        <f t="shared" si="31"/>
        <v>2025</v>
      </c>
      <c r="BV6" s="506">
        <f t="shared" ref="BV6:DE6" si="32">YEAR(BV7)</f>
        <v>2025</v>
      </c>
      <c r="BW6" s="506">
        <f t="shared" si="32"/>
        <v>2025</v>
      </c>
      <c r="BX6" s="506">
        <f t="shared" si="32"/>
        <v>2025</v>
      </c>
      <c r="BY6" s="506">
        <f t="shared" si="32"/>
        <v>2025</v>
      </c>
      <c r="BZ6" s="506">
        <f t="shared" si="32"/>
        <v>2025</v>
      </c>
      <c r="CA6" s="506">
        <f t="shared" si="32"/>
        <v>2025</v>
      </c>
      <c r="CB6" s="506">
        <f t="shared" si="32"/>
        <v>2025</v>
      </c>
      <c r="CC6" s="506">
        <f t="shared" si="32"/>
        <v>2025</v>
      </c>
      <c r="CD6" s="506">
        <f t="shared" si="32"/>
        <v>2025</v>
      </c>
      <c r="CE6" s="506">
        <f t="shared" si="32"/>
        <v>2026</v>
      </c>
      <c r="CF6" s="506">
        <f t="shared" si="32"/>
        <v>2026</v>
      </c>
      <c r="CG6" s="506">
        <f t="shared" si="32"/>
        <v>2026</v>
      </c>
      <c r="CH6" s="506">
        <f t="shared" si="32"/>
        <v>2026</v>
      </c>
      <c r="CI6" s="506">
        <f t="shared" si="32"/>
        <v>2026</v>
      </c>
      <c r="CJ6" s="506">
        <f t="shared" si="32"/>
        <v>2026</v>
      </c>
      <c r="CK6" s="506">
        <f t="shared" si="32"/>
        <v>2026</v>
      </c>
      <c r="CL6" s="506">
        <f t="shared" si="32"/>
        <v>2026</v>
      </c>
      <c r="CM6" s="506">
        <f t="shared" si="32"/>
        <v>2026</v>
      </c>
      <c r="CN6" s="506">
        <f t="shared" si="32"/>
        <v>2026</v>
      </c>
      <c r="CO6" s="506">
        <f t="shared" si="32"/>
        <v>2026</v>
      </c>
      <c r="CP6" s="506">
        <f t="shared" si="32"/>
        <v>2026</v>
      </c>
      <c r="CQ6" s="506">
        <f t="shared" si="32"/>
        <v>2027</v>
      </c>
      <c r="CR6" s="506">
        <f t="shared" si="32"/>
        <v>2027</v>
      </c>
      <c r="CS6" s="506">
        <f t="shared" si="32"/>
        <v>2027</v>
      </c>
      <c r="CT6" s="506">
        <f t="shared" si="32"/>
        <v>2027</v>
      </c>
      <c r="CU6" s="506">
        <f t="shared" si="32"/>
        <v>2027</v>
      </c>
      <c r="CV6" s="506">
        <f t="shared" si="32"/>
        <v>2027</v>
      </c>
      <c r="CW6" s="506">
        <f t="shared" si="32"/>
        <v>2027</v>
      </c>
      <c r="CX6" s="506">
        <f t="shared" si="32"/>
        <v>2027</v>
      </c>
      <c r="CY6" s="506">
        <f t="shared" si="32"/>
        <v>2027</v>
      </c>
      <c r="CZ6" s="506">
        <f t="shared" si="32"/>
        <v>2027</v>
      </c>
      <c r="DA6" s="506">
        <f t="shared" si="32"/>
        <v>2027</v>
      </c>
      <c r="DB6" s="506">
        <f t="shared" si="32"/>
        <v>2027</v>
      </c>
      <c r="DC6" s="506">
        <f t="shared" si="32"/>
        <v>2028</v>
      </c>
      <c r="DD6" s="506">
        <f t="shared" si="32"/>
        <v>2028</v>
      </c>
      <c r="DE6" s="380">
        <f t="shared" si="32"/>
        <v>2028</v>
      </c>
    </row>
    <row r="7" spans="1:149">
      <c r="B7" s="381"/>
      <c r="C7" s="382"/>
      <c r="D7" s="382"/>
      <c r="E7" s="382"/>
      <c r="F7" s="382"/>
      <c r="G7" s="382"/>
      <c r="H7" s="382"/>
      <c r="I7" s="383">
        <f>Summary!C10</f>
        <v>43799</v>
      </c>
      <c r="J7" s="383">
        <f>EOMONTH(I7+25,0)</f>
        <v>43830</v>
      </c>
      <c r="K7" s="383">
        <f>EOMONTH(J7+25,0)</f>
        <v>43861</v>
      </c>
      <c r="L7" s="383">
        <f>EOMONTH(K7+25,0)</f>
        <v>43890</v>
      </c>
      <c r="M7" s="383">
        <f t="shared" ref="M7:BO7" si="33">EOMONTH(L7+25,0)</f>
        <v>43921</v>
      </c>
      <c r="N7" s="383">
        <f t="shared" si="33"/>
        <v>43951</v>
      </c>
      <c r="O7" s="383">
        <f t="shared" si="33"/>
        <v>43982</v>
      </c>
      <c r="P7" s="383">
        <f t="shared" si="33"/>
        <v>44012</v>
      </c>
      <c r="Q7" s="383">
        <f t="shared" si="33"/>
        <v>44043</v>
      </c>
      <c r="R7" s="383">
        <f t="shared" si="33"/>
        <v>44074</v>
      </c>
      <c r="S7" s="383">
        <f t="shared" si="33"/>
        <v>44104</v>
      </c>
      <c r="T7" s="383">
        <f t="shared" si="33"/>
        <v>44135</v>
      </c>
      <c r="U7" s="383">
        <f t="shared" si="33"/>
        <v>44165</v>
      </c>
      <c r="V7" s="383">
        <f t="shared" si="33"/>
        <v>44196</v>
      </c>
      <c r="W7" s="383">
        <f t="shared" si="33"/>
        <v>44227</v>
      </c>
      <c r="X7" s="383">
        <f t="shared" si="33"/>
        <v>44255</v>
      </c>
      <c r="Y7" s="383">
        <f t="shared" si="33"/>
        <v>44286</v>
      </c>
      <c r="Z7" s="383">
        <f t="shared" si="33"/>
        <v>44316</v>
      </c>
      <c r="AA7" s="383">
        <f t="shared" si="33"/>
        <v>44347</v>
      </c>
      <c r="AB7" s="383">
        <f t="shared" si="33"/>
        <v>44377</v>
      </c>
      <c r="AC7" s="383">
        <f t="shared" si="33"/>
        <v>44408</v>
      </c>
      <c r="AD7" s="383">
        <f t="shared" si="33"/>
        <v>44439</v>
      </c>
      <c r="AE7" s="383">
        <f t="shared" si="33"/>
        <v>44469</v>
      </c>
      <c r="AF7" s="383">
        <f t="shared" si="33"/>
        <v>44500</v>
      </c>
      <c r="AG7" s="383">
        <f t="shared" si="33"/>
        <v>44530</v>
      </c>
      <c r="AH7" s="383">
        <f t="shared" si="33"/>
        <v>44561</v>
      </c>
      <c r="AI7" s="383">
        <f t="shared" si="33"/>
        <v>44592</v>
      </c>
      <c r="AJ7" s="383">
        <f t="shared" si="33"/>
        <v>44620</v>
      </c>
      <c r="AK7" s="383">
        <f t="shared" si="33"/>
        <v>44651</v>
      </c>
      <c r="AL7" s="383">
        <f t="shared" si="33"/>
        <v>44681</v>
      </c>
      <c r="AM7" s="383">
        <f t="shared" si="33"/>
        <v>44712</v>
      </c>
      <c r="AN7" s="383">
        <f t="shared" si="33"/>
        <v>44742</v>
      </c>
      <c r="AO7" s="383">
        <f t="shared" si="33"/>
        <v>44773</v>
      </c>
      <c r="AP7" s="383">
        <f t="shared" si="33"/>
        <v>44804</v>
      </c>
      <c r="AQ7" s="383">
        <f t="shared" si="33"/>
        <v>44834</v>
      </c>
      <c r="AR7" s="383">
        <f t="shared" si="33"/>
        <v>44865</v>
      </c>
      <c r="AS7" s="383">
        <f t="shared" si="33"/>
        <v>44895</v>
      </c>
      <c r="AT7" s="383">
        <f t="shared" si="33"/>
        <v>44926</v>
      </c>
      <c r="AU7" s="383">
        <f t="shared" si="33"/>
        <v>44957</v>
      </c>
      <c r="AV7" s="383">
        <f t="shared" si="33"/>
        <v>44985</v>
      </c>
      <c r="AW7" s="383">
        <f t="shared" si="33"/>
        <v>45016</v>
      </c>
      <c r="AX7" s="383">
        <f t="shared" si="33"/>
        <v>45046</v>
      </c>
      <c r="AY7" s="383">
        <f t="shared" si="33"/>
        <v>45077</v>
      </c>
      <c r="AZ7" s="383">
        <f t="shared" si="33"/>
        <v>45107</v>
      </c>
      <c r="BA7" s="383">
        <f t="shared" si="33"/>
        <v>45138</v>
      </c>
      <c r="BB7" s="383">
        <f t="shared" si="33"/>
        <v>45169</v>
      </c>
      <c r="BC7" s="383">
        <f t="shared" si="33"/>
        <v>45199</v>
      </c>
      <c r="BD7" s="383">
        <f t="shared" si="33"/>
        <v>45230</v>
      </c>
      <c r="BE7" s="383">
        <f t="shared" si="33"/>
        <v>45260</v>
      </c>
      <c r="BF7" s="383">
        <f t="shared" si="33"/>
        <v>45291</v>
      </c>
      <c r="BG7" s="383">
        <f t="shared" si="33"/>
        <v>45322</v>
      </c>
      <c r="BH7" s="383">
        <f t="shared" si="33"/>
        <v>45351</v>
      </c>
      <c r="BI7" s="383">
        <f t="shared" si="33"/>
        <v>45382</v>
      </c>
      <c r="BJ7" s="383">
        <f t="shared" si="33"/>
        <v>45412</v>
      </c>
      <c r="BK7" s="383">
        <f t="shared" si="33"/>
        <v>45443</v>
      </c>
      <c r="BL7" s="383">
        <f t="shared" si="33"/>
        <v>45473</v>
      </c>
      <c r="BM7" s="383">
        <f t="shared" si="33"/>
        <v>45504</v>
      </c>
      <c r="BN7" s="383">
        <f t="shared" si="33"/>
        <v>45535</v>
      </c>
      <c r="BO7" s="383">
        <f t="shared" si="33"/>
        <v>45565</v>
      </c>
      <c r="BP7" s="507">
        <f t="shared" ref="BP7:CB7" si="34">EOMONTH(BO7+25,0)</f>
        <v>45596</v>
      </c>
      <c r="BQ7" s="507">
        <f t="shared" si="34"/>
        <v>45626</v>
      </c>
      <c r="BR7" s="507">
        <f t="shared" si="34"/>
        <v>45657</v>
      </c>
      <c r="BS7" s="507">
        <f t="shared" si="34"/>
        <v>45688</v>
      </c>
      <c r="BT7" s="507">
        <f t="shared" si="34"/>
        <v>45716</v>
      </c>
      <c r="BU7" s="507">
        <f t="shared" si="34"/>
        <v>45747</v>
      </c>
      <c r="BV7" s="507">
        <f t="shared" si="34"/>
        <v>45777</v>
      </c>
      <c r="BW7" s="507">
        <f t="shared" si="34"/>
        <v>45808</v>
      </c>
      <c r="BX7" s="507">
        <f t="shared" si="34"/>
        <v>45838</v>
      </c>
      <c r="BY7" s="507">
        <f t="shared" si="34"/>
        <v>45869</v>
      </c>
      <c r="BZ7" s="507">
        <f t="shared" si="34"/>
        <v>45900</v>
      </c>
      <c r="CA7" s="507">
        <f t="shared" si="34"/>
        <v>45930</v>
      </c>
      <c r="CB7" s="507">
        <f t="shared" si="34"/>
        <v>45961</v>
      </c>
      <c r="CC7" s="507">
        <f t="shared" ref="CC7" si="35">EOMONTH(CB7+25,0)</f>
        <v>45991</v>
      </c>
      <c r="CD7" s="507">
        <f t="shared" ref="CD7" si="36">EOMONTH(CC7+25,0)</f>
        <v>46022</v>
      </c>
      <c r="CE7" s="507">
        <f t="shared" ref="CE7" si="37">EOMONTH(CD7+25,0)</f>
        <v>46053</v>
      </c>
      <c r="CF7" s="507">
        <f t="shared" ref="CF7" si="38">EOMONTH(CE7+25,0)</f>
        <v>46081</v>
      </c>
      <c r="CG7" s="507">
        <f t="shared" ref="CG7" si="39">EOMONTH(CF7+25,0)</f>
        <v>46112</v>
      </c>
      <c r="CH7" s="507">
        <f t="shared" ref="CH7" si="40">EOMONTH(CG7+25,0)</f>
        <v>46142</v>
      </c>
      <c r="CI7" s="507">
        <f t="shared" ref="CI7" si="41">EOMONTH(CH7+25,0)</f>
        <v>46173</v>
      </c>
      <c r="CJ7" s="507">
        <f t="shared" ref="CJ7" si="42">EOMONTH(CI7+25,0)</f>
        <v>46203</v>
      </c>
      <c r="CK7" s="507">
        <f t="shared" ref="CK7" si="43">EOMONTH(CJ7+25,0)</f>
        <v>46234</v>
      </c>
      <c r="CL7" s="507">
        <f t="shared" ref="CL7" si="44">EOMONTH(CK7+25,0)</f>
        <v>46265</v>
      </c>
      <c r="CM7" s="507">
        <f t="shared" ref="CM7" si="45">EOMONTH(CL7+25,0)</f>
        <v>46295</v>
      </c>
      <c r="CN7" s="507">
        <f t="shared" ref="CN7" si="46">EOMONTH(CM7+25,0)</f>
        <v>46326</v>
      </c>
      <c r="CO7" s="507">
        <f t="shared" ref="CO7" si="47">EOMONTH(CN7+25,0)</f>
        <v>46356</v>
      </c>
      <c r="CP7" s="507">
        <f t="shared" ref="CP7" si="48">EOMONTH(CO7+25,0)</f>
        <v>46387</v>
      </c>
      <c r="CQ7" s="507">
        <f t="shared" ref="CQ7" si="49">EOMONTH(CP7+25,0)</f>
        <v>46418</v>
      </c>
      <c r="CR7" s="507">
        <f t="shared" ref="CR7" si="50">EOMONTH(CQ7+25,0)</f>
        <v>46446</v>
      </c>
      <c r="CS7" s="507">
        <f t="shared" ref="CS7" si="51">EOMONTH(CR7+25,0)</f>
        <v>46477</v>
      </c>
      <c r="CT7" s="507">
        <f t="shared" ref="CT7" si="52">EOMONTH(CS7+25,0)</f>
        <v>46507</v>
      </c>
      <c r="CU7" s="507">
        <f t="shared" ref="CU7" si="53">EOMONTH(CT7+25,0)</f>
        <v>46538</v>
      </c>
      <c r="CV7" s="507">
        <f t="shared" ref="CV7" si="54">EOMONTH(CU7+25,0)</f>
        <v>46568</v>
      </c>
      <c r="CW7" s="507">
        <f t="shared" ref="CW7" si="55">EOMONTH(CV7+25,0)</f>
        <v>46599</v>
      </c>
      <c r="CX7" s="507">
        <f t="shared" ref="CX7" si="56">EOMONTH(CW7+25,0)</f>
        <v>46630</v>
      </c>
      <c r="CY7" s="507">
        <f t="shared" ref="CY7" si="57">EOMONTH(CX7+25,0)</f>
        <v>46660</v>
      </c>
      <c r="CZ7" s="507">
        <f t="shared" ref="CZ7" si="58">EOMONTH(CY7+25,0)</f>
        <v>46691</v>
      </c>
      <c r="DA7" s="507">
        <f t="shared" ref="DA7" si="59">EOMONTH(CZ7+25,0)</f>
        <v>46721</v>
      </c>
      <c r="DB7" s="507">
        <f t="shared" ref="DB7" si="60">EOMONTH(DA7+25,0)</f>
        <v>46752</v>
      </c>
      <c r="DC7" s="507">
        <f t="shared" ref="DC7" si="61">EOMONTH(DB7+25,0)</f>
        <v>46783</v>
      </c>
      <c r="DD7" s="507">
        <f t="shared" ref="DD7" si="62">EOMONTH(DC7+25,0)</f>
        <v>46812</v>
      </c>
      <c r="DE7" s="471">
        <f t="shared" ref="DE7" si="63">EOMONTH(DD7+25,0)</f>
        <v>46843</v>
      </c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</row>
    <row r="8" spans="1:149">
      <c r="B8" s="384"/>
      <c r="C8" s="385"/>
      <c r="D8" s="385"/>
      <c r="E8" s="386" t="s">
        <v>292</v>
      </c>
      <c r="F8" s="387" t="s">
        <v>302</v>
      </c>
      <c r="G8" s="387"/>
      <c r="H8" s="387"/>
      <c r="I8" s="388">
        <v>2.3061000000000002E-2</v>
      </c>
      <c r="J8" s="388">
        <v>2.1728999999999998E-2</v>
      </c>
      <c r="K8" s="388">
        <v>2.0431999999999999E-2</v>
      </c>
      <c r="L8" s="388">
        <v>1.8782E-2</v>
      </c>
      <c r="M8" s="388">
        <v>1.7354000000000001E-2</v>
      </c>
      <c r="N8" s="388">
        <v>1.7543E-2</v>
      </c>
      <c r="O8" s="388">
        <v>1.6708000000000001E-2</v>
      </c>
      <c r="P8" s="388">
        <v>1.6367E-2</v>
      </c>
      <c r="Q8" s="388">
        <v>9.1719999999999996E-3</v>
      </c>
      <c r="R8" s="388">
        <v>6.9569999999999996E-3</v>
      </c>
      <c r="S8" s="388">
        <v>1.939E-3</v>
      </c>
      <c r="T8" s="388">
        <v>1.8301000000000001E-3</v>
      </c>
      <c r="U8" s="388">
        <v>1.725E-3</v>
      </c>
      <c r="V8" s="388">
        <v>1.6191999999999999E-3</v>
      </c>
      <c r="W8" s="388">
        <v>1.518E-3</v>
      </c>
      <c r="X8" s="388">
        <v>1.4607999999999999E-3</v>
      </c>
      <c r="Y8" s="388">
        <v>1.4219E-3</v>
      </c>
      <c r="Z8" s="388">
        <v>1.4889E-3</v>
      </c>
      <c r="AA8" s="388">
        <v>1.2783E-3</v>
      </c>
      <c r="AB8" s="388">
        <v>1.1408E-3</v>
      </c>
      <c r="AC8" s="388">
        <v>1.0786999999999999E-3</v>
      </c>
      <c r="AD8" s="388">
        <v>1.1130000000000001E-3</v>
      </c>
      <c r="AE8" s="388">
        <v>9.6750000000000004E-4</v>
      </c>
      <c r="AF8" s="388">
        <v>8.6879999999999998E-4</v>
      </c>
      <c r="AG8" s="388">
        <v>9.3619999999999999E-4</v>
      </c>
      <c r="AH8" s="388">
        <v>8.9740000000000002E-4</v>
      </c>
      <c r="AI8" s="388">
        <v>8.3799999999999999E-4</v>
      </c>
      <c r="AJ8" s="388">
        <v>8.5479999999999996E-4</v>
      </c>
      <c r="AK8" s="388">
        <v>8.9999999999999998E-4</v>
      </c>
      <c r="AL8" s="388">
        <v>1.0369999999999999E-3</v>
      </c>
      <c r="AM8" s="388">
        <v>1.0617000000000001E-3</v>
      </c>
      <c r="AN8" s="388">
        <v>1.5280000000000001E-3</v>
      </c>
      <c r="AO8" s="388">
        <v>3.9719000000000004E-3</v>
      </c>
      <c r="AP8" s="388">
        <v>6.0096999999999998E-3</v>
      </c>
      <c r="AQ8" s="388">
        <v>9.3381000000000002E-3</v>
      </c>
      <c r="AR8" s="388">
        <v>1.45386E-2</v>
      </c>
      <c r="AS8" s="388">
        <v>2.0915300000000001E-2</v>
      </c>
      <c r="AT8" s="388">
        <v>3.7999999999999999E-2</v>
      </c>
      <c r="AU8" s="388">
        <v>4.5699999999999998E-2</v>
      </c>
      <c r="AV8" s="388">
        <v>4.7199999999999999E-2</v>
      </c>
      <c r="AW8" s="388">
        <v>4.9000000000000002E-2</v>
      </c>
      <c r="AX8" s="388">
        <v>4.9599999999999998E-2</v>
      </c>
      <c r="AY8" s="388">
        <v>4.99E-2</v>
      </c>
      <c r="AZ8" s="388">
        <v>4.9799999999999997E-2</v>
      </c>
      <c r="BA8" s="388">
        <v>4.9399999999999999E-2</v>
      </c>
      <c r="BB8" s="388">
        <v>4.9200000000000001E-2</v>
      </c>
      <c r="BC8" s="388">
        <v>4.8300000000000003E-2</v>
      </c>
      <c r="BD8" s="388">
        <v>4.7699999999999999E-2</v>
      </c>
      <c r="BE8" s="388">
        <v>4.3799999999999999E-2</v>
      </c>
      <c r="BF8" s="388">
        <v>4.3799999999999999E-2</v>
      </c>
      <c r="BG8" s="388">
        <v>4.3799999999999999E-2</v>
      </c>
      <c r="BH8" s="388">
        <v>4.3799999999999999E-2</v>
      </c>
      <c r="BI8" s="388">
        <v>4.3799999999999999E-2</v>
      </c>
      <c r="BJ8" s="388">
        <v>4.3799999999999999E-2</v>
      </c>
      <c r="BK8" s="388">
        <v>3.7600000000000001E-2</v>
      </c>
      <c r="BL8" s="388">
        <v>3.7199999999999997E-2</v>
      </c>
      <c r="BM8" s="388">
        <v>3.7199999999999997E-2</v>
      </c>
      <c r="BN8" s="388">
        <v>3.7199999999999997E-2</v>
      </c>
      <c r="BO8" s="388">
        <v>3.7199999999999997E-2</v>
      </c>
      <c r="BP8" s="389">
        <v>3.7199999999999997E-2</v>
      </c>
      <c r="BQ8" s="389">
        <v>3.32E-2</v>
      </c>
      <c r="BR8" s="389">
        <v>3.2199999999999999E-2</v>
      </c>
      <c r="BS8" s="389">
        <v>3.09E-2</v>
      </c>
      <c r="BT8" s="389">
        <v>3.0800000000000001E-2</v>
      </c>
      <c r="BU8" s="389">
        <v>3.09E-2</v>
      </c>
      <c r="BV8" s="389">
        <v>3.09E-2</v>
      </c>
      <c r="BW8" s="389">
        <v>3.09E-2</v>
      </c>
      <c r="BX8" s="389">
        <v>3.09E-2</v>
      </c>
      <c r="BY8" s="389">
        <v>3.09E-2</v>
      </c>
      <c r="BZ8" s="389">
        <v>3.09E-2</v>
      </c>
      <c r="CA8" s="389">
        <v>3.09E-2</v>
      </c>
      <c r="CB8" s="389">
        <v>3.09E-2</v>
      </c>
      <c r="CC8" s="389">
        <v>3.09E-2</v>
      </c>
      <c r="CD8" s="389">
        <v>3.04E-2</v>
      </c>
      <c r="CE8" s="389">
        <v>3.0300000000000001E-2</v>
      </c>
      <c r="CF8" s="389">
        <v>3.0300000000000001E-2</v>
      </c>
      <c r="CG8" s="389">
        <v>3.0300000000000001E-2</v>
      </c>
      <c r="CH8" s="389">
        <v>3.0300000000000001E-2</v>
      </c>
      <c r="CI8" s="389">
        <v>3.0300000000000001E-2</v>
      </c>
      <c r="CJ8" s="389">
        <v>3.0300000000000001E-2</v>
      </c>
      <c r="CK8" s="389">
        <v>3.0300000000000001E-2</v>
      </c>
      <c r="CL8" s="389">
        <v>3.0300000000000001E-2</v>
      </c>
      <c r="CM8" s="389">
        <v>3.0300000000000001E-2</v>
      </c>
      <c r="CN8" s="389">
        <v>3.0300000000000001E-2</v>
      </c>
      <c r="CO8" s="389">
        <v>3.0300000000000001E-2</v>
      </c>
      <c r="CP8" s="389">
        <v>3.0499999999999999E-2</v>
      </c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90"/>
      <c r="DF8" s="162"/>
      <c r="DG8" s="162"/>
      <c r="DH8" s="162"/>
      <c r="DI8" s="162"/>
      <c r="DJ8" s="162"/>
      <c r="DK8" s="162"/>
      <c r="DL8" s="162"/>
      <c r="DM8" s="162"/>
      <c r="DN8" s="162"/>
      <c r="DO8" s="162"/>
      <c r="DP8" s="162"/>
      <c r="DQ8" s="162"/>
      <c r="DR8" s="162"/>
      <c r="DS8" s="162"/>
      <c r="DT8" s="162"/>
      <c r="DU8" s="162"/>
      <c r="DV8" s="162"/>
      <c r="DW8" s="162"/>
      <c r="DX8" s="162"/>
      <c r="DY8" s="162"/>
    </row>
    <row r="9" spans="1:149">
      <c r="B9" s="381"/>
      <c r="C9" s="382"/>
      <c r="D9" s="382"/>
      <c r="E9" s="391"/>
      <c r="F9" s="392" t="s">
        <v>303</v>
      </c>
      <c r="G9" s="393">
        <f>SUM(J9:BN9)</f>
        <v>1</v>
      </c>
      <c r="H9" s="392"/>
      <c r="I9" s="392"/>
      <c r="J9" s="394">
        <f>J16</f>
        <v>8.9554909575832145E-4</v>
      </c>
      <c r="K9" s="394">
        <f t="shared" ref="K9:BV9" si="64">K16</f>
        <v>1.0734290421002515E-3</v>
      </c>
      <c r="L9" s="394">
        <f t="shared" si="64"/>
        <v>1.2806001366453777E-3</v>
      </c>
      <c r="M9" s="394">
        <f t="shared" si="64"/>
        <v>1.5205825692749132E-3</v>
      </c>
      <c r="N9" s="394">
        <f t="shared" si="64"/>
        <v>1.7970606433347451E-3</v>
      </c>
      <c r="O9" s="394">
        <f t="shared" si="64"/>
        <v>2.1138380906003821E-3</v>
      </c>
      <c r="P9" s="394">
        <f t="shared" si="64"/>
        <v>2.4747821061317154E-3</v>
      </c>
      <c r="Q9" s="394">
        <f t="shared" si="64"/>
        <v>2.8837557680342777E-3</v>
      </c>
      <c r="R9" s="394">
        <f t="shared" si="64"/>
        <v>3.3445388607418985E-3</v>
      </c>
      <c r="S9" s="394">
        <f t="shared" si="64"/>
        <v>3.8607375353975531E-3</v>
      </c>
      <c r="T9" s="394">
        <f t="shared" si="64"/>
        <v>4.4356837089287067E-3</v>
      </c>
      <c r="U9" s="394">
        <f t="shared" si="64"/>
        <v>5.0723256120922544E-3</v>
      </c>
      <c r="V9" s="394">
        <f t="shared" si="64"/>
        <v>5.7731114296112477E-3</v>
      </c>
      <c r="W9" s="394">
        <f t="shared" si="64"/>
        <v>6.5398685122134946E-3</v>
      </c>
      <c r="X9" s="394">
        <f t="shared" si="64"/>
        <v>7.3736811572638105E-3</v>
      </c>
      <c r="Y9" s="394">
        <f t="shared" si="64"/>
        <v>8.2747704255963037E-3</v>
      </c>
      <c r="Z9" s="394">
        <f t="shared" si="64"/>
        <v>9.2423798594956051E-3</v>
      </c>
      <c r="AA9" s="394">
        <f t="shared" si="64"/>
        <v>1.0274671262808344E-2</v>
      </c>
      <c r="AB9" s="394">
        <f t="shared" si="64"/>
        <v>1.1368634872516306E-2</v>
      </c>
      <c r="AC9" s="394">
        <f t="shared" si="64"/>
        <v>1.2520018268380952E-2</v>
      </c>
      <c r="AD9" s="394">
        <f t="shared" si="64"/>
        <v>1.3723278214710382E-2</v>
      </c>
      <c r="AE9" s="394">
        <f t="shared" si="64"/>
        <v>1.4971559293334318E-2</v>
      </c>
      <c r="AF9" s="394">
        <f t="shared" si="64"/>
        <v>1.6256702664512183E-2</v>
      </c>
      <c r="AG9" s="394">
        <f t="shared" si="64"/>
        <v>1.7569287586426296E-2</v>
      </c>
      <c r="AH9" s="394">
        <f t="shared" si="64"/>
        <v>1.889870744718446E-2</v>
      </c>
      <c r="AI9" s="394">
        <f t="shared" si="64"/>
        <v>2.0233281038517882E-2</v>
      </c>
      <c r="AJ9" s="394">
        <f t="shared" si="64"/>
        <v>2.1560398659526678E-2</v>
      </c>
      <c r="AK9" s="394">
        <f t="shared" si="64"/>
        <v>2.2866701422185391E-2</v>
      </c>
      <c r="AL9" s="394">
        <f t="shared" si="64"/>
        <v>2.4138290885081567E-2</v>
      </c>
      <c r="AM9" s="394">
        <f t="shared" si="64"/>
        <v>2.5360964920173507E-2</v>
      </c>
      <c r="AN9" s="394">
        <f t="shared" si="64"/>
        <v>2.6520474573896766E-2</v>
      </c>
      <c r="AO9" s="394">
        <f t="shared" si="64"/>
        <v>2.7602795673207038E-2</v>
      </c>
      <c r="AP9" s="394">
        <f t="shared" si="64"/>
        <v>2.8594408100510629E-2</v>
      </c>
      <c r="AQ9" s="394">
        <f t="shared" si="64"/>
        <v>2.9482575064311123E-2</v>
      </c>
      <c r="AR9" s="394">
        <f t="shared" si="64"/>
        <v>3.0255614361512379E-2</v>
      </c>
      <c r="AS9" s="394">
        <f t="shared" si="64"/>
        <v>3.0903153588346943E-2</v>
      </c>
      <c r="AT9" s="394">
        <f t="shared" si="64"/>
        <v>3.1416361522675275E-2</v>
      </c>
      <c r="AU9" s="394">
        <f t="shared" si="64"/>
        <v>3.1788148469734559E-2</v>
      </c>
      <c r="AV9" s="394">
        <f t="shared" si="64"/>
        <v>3.2013329220694976E-2</v>
      </c>
      <c r="AW9" s="394">
        <f t="shared" si="64"/>
        <v>3.2088743388972024E-2</v>
      </c>
      <c r="AX9" s="394">
        <f t="shared" si="64"/>
        <v>3.2013329220694976E-2</v>
      </c>
      <c r="AY9" s="394">
        <f t="shared" si="64"/>
        <v>3.1788148469734566E-2</v>
      </c>
      <c r="AZ9" s="394">
        <f t="shared" si="64"/>
        <v>3.1416361522675282E-2</v>
      </c>
      <c r="BA9" s="394">
        <f t="shared" si="64"/>
        <v>3.0903153588346947E-2</v>
      </c>
      <c r="BB9" s="394">
        <f t="shared" si="64"/>
        <v>3.0255614361512386E-2</v>
      </c>
      <c r="BC9" s="394">
        <f t="shared" si="64"/>
        <v>2.9482575064311126E-2</v>
      </c>
      <c r="BD9" s="394">
        <f t="shared" si="64"/>
        <v>2.8594408100510633E-2</v>
      </c>
      <c r="BE9" s="394">
        <f t="shared" si="64"/>
        <v>2.7602795673207059E-2</v>
      </c>
      <c r="BF9" s="394">
        <f t="shared" si="64"/>
        <v>2.6520474573896773E-2</v>
      </c>
      <c r="BG9" s="394">
        <f t="shared" si="64"/>
        <v>2.5360964920173517E-2</v>
      </c>
      <c r="BH9" s="394">
        <f t="shared" si="64"/>
        <v>2.4138290885081581E-2</v>
      </c>
      <c r="BI9" s="394">
        <f t="shared" si="64"/>
        <v>2.2866701422185401E-2</v>
      </c>
      <c r="BJ9" s="394">
        <f t="shared" si="64"/>
        <v>2.1560398659526688E-2</v>
      </c>
      <c r="BK9" s="394">
        <f t="shared" si="64"/>
        <v>2.0233281038517896E-2</v>
      </c>
      <c r="BL9" s="394">
        <f t="shared" si="64"/>
        <v>1.8898707447184474E-2</v>
      </c>
      <c r="BM9" s="394">
        <f t="shared" si="64"/>
        <v>0</v>
      </c>
      <c r="BN9" s="394">
        <f t="shared" si="64"/>
        <v>0</v>
      </c>
      <c r="BO9" s="394">
        <f t="shared" si="64"/>
        <v>0</v>
      </c>
      <c r="BP9" s="394">
        <f t="shared" si="64"/>
        <v>0</v>
      </c>
      <c r="BQ9" s="394">
        <f t="shared" si="64"/>
        <v>0</v>
      </c>
      <c r="BR9" s="394">
        <f t="shared" si="64"/>
        <v>0</v>
      </c>
      <c r="BS9" s="394">
        <f t="shared" si="64"/>
        <v>0</v>
      </c>
      <c r="BT9" s="394">
        <f t="shared" si="64"/>
        <v>0</v>
      </c>
      <c r="BU9" s="394">
        <f t="shared" si="64"/>
        <v>0</v>
      </c>
      <c r="BV9" s="394">
        <f t="shared" si="64"/>
        <v>0</v>
      </c>
      <c r="BW9" s="394">
        <f t="shared" ref="BW9:CB9" si="65">BW16</f>
        <v>0</v>
      </c>
      <c r="BX9" s="394">
        <f t="shared" si="65"/>
        <v>0</v>
      </c>
      <c r="BY9" s="394">
        <f t="shared" si="65"/>
        <v>0</v>
      </c>
      <c r="BZ9" s="394">
        <f t="shared" si="65"/>
        <v>0</v>
      </c>
      <c r="CA9" s="394">
        <f t="shared" si="65"/>
        <v>0</v>
      </c>
      <c r="CB9" s="394">
        <f t="shared" si="65"/>
        <v>0</v>
      </c>
      <c r="CC9" s="394">
        <f t="shared" ref="CC9:DE9" si="66">CC16</f>
        <v>0</v>
      </c>
      <c r="CD9" s="394">
        <f t="shared" si="66"/>
        <v>0</v>
      </c>
      <c r="CE9" s="394">
        <f t="shared" si="66"/>
        <v>0</v>
      </c>
      <c r="CF9" s="394">
        <f t="shared" si="66"/>
        <v>0</v>
      </c>
      <c r="CG9" s="394">
        <f t="shared" si="66"/>
        <v>0</v>
      </c>
      <c r="CH9" s="394">
        <f t="shared" si="66"/>
        <v>0</v>
      </c>
      <c r="CI9" s="394">
        <f t="shared" si="66"/>
        <v>0</v>
      </c>
      <c r="CJ9" s="394">
        <f t="shared" si="66"/>
        <v>0</v>
      </c>
      <c r="CK9" s="394">
        <f t="shared" si="66"/>
        <v>0</v>
      </c>
      <c r="CL9" s="394">
        <f t="shared" si="66"/>
        <v>0</v>
      </c>
      <c r="CM9" s="394">
        <f t="shared" si="66"/>
        <v>0</v>
      </c>
      <c r="CN9" s="394">
        <f t="shared" si="66"/>
        <v>0</v>
      </c>
      <c r="CO9" s="394">
        <f t="shared" si="66"/>
        <v>0</v>
      </c>
      <c r="CP9" s="394">
        <f t="shared" si="66"/>
        <v>0</v>
      </c>
      <c r="CQ9" s="394">
        <f t="shared" si="66"/>
        <v>0</v>
      </c>
      <c r="CR9" s="394">
        <f t="shared" si="66"/>
        <v>0</v>
      </c>
      <c r="CS9" s="394">
        <f t="shared" si="66"/>
        <v>0</v>
      </c>
      <c r="CT9" s="394">
        <f t="shared" si="66"/>
        <v>0</v>
      </c>
      <c r="CU9" s="394">
        <f t="shared" si="66"/>
        <v>0</v>
      </c>
      <c r="CV9" s="394">
        <f t="shared" si="66"/>
        <v>0</v>
      </c>
      <c r="CW9" s="394">
        <f t="shared" si="66"/>
        <v>0</v>
      </c>
      <c r="CX9" s="394">
        <f t="shared" si="66"/>
        <v>0</v>
      </c>
      <c r="CY9" s="394">
        <f t="shared" si="66"/>
        <v>0</v>
      </c>
      <c r="CZ9" s="394">
        <f t="shared" si="66"/>
        <v>0</v>
      </c>
      <c r="DA9" s="394">
        <f t="shared" si="66"/>
        <v>0</v>
      </c>
      <c r="DB9" s="394">
        <f t="shared" si="66"/>
        <v>0</v>
      </c>
      <c r="DC9" s="394">
        <f t="shared" si="66"/>
        <v>0</v>
      </c>
      <c r="DD9" s="394">
        <f t="shared" si="66"/>
        <v>0</v>
      </c>
      <c r="DE9" s="472">
        <f t="shared" si="66"/>
        <v>0</v>
      </c>
      <c r="DF9" s="162"/>
      <c r="DG9" s="162"/>
      <c r="DH9" s="162"/>
      <c r="DI9" s="162"/>
      <c r="DJ9" s="162"/>
      <c r="DK9" s="162"/>
      <c r="DL9" s="162"/>
      <c r="DM9" s="162"/>
      <c r="DN9" s="162"/>
      <c r="DO9" s="162"/>
      <c r="DP9" s="162"/>
      <c r="DQ9" s="162"/>
      <c r="DR9" s="162"/>
      <c r="DS9" s="162"/>
      <c r="DT9" s="162"/>
      <c r="DU9" s="162"/>
      <c r="DV9" s="162"/>
      <c r="DW9" s="162"/>
      <c r="DX9" s="162"/>
      <c r="DY9" s="162"/>
    </row>
    <row r="10" spans="1:149" outlineLevel="1">
      <c r="B10" s="350"/>
      <c r="C10" s="343"/>
      <c r="DE10" s="114"/>
    </row>
    <row r="11" spans="1:149" outlineLevel="1">
      <c r="A11" s="153"/>
      <c r="B11" s="350"/>
      <c r="G11" s="153" t="s">
        <v>298</v>
      </c>
      <c r="H11" s="153"/>
      <c r="I11" s="508">
        <v>100</v>
      </c>
      <c r="J11" s="153">
        <v>1</v>
      </c>
      <c r="K11" s="153">
        <f>J11+1</f>
        <v>2</v>
      </c>
      <c r="L11" s="153">
        <f t="shared" ref="L11:AS11" si="67">K11+1</f>
        <v>3</v>
      </c>
      <c r="M11" s="153">
        <f t="shared" si="67"/>
        <v>4</v>
      </c>
      <c r="N11" s="153">
        <f t="shared" si="67"/>
        <v>5</v>
      </c>
      <c r="O11" s="153">
        <f t="shared" si="67"/>
        <v>6</v>
      </c>
      <c r="P11" s="153">
        <f t="shared" si="67"/>
        <v>7</v>
      </c>
      <c r="Q11" s="153">
        <f t="shared" si="67"/>
        <v>8</v>
      </c>
      <c r="R11" s="153">
        <f t="shared" si="67"/>
        <v>9</v>
      </c>
      <c r="S11" s="153">
        <f t="shared" si="67"/>
        <v>10</v>
      </c>
      <c r="T11" s="153">
        <f t="shared" si="67"/>
        <v>11</v>
      </c>
      <c r="U11" s="153">
        <f t="shared" si="67"/>
        <v>12</v>
      </c>
      <c r="V11" s="153">
        <f t="shared" si="67"/>
        <v>13</v>
      </c>
      <c r="W11" s="153">
        <f t="shared" si="67"/>
        <v>14</v>
      </c>
      <c r="X11" s="153">
        <f t="shared" si="67"/>
        <v>15</v>
      </c>
      <c r="Y11" s="153">
        <f t="shared" si="67"/>
        <v>16</v>
      </c>
      <c r="Z11" s="153">
        <f t="shared" si="67"/>
        <v>17</v>
      </c>
      <c r="AA11" s="153">
        <f t="shared" si="67"/>
        <v>18</v>
      </c>
      <c r="AB11" s="153">
        <f t="shared" si="67"/>
        <v>19</v>
      </c>
      <c r="AC11" s="153">
        <f t="shared" si="67"/>
        <v>20</v>
      </c>
      <c r="AD11" s="153">
        <f t="shared" si="67"/>
        <v>21</v>
      </c>
      <c r="AE11" s="153">
        <f t="shared" si="67"/>
        <v>22</v>
      </c>
      <c r="AF11" s="153">
        <f>AE11+1</f>
        <v>23</v>
      </c>
      <c r="AG11" s="153">
        <f t="shared" si="67"/>
        <v>24</v>
      </c>
      <c r="AH11" s="153">
        <f t="shared" si="67"/>
        <v>25</v>
      </c>
      <c r="AI11" s="153">
        <f t="shared" si="67"/>
        <v>26</v>
      </c>
      <c r="AJ11" s="153">
        <f t="shared" si="67"/>
        <v>27</v>
      </c>
      <c r="AK11" s="153">
        <f t="shared" si="67"/>
        <v>28</v>
      </c>
      <c r="AL11" s="153">
        <f t="shared" si="67"/>
        <v>29</v>
      </c>
      <c r="AM11" s="153">
        <f t="shared" si="67"/>
        <v>30</v>
      </c>
      <c r="AN11" s="153">
        <f t="shared" si="67"/>
        <v>31</v>
      </c>
      <c r="AO11" s="153">
        <f t="shared" si="67"/>
        <v>32</v>
      </c>
      <c r="AP11" s="153">
        <f t="shared" si="67"/>
        <v>33</v>
      </c>
      <c r="AQ11" s="153">
        <f t="shared" si="67"/>
        <v>34</v>
      </c>
      <c r="AR11" s="153">
        <f t="shared" si="67"/>
        <v>35</v>
      </c>
      <c r="AS11" s="153">
        <f t="shared" si="67"/>
        <v>36</v>
      </c>
      <c r="AT11" s="153">
        <f t="shared" ref="AT11:BN11" si="68">AS11+1</f>
        <v>37</v>
      </c>
      <c r="AU11" s="153">
        <f t="shared" si="68"/>
        <v>38</v>
      </c>
      <c r="AV11" s="153">
        <f t="shared" si="68"/>
        <v>39</v>
      </c>
      <c r="AW11" s="153">
        <f t="shared" si="68"/>
        <v>40</v>
      </c>
      <c r="AX11" s="153">
        <f t="shared" si="68"/>
        <v>41</v>
      </c>
      <c r="AY11" s="153">
        <f t="shared" si="68"/>
        <v>42</v>
      </c>
      <c r="AZ11" s="153">
        <f t="shared" si="68"/>
        <v>43</v>
      </c>
      <c r="BA11" s="153">
        <f t="shared" si="68"/>
        <v>44</v>
      </c>
      <c r="BB11" s="153">
        <f t="shared" si="68"/>
        <v>45</v>
      </c>
      <c r="BC11" s="153">
        <f t="shared" si="68"/>
        <v>46</v>
      </c>
      <c r="BD11" s="153">
        <f t="shared" si="68"/>
        <v>47</v>
      </c>
      <c r="BE11" s="153">
        <f t="shared" si="68"/>
        <v>48</v>
      </c>
      <c r="BF11" s="153">
        <f t="shared" si="68"/>
        <v>49</v>
      </c>
      <c r="BG11" s="153">
        <f t="shared" si="68"/>
        <v>50</v>
      </c>
      <c r="BH11" s="153">
        <f t="shared" si="68"/>
        <v>51</v>
      </c>
      <c r="BI11" s="153">
        <f t="shared" si="68"/>
        <v>52</v>
      </c>
      <c r="BJ11" s="153">
        <f t="shared" si="68"/>
        <v>53</v>
      </c>
      <c r="BK11" s="153">
        <f t="shared" si="68"/>
        <v>54</v>
      </c>
      <c r="BL11" s="153">
        <f t="shared" si="68"/>
        <v>55</v>
      </c>
      <c r="BM11" s="153">
        <f t="shared" si="68"/>
        <v>56</v>
      </c>
      <c r="BN11" s="153">
        <f t="shared" si="68"/>
        <v>57</v>
      </c>
      <c r="BO11" s="153">
        <f t="shared" ref="BO11" si="69">BN11+1</f>
        <v>58</v>
      </c>
      <c r="BP11" s="153">
        <f t="shared" ref="BP11" si="70">BO11+1</f>
        <v>59</v>
      </c>
      <c r="BQ11" s="153">
        <f t="shared" ref="BQ11" si="71">BP11+1</f>
        <v>60</v>
      </c>
      <c r="BR11" s="153">
        <f t="shared" ref="BR11" si="72">BQ11+1</f>
        <v>61</v>
      </c>
      <c r="BS11" s="153">
        <f t="shared" ref="BS11" si="73">BR11+1</f>
        <v>62</v>
      </c>
      <c r="BT11" s="153">
        <f t="shared" ref="BT11" si="74">BS11+1</f>
        <v>63</v>
      </c>
      <c r="BU11" s="153">
        <f t="shared" ref="BU11" si="75">BT11+1</f>
        <v>64</v>
      </c>
      <c r="BV11" s="153">
        <f t="shared" ref="BV11" si="76">BU11+1</f>
        <v>65</v>
      </c>
      <c r="BW11" s="153">
        <f t="shared" ref="BW11" si="77">BV11+1</f>
        <v>66</v>
      </c>
      <c r="BX11" s="153">
        <f t="shared" ref="BX11" si="78">BW11+1</f>
        <v>67</v>
      </c>
      <c r="BY11" s="153">
        <f t="shared" ref="BY11" si="79">BX11+1</f>
        <v>68</v>
      </c>
      <c r="BZ11" s="153">
        <f t="shared" ref="BZ11" si="80">BY11+1</f>
        <v>69</v>
      </c>
      <c r="CA11" s="153">
        <f t="shared" ref="CA11" si="81">BZ11+1</f>
        <v>70</v>
      </c>
      <c r="CB11" s="153">
        <f t="shared" ref="CB11" si="82">CA11+1</f>
        <v>71</v>
      </c>
      <c r="CC11" s="153">
        <f t="shared" ref="CC11" si="83">CB11+1</f>
        <v>72</v>
      </c>
      <c r="CD11" s="153">
        <f t="shared" ref="CD11" si="84">CC11+1</f>
        <v>73</v>
      </c>
      <c r="CE11" s="153">
        <f t="shared" ref="CE11" si="85">CD11+1</f>
        <v>74</v>
      </c>
      <c r="CF11" s="153">
        <f t="shared" ref="CF11" si="86">CE11+1</f>
        <v>75</v>
      </c>
      <c r="CG11" s="153">
        <f t="shared" ref="CG11" si="87">CF11+1</f>
        <v>76</v>
      </c>
      <c r="CH11" s="153">
        <f t="shared" ref="CH11" si="88">CG11+1</f>
        <v>77</v>
      </c>
      <c r="CI11" s="153">
        <f t="shared" ref="CI11" si="89">CH11+1</f>
        <v>78</v>
      </c>
      <c r="CJ11" s="153">
        <f t="shared" ref="CJ11" si="90">CI11+1</f>
        <v>79</v>
      </c>
      <c r="CK11" s="153">
        <f t="shared" ref="CK11" si="91">CJ11+1</f>
        <v>80</v>
      </c>
      <c r="CL11" s="153">
        <f t="shared" ref="CL11" si="92">CK11+1</f>
        <v>81</v>
      </c>
      <c r="CM11" s="153">
        <f t="shared" ref="CM11" si="93">CL11+1</f>
        <v>82</v>
      </c>
      <c r="CN11" s="153">
        <f t="shared" ref="CN11" si="94">CM11+1</f>
        <v>83</v>
      </c>
      <c r="CO11" s="153">
        <f t="shared" ref="CO11" si="95">CN11+1</f>
        <v>84</v>
      </c>
      <c r="CP11" s="153">
        <f t="shared" ref="CP11" si="96">CO11+1</f>
        <v>85</v>
      </c>
      <c r="CQ11" s="153">
        <f t="shared" ref="CQ11" si="97">CP11+1</f>
        <v>86</v>
      </c>
      <c r="CR11" s="153">
        <f t="shared" ref="CR11" si="98">CQ11+1</f>
        <v>87</v>
      </c>
      <c r="CS11" s="153">
        <f t="shared" ref="CS11" si="99">CR11+1</f>
        <v>88</v>
      </c>
      <c r="CT11" s="153">
        <f t="shared" ref="CT11" si="100">CS11+1</f>
        <v>89</v>
      </c>
      <c r="CU11" s="153">
        <f t="shared" ref="CU11" si="101">CT11+1</f>
        <v>90</v>
      </c>
      <c r="CV11" s="153">
        <f t="shared" ref="CV11" si="102">CU11+1</f>
        <v>91</v>
      </c>
      <c r="CW11" s="153">
        <f t="shared" ref="CW11" si="103">CV11+1</f>
        <v>92</v>
      </c>
      <c r="CX11" s="153">
        <f t="shared" ref="CX11" si="104">CW11+1</f>
        <v>93</v>
      </c>
      <c r="CY11" s="153">
        <f t="shared" ref="CY11" si="105">CX11+1</f>
        <v>94</v>
      </c>
      <c r="CZ11" s="153">
        <f t="shared" ref="CZ11" si="106">CY11+1</f>
        <v>95</v>
      </c>
      <c r="DA11" s="153">
        <f t="shared" ref="DA11" si="107">CZ11+1</f>
        <v>96</v>
      </c>
      <c r="DB11" s="153">
        <f t="shared" ref="DB11" si="108">DA11+1</f>
        <v>97</v>
      </c>
      <c r="DC11" s="153">
        <f t="shared" ref="DC11" si="109">DB11+1</f>
        <v>98</v>
      </c>
      <c r="DD11" s="153">
        <f t="shared" ref="DD11" si="110">DC11+1</f>
        <v>99</v>
      </c>
      <c r="DE11" s="473">
        <f t="shared" ref="DE11" si="111">DD11+1</f>
        <v>100</v>
      </c>
    </row>
    <row r="12" spans="1:149" outlineLevel="1">
      <c r="B12" s="350"/>
      <c r="G12" s="154">
        <f>STDEV(J12:BG12)</f>
        <v>26.504326794751343</v>
      </c>
      <c r="H12" s="509">
        <f>Summary!C11</f>
        <v>55</v>
      </c>
      <c r="I12" s="510">
        <f>I11/H12</f>
        <v>1.8181818181818181</v>
      </c>
      <c r="J12" s="510">
        <f>IF(J11&lt;=$H$12,$I$12*J11," ")</f>
        <v>1.8181818181818181</v>
      </c>
      <c r="K12" s="510">
        <f t="shared" ref="K12:BV12" si="112">IF(K11&lt;=$H$12,$I$12*K11," ")</f>
        <v>3.6363636363636362</v>
      </c>
      <c r="L12" s="510">
        <f t="shared" si="112"/>
        <v>5.4545454545454541</v>
      </c>
      <c r="M12" s="510">
        <f t="shared" si="112"/>
        <v>7.2727272727272725</v>
      </c>
      <c r="N12" s="510">
        <f t="shared" si="112"/>
        <v>9.0909090909090899</v>
      </c>
      <c r="O12" s="510">
        <f t="shared" si="112"/>
        <v>10.909090909090908</v>
      </c>
      <c r="P12" s="510">
        <f t="shared" si="112"/>
        <v>12.727272727272727</v>
      </c>
      <c r="Q12" s="510">
        <f t="shared" si="112"/>
        <v>14.545454545454545</v>
      </c>
      <c r="R12" s="510">
        <f t="shared" si="112"/>
        <v>16.363636363636363</v>
      </c>
      <c r="S12" s="510">
        <f t="shared" si="112"/>
        <v>18.18181818181818</v>
      </c>
      <c r="T12" s="510">
        <f t="shared" si="112"/>
        <v>20</v>
      </c>
      <c r="U12" s="510">
        <f t="shared" si="112"/>
        <v>21.818181818181817</v>
      </c>
      <c r="V12" s="510">
        <f t="shared" si="112"/>
        <v>23.636363636363637</v>
      </c>
      <c r="W12" s="510">
        <f t="shared" si="112"/>
        <v>25.454545454545453</v>
      </c>
      <c r="X12" s="510">
        <f t="shared" si="112"/>
        <v>27.272727272727273</v>
      </c>
      <c r="Y12" s="510">
        <f t="shared" si="112"/>
        <v>29.09090909090909</v>
      </c>
      <c r="Z12" s="510">
        <f t="shared" si="112"/>
        <v>30.909090909090907</v>
      </c>
      <c r="AA12" s="510">
        <f t="shared" si="112"/>
        <v>32.727272727272727</v>
      </c>
      <c r="AB12" s="510">
        <f t="shared" si="112"/>
        <v>34.545454545454547</v>
      </c>
      <c r="AC12" s="510">
        <f t="shared" si="112"/>
        <v>36.36363636363636</v>
      </c>
      <c r="AD12" s="510">
        <f t="shared" si="112"/>
        <v>38.18181818181818</v>
      </c>
      <c r="AE12" s="510">
        <f t="shared" si="112"/>
        <v>40</v>
      </c>
      <c r="AF12" s="510">
        <f t="shared" si="112"/>
        <v>41.81818181818182</v>
      </c>
      <c r="AG12" s="510">
        <f t="shared" si="112"/>
        <v>43.636363636363633</v>
      </c>
      <c r="AH12" s="510">
        <f t="shared" si="112"/>
        <v>45.454545454545453</v>
      </c>
      <c r="AI12" s="510">
        <f t="shared" si="112"/>
        <v>47.272727272727273</v>
      </c>
      <c r="AJ12" s="510">
        <f t="shared" si="112"/>
        <v>49.090909090909086</v>
      </c>
      <c r="AK12" s="510">
        <f t="shared" si="112"/>
        <v>50.909090909090907</v>
      </c>
      <c r="AL12" s="510">
        <f t="shared" si="112"/>
        <v>52.727272727272727</v>
      </c>
      <c r="AM12" s="510">
        <f t="shared" si="112"/>
        <v>54.545454545454547</v>
      </c>
      <c r="AN12" s="510">
        <f t="shared" si="112"/>
        <v>56.36363636363636</v>
      </c>
      <c r="AO12" s="510">
        <f t="shared" si="112"/>
        <v>58.18181818181818</v>
      </c>
      <c r="AP12" s="510">
        <f t="shared" si="112"/>
        <v>60</v>
      </c>
      <c r="AQ12" s="510">
        <f t="shared" si="112"/>
        <v>61.818181818181813</v>
      </c>
      <c r="AR12" s="510">
        <f t="shared" si="112"/>
        <v>63.636363636363633</v>
      </c>
      <c r="AS12" s="510">
        <f t="shared" si="112"/>
        <v>65.454545454545453</v>
      </c>
      <c r="AT12" s="510">
        <f t="shared" si="112"/>
        <v>67.272727272727266</v>
      </c>
      <c r="AU12" s="510">
        <f t="shared" si="112"/>
        <v>69.090909090909093</v>
      </c>
      <c r="AV12" s="510">
        <f t="shared" si="112"/>
        <v>70.909090909090907</v>
      </c>
      <c r="AW12" s="510">
        <f t="shared" si="112"/>
        <v>72.72727272727272</v>
      </c>
      <c r="AX12" s="510">
        <f t="shared" si="112"/>
        <v>74.545454545454547</v>
      </c>
      <c r="AY12" s="510">
        <f t="shared" si="112"/>
        <v>76.36363636363636</v>
      </c>
      <c r="AZ12" s="510">
        <f t="shared" si="112"/>
        <v>78.181818181818173</v>
      </c>
      <c r="BA12" s="510">
        <f t="shared" si="112"/>
        <v>80</v>
      </c>
      <c r="BB12" s="510">
        <f t="shared" si="112"/>
        <v>81.818181818181813</v>
      </c>
      <c r="BC12" s="510">
        <f t="shared" si="112"/>
        <v>83.63636363636364</v>
      </c>
      <c r="BD12" s="510">
        <f t="shared" si="112"/>
        <v>85.454545454545453</v>
      </c>
      <c r="BE12" s="510">
        <f t="shared" si="112"/>
        <v>87.272727272727266</v>
      </c>
      <c r="BF12" s="510">
        <f t="shared" si="112"/>
        <v>89.090909090909093</v>
      </c>
      <c r="BG12" s="510">
        <f t="shared" si="112"/>
        <v>90.909090909090907</v>
      </c>
      <c r="BH12" s="510">
        <f t="shared" si="112"/>
        <v>92.72727272727272</v>
      </c>
      <c r="BI12" s="510">
        <f t="shared" si="112"/>
        <v>94.545454545454547</v>
      </c>
      <c r="BJ12" s="510">
        <f t="shared" si="112"/>
        <v>96.36363636363636</v>
      </c>
      <c r="BK12" s="510">
        <f t="shared" si="112"/>
        <v>98.181818181818173</v>
      </c>
      <c r="BL12" s="510">
        <f t="shared" si="112"/>
        <v>100</v>
      </c>
      <c r="BM12" s="510" t="str">
        <f t="shared" si="112"/>
        <v xml:space="preserve"> </v>
      </c>
      <c r="BN12" s="510" t="str">
        <f t="shared" si="112"/>
        <v xml:space="preserve"> </v>
      </c>
      <c r="BO12" s="510" t="str">
        <f t="shared" si="112"/>
        <v xml:space="preserve"> </v>
      </c>
      <c r="BP12" s="510" t="str">
        <f t="shared" si="112"/>
        <v xml:space="preserve"> </v>
      </c>
      <c r="BQ12" s="510" t="str">
        <f t="shared" si="112"/>
        <v xml:space="preserve"> </v>
      </c>
      <c r="BR12" s="510" t="str">
        <f t="shared" si="112"/>
        <v xml:space="preserve"> </v>
      </c>
      <c r="BS12" s="510" t="str">
        <f t="shared" si="112"/>
        <v xml:space="preserve"> </v>
      </c>
      <c r="BT12" s="510" t="str">
        <f t="shared" si="112"/>
        <v xml:space="preserve"> </v>
      </c>
      <c r="BU12" s="510" t="str">
        <f t="shared" si="112"/>
        <v xml:space="preserve"> </v>
      </c>
      <c r="BV12" s="510" t="str">
        <f t="shared" si="112"/>
        <v xml:space="preserve"> </v>
      </c>
      <c r="BW12" s="510" t="str">
        <f t="shared" ref="BW12:CB12" si="113">IF(BW11&lt;=$H$12,$I$12*BW11," ")</f>
        <v xml:space="preserve"> </v>
      </c>
      <c r="BX12" s="510" t="str">
        <f t="shared" si="113"/>
        <v xml:space="preserve"> </v>
      </c>
      <c r="BY12" s="510" t="str">
        <f t="shared" si="113"/>
        <v xml:space="preserve"> </v>
      </c>
      <c r="BZ12" s="510" t="str">
        <f t="shared" si="113"/>
        <v xml:space="preserve"> </v>
      </c>
      <c r="CA12" s="510" t="str">
        <f t="shared" si="113"/>
        <v xml:space="preserve"> </v>
      </c>
      <c r="CB12" s="510" t="str">
        <f t="shared" si="113"/>
        <v xml:space="preserve"> </v>
      </c>
      <c r="CC12" s="510" t="str">
        <f t="shared" ref="CC12:DE12" si="114">IF(CC11&lt;=$H$12,$I$12*CC11," ")</f>
        <v xml:space="preserve"> </v>
      </c>
      <c r="CD12" s="510" t="str">
        <f t="shared" si="114"/>
        <v xml:space="preserve"> </v>
      </c>
      <c r="CE12" s="510" t="str">
        <f t="shared" si="114"/>
        <v xml:space="preserve"> </v>
      </c>
      <c r="CF12" s="510" t="str">
        <f t="shared" si="114"/>
        <v xml:space="preserve"> </v>
      </c>
      <c r="CG12" s="510" t="str">
        <f t="shared" si="114"/>
        <v xml:space="preserve"> </v>
      </c>
      <c r="CH12" s="510" t="str">
        <f t="shared" si="114"/>
        <v xml:space="preserve"> </v>
      </c>
      <c r="CI12" s="510" t="str">
        <f t="shared" si="114"/>
        <v xml:space="preserve"> </v>
      </c>
      <c r="CJ12" s="510" t="str">
        <f t="shared" si="114"/>
        <v xml:space="preserve"> </v>
      </c>
      <c r="CK12" s="510" t="str">
        <f t="shared" si="114"/>
        <v xml:space="preserve"> </v>
      </c>
      <c r="CL12" s="510" t="str">
        <f t="shared" si="114"/>
        <v xml:space="preserve"> </v>
      </c>
      <c r="CM12" s="510" t="str">
        <f t="shared" si="114"/>
        <v xml:space="preserve"> </v>
      </c>
      <c r="CN12" s="510" t="str">
        <f t="shared" si="114"/>
        <v xml:space="preserve"> </v>
      </c>
      <c r="CO12" s="510" t="str">
        <f t="shared" si="114"/>
        <v xml:space="preserve"> </v>
      </c>
      <c r="CP12" s="510" t="str">
        <f t="shared" si="114"/>
        <v xml:space="preserve"> </v>
      </c>
      <c r="CQ12" s="510" t="str">
        <f t="shared" si="114"/>
        <v xml:space="preserve"> </v>
      </c>
      <c r="CR12" s="510" t="str">
        <f t="shared" si="114"/>
        <v xml:space="preserve"> </v>
      </c>
      <c r="CS12" s="510" t="str">
        <f t="shared" si="114"/>
        <v xml:space="preserve"> </v>
      </c>
      <c r="CT12" s="510" t="str">
        <f t="shared" si="114"/>
        <v xml:space="preserve"> </v>
      </c>
      <c r="CU12" s="510" t="str">
        <f t="shared" si="114"/>
        <v xml:space="preserve"> </v>
      </c>
      <c r="CV12" s="510" t="str">
        <f t="shared" si="114"/>
        <v xml:space="preserve"> </v>
      </c>
      <c r="CW12" s="510" t="str">
        <f t="shared" si="114"/>
        <v xml:space="preserve"> </v>
      </c>
      <c r="CX12" s="510" t="str">
        <f t="shared" si="114"/>
        <v xml:space="preserve"> </v>
      </c>
      <c r="CY12" s="510" t="str">
        <f t="shared" si="114"/>
        <v xml:space="preserve"> </v>
      </c>
      <c r="CZ12" s="510" t="str">
        <f t="shared" si="114"/>
        <v xml:space="preserve"> </v>
      </c>
      <c r="DA12" s="510" t="str">
        <f t="shared" si="114"/>
        <v xml:space="preserve"> </v>
      </c>
      <c r="DB12" s="510" t="str">
        <f t="shared" si="114"/>
        <v xml:space="preserve"> </v>
      </c>
      <c r="DC12" s="510" t="str">
        <f t="shared" si="114"/>
        <v xml:space="preserve"> </v>
      </c>
      <c r="DD12" s="510" t="str">
        <f t="shared" si="114"/>
        <v xml:space="preserve"> </v>
      </c>
      <c r="DE12" s="474" t="str">
        <f t="shared" si="114"/>
        <v xml:space="preserve"> </v>
      </c>
    </row>
    <row r="13" spans="1:149" outlineLevel="1">
      <c r="A13" s="154"/>
      <c r="B13" s="352"/>
      <c r="G13" s="154">
        <f>STDEV(J13:BG13)</f>
        <v>29.814239699997195</v>
      </c>
      <c r="H13" s="509">
        <f>H12-G14</f>
        <v>15</v>
      </c>
      <c r="I13" s="510">
        <f>I11/H13</f>
        <v>6.666666666666667</v>
      </c>
      <c r="J13" s="510">
        <f t="shared" ref="J13:AW13" si="115">IF(J11&lt;=$H$13,$I$13*J11," ")</f>
        <v>6.666666666666667</v>
      </c>
      <c r="K13" s="510">
        <f t="shared" si="115"/>
        <v>13.333333333333334</v>
      </c>
      <c r="L13" s="510">
        <f t="shared" si="115"/>
        <v>20</v>
      </c>
      <c r="M13" s="510">
        <f t="shared" si="115"/>
        <v>26.666666666666668</v>
      </c>
      <c r="N13" s="510">
        <f t="shared" si="115"/>
        <v>33.333333333333336</v>
      </c>
      <c r="O13" s="510">
        <f t="shared" si="115"/>
        <v>40</v>
      </c>
      <c r="P13" s="510">
        <f t="shared" si="115"/>
        <v>46.666666666666671</v>
      </c>
      <c r="Q13" s="510">
        <f t="shared" si="115"/>
        <v>53.333333333333336</v>
      </c>
      <c r="R13" s="510">
        <f t="shared" si="115"/>
        <v>60</v>
      </c>
      <c r="S13" s="510">
        <f t="shared" si="115"/>
        <v>66.666666666666671</v>
      </c>
      <c r="T13" s="510">
        <f t="shared" si="115"/>
        <v>73.333333333333343</v>
      </c>
      <c r="U13" s="510">
        <f t="shared" si="115"/>
        <v>80</v>
      </c>
      <c r="V13" s="510">
        <f t="shared" si="115"/>
        <v>86.666666666666671</v>
      </c>
      <c r="W13" s="510">
        <f t="shared" si="115"/>
        <v>93.333333333333343</v>
      </c>
      <c r="X13" s="510">
        <f t="shared" si="115"/>
        <v>100</v>
      </c>
      <c r="Y13" s="510" t="str">
        <f t="shared" si="115"/>
        <v xml:space="preserve"> </v>
      </c>
      <c r="Z13" s="510" t="str">
        <f t="shared" si="115"/>
        <v xml:space="preserve"> </v>
      </c>
      <c r="AA13" s="510" t="str">
        <f t="shared" si="115"/>
        <v xml:space="preserve"> </v>
      </c>
      <c r="AB13" s="510" t="str">
        <f t="shared" si="115"/>
        <v xml:space="preserve"> </v>
      </c>
      <c r="AC13" s="510" t="str">
        <f t="shared" si="115"/>
        <v xml:space="preserve"> </v>
      </c>
      <c r="AD13" s="510" t="str">
        <f t="shared" si="115"/>
        <v xml:space="preserve"> </v>
      </c>
      <c r="AE13" s="510" t="str">
        <f t="shared" si="115"/>
        <v xml:space="preserve"> </v>
      </c>
      <c r="AF13" s="510" t="str">
        <f t="shared" si="115"/>
        <v xml:space="preserve"> </v>
      </c>
      <c r="AG13" s="510" t="str">
        <f t="shared" si="115"/>
        <v xml:space="preserve"> </v>
      </c>
      <c r="AH13" s="510" t="str">
        <f t="shared" si="115"/>
        <v xml:space="preserve"> </v>
      </c>
      <c r="AI13" s="510" t="str">
        <f t="shared" si="115"/>
        <v xml:space="preserve"> </v>
      </c>
      <c r="AJ13" s="510" t="str">
        <f t="shared" si="115"/>
        <v xml:space="preserve"> </v>
      </c>
      <c r="AK13" s="510" t="str">
        <f t="shared" si="115"/>
        <v xml:space="preserve"> </v>
      </c>
      <c r="AL13" s="510" t="str">
        <f t="shared" si="115"/>
        <v xml:space="preserve"> </v>
      </c>
      <c r="AM13" s="510" t="str">
        <f t="shared" si="115"/>
        <v xml:space="preserve"> </v>
      </c>
      <c r="AN13" s="510" t="str">
        <f t="shared" si="115"/>
        <v xml:space="preserve"> </v>
      </c>
      <c r="AO13" s="510" t="str">
        <f t="shared" si="115"/>
        <v xml:space="preserve"> </v>
      </c>
      <c r="AP13" s="510" t="str">
        <f t="shared" si="115"/>
        <v xml:space="preserve"> </v>
      </c>
      <c r="AQ13" s="510" t="str">
        <f t="shared" si="115"/>
        <v xml:space="preserve"> </v>
      </c>
      <c r="AR13" s="510" t="str">
        <f t="shared" si="115"/>
        <v xml:space="preserve"> </v>
      </c>
      <c r="AS13" s="510" t="str">
        <f t="shared" si="115"/>
        <v xml:space="preserve"> </v>
      </c>
      <c r="AT13" s="510" t="str">
        <f t="shared" si="115"/>
        <v xml:space="preserve"> </v>
      </c>
      <c r="AU13" s="510" t="str">
        <f t="shared" si="115"/>
        <v xml:space="preserve"> </v>
      </c>
      <c r="AV13" s="510" t="str">
        <f t="shared" si="115"/>
        <v xml:space="preserve"> </v>
      </c>
      <c r="AW13" s="510" t="str">
        <f t="shared" si="115"/>
        <v xml:space="preserve"> </v>
      </c>
      <c r="AX13" s="510"/>
      <c r="AY13" s="510"/>
      <c r="AZ13" s="510"/>
      <c r="BA13" s="510"/>
      <c r="BB13" s="510"/>
      <c r="BC13" s="510"/>
      <c r="BD13" s="510"/>
      <c r="BE13" s="510"/>
      <c r="BF13" s="510"/>
      <c r="BG13" s="510"/>
      <c r="DE13" s="114"/>
    </row>
    <row r="14" spans="1:149" outlineLevel="1">
      <c r="A14" s="154"/>
      <c r="B14" s="352"/>
      <c r="C14" s="508"/>
      <c r="D14" s="510"/>
      <c r="E14" s="510"/>
      <c r="F14" s="510"/>
      <c r="G14" s="508">
        <v>40</v>
      </c>
      <c r="H14" s="153">
        <f>H12</f>
        <v>55</v>
      </c>
      <c r="I14" s="154">
        <f>SUM(J14:BN14)</f>
        <v>0.46907315374944608</v>
      </c>
      <c r="J14" s="511">
        <f t="shared" ref="J14:AO14" si="116">IF(J11&lt;=$H$14,_xlfn.NORM.DIST(J12,$I$11/($H$14/$G$14),$G$12,FALSE)," ")</f>
        <v>4.2007803868482054E-4</v>
      </c>
      <c r="K14" s="511">
        <f t="shared" si="116"/>
        <v>5.0351674610421191E-4</v>
      </c>
      <c r="L14" s="511">
        <f t="shared" si="116"/>
        <v>6.006951447882189E-4</v>
      </c>
      <c r="M14" s="511">
        <f t="shared" si="116"/>
        <v>7.1326446130621905E-4</v>
      </c>
      <c r="N14" s="511">
        <f t="shared" si="116"/>
        <v>8.4295290344803741E-4</v>
      </c>
      <c r="O14" s="511">
        <f t="shared" si="116"/>
        <v>9.9154469967362852E-4</v>
      </c>
      <c r="P14" s="511">
        <f t="shared" si="116"/>
        <v>1.1608538473659002E-3</v>
      </c>
      <c r="Q14" s="511">
        <f t="shared" si="116"/>
        <v>1.3526924127549946E-3</v>
      </c>
      <c r="R14" s="511">
        <f t="shared" si="116"/>
        <v>1.5688333912457818E-3</v>
      </c>
      <c r="S14" s="511">
        <f t="shared" si="116"/>
        <v>1.810968331527794E-3</v>
      </c>
      <c r="T14" s="511">
        <f t="shared" si="116"/>
        <v>2.0806601463822286E-3</v>
      </c>
      <c r="U14" s="511">
        <f t="shared" si="116"/>
        <v>2.3792917717082034E-3</v>
      </c>
      <c r="V14" s="511">
        <f t="shared" si="116"/>
        <v>2.7080115852347211E-3</v>
      </c>
      <c r="W14" s="511">
        <f t="shared" si="116"/>
        <v>3.0676767481306816E-3</v>
      </c>
      <c r="X14" s="511">
        <f t="shared" si="116"/>
        <v>3.4587958751806009E-3</v>
      </c>
      <c r="Y14" s="511">
        <f t="shared" si="116"/>
        <v>3.8814726600871047E-3</v>
      </c>
      <c r="Z14" s="511">
        <f t="shared" si="116"/>
        <v>4.335352268843966E-3</v>
      </c>
      <c r="AA14" s="511">
        <f t="shared" si="116"/>
        <v>4.8195724529843135E-3</v>
      </c>
      <c r="AB14" s="511">
        <f t="shared" si="116"/>
        <v>5.3327214134771556E-3</v>
      </c>
      <c r="AC14" s="511">
        <f t="shared" si="116"/>
        <v>5.8728044541501321E-3</v>
      </c>
      <c r="AD14" s="511">
        <f t="shared" si="116"/>
        <v>6.4372213919552668E-3</v>
      </c>
      <c r="AE14" s="511">
        <f t="shared" si="116"/>
        <v>7.0227565342711566E-3</v>
      </c>
      <c r="AF14" s="511">
        <f t="shared" si="116"/>
        <v>7.6255827884097521E-3</v>
      </c>
      <c r="AG14" s="511">
        <f t="shared" si="116"/>
        <v>8.2412811372959763E-3</v>
      </c>
      <c r="AH14" s="511">
        <f t="shared" si="116"/>
        <v>8.8648763040389579E-3</v>
      </c>
      <c r="AI14" s="511">
        <f t="shared" si="116"/>
        <v>9.4908889474364499E-3</v>
      </c>
      <c r="AJ14" s="511">
        <f t="shared" si="116"/>
        <v>1.0113404195319508E-2</v>
      </c>
      <c r="AK14" s="511">
        <f t="shared" si="116"/>
        <v>1.0726155751951445E-2</v>
      </c>
      <c r="AL14" s="511">
        <f t="shared" si="116"/>
        <v>1.1322624231586718E-2</v>
      </c>
      <c r="AM14" s="511">
        <f t="shared" si="116"/>
        <v>1.1896147797234856E-2</v>
      </c>
      <c r="AN14" s="511">
        <f t="shared" si="116"/>
        <v>1.2440042647309753E-2</v>
      </c>
      <c r="AO14" s="511">
        <f t="shared" si="116"/>
        <v>1.2947730418732791E-2</v>
      </c>
      <c r="AP14" s="511">
        <f t="shared" ref="AP14:CA14" si="117">IF(AP11&lt;=$H$14,_xlfn.NORM.DIST(AP12,$I$11/($H$14/$G$14),$G$12,FALSE)," ")</f>
        <v>1.3412869187305229E-2</v>
      </c>
      <c r="AQ14" s="511">
        <f t="shared" si="117"/>
        <v>1.3829484466071197E-2</v>
      </c>
      <c r="AR14" s="511">
        <f t="shared" si="117"/>
        <v>1.4192096447181645E-2</v>
      </c>
      <c r="AS14" s="511">
        <f t="shared" si="117"/>
        <v>1.4495839714489412E-2</v>
      </c>
      <c r="AT14" s="511">
        <f t="shared" si="117"/>
        <v>1.4736571778774042E-2</v>
      </c>
      <c r="AU14" s="511">
        <f t="shared" si="117"/>
        <v>1.4910967054554018E-2</v>
      </c>
      <c r="AV14" s="511">
        <f t="shared" si="117"/>
        <v>1.5016593299570691E-2</v>
      </c>
      <c r="AW14" s="511">
        <f t="shared" si="117"/>
        <v>1.5051968061321796E-2</v>
      </c>
      <c r="AX14" s="511">
        <f t="shared" si="117"/>
        <v>1.5016593299570691E-2</v>
      </c>
      <c r="AY14" s="511">
        <f t="shared" si="117"/>
        <v>1.4910967054554022E-2</v>
      </c>
      <c r="AZ14" s="511">
        <f t="shared" si="117"/>
        <v>1.4736571778774046E-2</v>
      </c>
      <c r="BA14" s="511">
        <f t="shared" si="117"/>
        <v>1.4495839714489414E-2</v>
      </c>
      <c r="BB14" s="511">
        <f t="shared" si="117"/>
        <v>1.4192096447181649E-2</v>
      </c>
      <c r="BC14" s="511">
        <f t="shared" si="117"/>
        <v>1.3829484466071199E-2</v>
      </c>
      <c r="BD14" s="511">
        <f t="shared" si="117"/>
        <v>1.3412869187305231E-2</v>
      </c>
      <c r="BE14" s="511">
        <f t="shared" si="117"/>
        <v>1.2947730418732799E-2</v>
      </c>
      <c r="BF14" s="511">
        <f t="shared" si="117"/>
        <v>1.2440042647309756E-2</v>
      </c>
      <c r="BG14" s="511">
        <f t="shared" si="117"/>
        <v>1.1896147797234861E-2</v>
      </c>
      <c r="BH14" s="511">
        <f t="shared" si="117"/>
        <v>1.1322624231586725E-2</v>
      </c>
      <c r="BI14" s="511">
        <f t="shared" si="117"/>
        <v>1.072615575195145E-2</v>
      </c>
      <c r="BJ14" s="511">
        <f t="shared" si="117"/>
        <v>1.0113404195319513E-2</v>
      </c>
      <c r="BK14" s="511">
        <f t="shared" si="117"/>
        <v>9.4908889474364568E-3</v>
      </c>
      <c r="BL14" s="511">
        <f t="shared" si="117"/>
        <v>8.8648763040389648E-3</v>
      </c>
      <c r="BM14" s="511" t="str">
        <f t="shared" si="117"/>
        <v xml:space="preserve"> </v>
      </c>
      <c r="BN14" s="511" t="str">
        <f t="shared" si="117"/>
        <v xml:space="preserve"> </v>
      </c>
      <c r="BO14" s="511" t="str">
        <f t="shared" si="117"/>
        <v xml:space="preserve"> </v>
      </c>
      <c r="BP14" s="511" t="str">
        <f t="shared" si="117"/>
        <v xml:space="preserve"> </v>
      </c>
      <c r="BQ14" s="511" t="str">
        <f t="shared" si="117"/>
        <v xml:space="preserve"> </v>
      </c>
      <c r="BR14" s="511" t="str">
        <f t="shared" si="117"/>
        <v xml:space="preserve"> </v>
      </c>
      <c r="BS14" s="511" t="str">
        <f t="shared" si="117"/>
        <v xml:space="preserve"> </v>
      </c>
      <c r="BT14" s="511" t="str">
        <f t="shared" si="117"/>
        <v xml:space="preserve"> </v>
      </c>
      <c r="BU14" s="511" t="str">
        <f t="shared" si="117"/>
        <v xml:space="preserve"> </v>
      </c>
      <c r="BV14" s="511" t="str">
        <f t="shared" si="117"/>
        <v xml:space="preserve"> </v>
      </c>
      <c r="BW14" s="511" t="str">
        <f t="shared" si="117"/>
        <v xml:space="preserve"> </v>
      </c>
      <c r="BX14" s="511" t="str">
        <f t="shared" si="117"/>
        <v xml:space="preserve"> </v>
      </c>
      <c r="BY14" s="511" t="str">
        <f t="shared" si="117"/>
        <v xml:space="preserve"> </v>
      </c>
      <c r="BZ14" s="511" t="str">
        <f t="shared" si="117"/>
        <v xml:space="preserve"> </v>
      </c>
      <c r="CA14" s="511" t="str">
        <f t="shared" si="117"/>
        <v xml:space="preserve"> </v>
      </c>
      <c r="DE14" s="475" t="str">
        <f t="shared" ref="DE14" si="118">IF(DE11&lt;=$H$14,_xlfn.NORM.DIST(DE12,$I$11/($H$14/$G$14),$G$12,FALSE)," ")</f>
        <v xml:space="preserve"> </v>
      </c>
    </row>
    <row r="15" spans="1:149" outlineLevel="1">
      <c r="A15" s="155"/>
      <c r="B15" s="353"/>
      <c r="G15" s="197"/>
      <c r="H15" s="153">
        <f>H13</f>
        <v>15</v>
      </c>
      <c r="I15" s="154">
        <f>SUM(J15:BN15)</f>
        <v>0.1409148030136177</v>
      </c>
      <c r="J15" s="511">
        <f t="shared" ref="J15:BE15" si="119">IF(J11&lt;=$H$15,_xlfn.NORM.DIST(J13,$I$11/2,$G$12,FALSE)," ")</f>
        <v>3.9549691586646951E-3</v>
      </c>
      <c r="K15" s="511">
        <f t="shared" si="119"/>
        <v>5.7810229400022065E-3</v>
      </c>
      <c r="L15" s="511">
        <f t="shared" si="119"/>
        <v>7.9321213993001436E-3</v>
      </c>
      <c r="M15" s="511">
        <f t="shared" si="119"/>
        <v>1.0216380984628591E-2</v>
      </c>
      <c r="N15" s="511">
        <f t="shared" si="119"/>
        <v>1.2351732449394401E-2</v>
      </c>
      <c r="O15" s="511">
        <f t="shared" si="119"/>
        <v>1.4017860692236697E-2</v>
      </c>
      <c r="P15" s="511">
        <f t="shared" si="119"/>
        <v>1.4933399090242423E-2</v>
      </c>
      <c r="Q15" s="511">
        <f t="shared" si="119"/>
        <v>1.4933399090242419E-2</v>
      </c>
      <c r="R15" s="511">
        <f t="shared" si="119"/>
        <v>1.4017860692236697E-2</v>
      </c>
      <c r="S15" s="511">
        <f t="shared" si="119"/>
        <v>1.2351732449394399E-2</v>
      </c>
      <c r="T15" s="511">
        <f t="shared" si="119"/>
        <v>1.0216380984628589E-2</v>
      </c>
      <c r="U15" s="511">
        <f t="shared" si="119"/>
        <v>7.9321213993001436E-3</v>
      </c>
      <c r="V15" s="511">
        <f t="shared" si="119"/>
        <v>5.7810229400022031E-3</v>
      </c>
      <c r="W15" s="511">
        <f t="shared" si="119"/>
        <v>3.9549691586646934E-3</v>
      </c>
      <c r="X15" s="511">
        <f t="shared" si="119"/>
        <v>2.5398295846793904E-3</v>
      </c>
      <c r="Y15" s="511" t="str">
        <f t="shared" si="119"/>
        <v xml:space="preserve"> </v>
      </c>
      <c r="Z15" s="511" t="str">
        <f t="shared" si="119"/>
        <v xml:space="preserve"> </v>
      </c>
      <c r="AA15" s="511" t="str">
        <f t="shared" si="119"/>
        <v xml:space="preserve"> </v>
      </c>
      <c r="AB15" s="511" t="str">
        <f t="shared" si="119"/>
        <v xml:space="preserve"> </v>
      </c>
      <c r="AC15" s="511" t="str">
        <f t="shared" si="119"/>
        <v xml:space="preserve"> </v>
      </c>
      <c r="AD15" s="511" t="str">
        <f t="shared" si="119"/>
        <v xml:space="preserve"> </v>
      </c>
      <c r="AE15" s="511" t="str">
        <f t="shared" si="119"/>
        <v xml:space="preserve"> </v>
      </c>
      <c r="AF15" s="511" t="str">
        <f t="shared" si="119"/>
        <v xml:space="preserve"> </v>
      </c>
      <c r="AG15" s="511" t="str">
        <f t="shared" si="119"/>
        <v xml:space="preserve"> </v>
      </c>
      <c r="AH15" s="511" t="str">
        <f t="shared" si="119"/>
        <v xml:space="preserve"> </v>
      </c>
      <c r="AI15" s="511" t="str">
        <f t="shared" si="119"/>
        <v xml:space="preserve"> </v>
      </c>
      <c r="AJ15" s="511" t="str">
        <f t="shared" si="119"/>
        <v xml:space="preserve"> </v>
      </c>
      <c r="AK15" s="511" t="str">
        <f t="shared" si="119"/>
        <v xml:space="preserve"> </v>
      </c>
      <c r="AL15" s="511" t="str">
        <f t="shared" si="119"/>
        <v xml:space="preserve"> </v>
      </c>
      <c r="AM15" s="511" t="str">
        <f t="shared" si="119"/>
        <v xml:space="preserve"> </v>
      </c>
      <c r="AN15" s="511" t="str">
        <f t="shared" si="119"/>
        <v xml:space="preserve"> </v>
      </c>
      <c r="AO15" s="511" t="str">
        <f t="shared" si="119"/>
        <v xml:space="preserve"> </v>
      </c>
      <c r="AP15" s="511" t="str">
        <f t="shared" si="119"/>
        <v xml:space="preserve"> </v>
      </c>
      <c r="AQ15" s="511" t="str">
        <f t="shared" si="119"/>
        <v xml:space="preserve"> </v>
      </c>
      <c r="AR15" s="511" t="str">
        <f t="shared" si="119"/>
        <v xml:space="preserve"> </v>
      </c>
      <c r="AS15" s="511" t="str">
        <f t="shared" si="119"/>
        <v xml:space="preserve"> </v>
      </c>
      <c r="AT15" s="511" t="str">
        <f t="shared" si="119"/>
        <v xml:space="preserve"> </v>
      </c>
      <c r="AU15" s="511" t="str">
        <f t="shared" si="119"/>
        <v xml:space="preserve"> </v>
      </c>
      <c r="AV15" s="511" t="str">
        <f t="shared" si="119"/>
        <v xml:space="preserve"> </v>
      </c>
      <c r="AW15" s="511" t="str">
        <f t="shared" si="119"/>
        <v xml:space="preserve"> </v>
      </c>
      <c r="AX15" s="511" t="str">
        <f t="shared" si="119"/>
        <v xml:space="preserve"> </v>
      </c>
      <c r="AY15" s="511" t="str">
        <f t="shared" si="119"/>
        <v xml:space="preserve"> </v>
      </c>
      <c r="AZ15" s="511" t="str">
        <f t="shared" si="119"/>
        <v xml:space="preserve"> </v>
      </c>
      <c r="BA15" s="511" t="str">
        <f t="shared" si="119"/>
        <v xml:space="preserve"> </v>
      </c>
      <c r="BB15" s="511" t="str">
        <f t="shared" si="119"/>
        <v xml:space="preserve"> </v>
      </c>
      <c r="BC15" s="511" t="str">
        <f t="shared" si="119"/>
        <v xml:space="preserve"> </v>
      </c>
      <c r="BD15" s="511" t="str">
        <f t="shared" si="119"/>
        <v xml:space="preserve"> </v>
      </c>
      <c r="BE15" s="511" t="str">
        <f t="shared" si="119"/>
        <v xml:space="preserve"> </v>
      </c>
      <c r="BF15" s="511"/>
      <c r="BG15" s="511"/>
      <c r="DE15" s="114"/>
    </row>
    <row r="16" spans="1:149" outlineLevel="1">
      <c r="A16" s="155"/>
      <c r="B16" s="353"/>
      <c r="G16" s="197"/>
      <c r="H16" s="153">
        <f>H12</f>
        <v>55</v>
      </c>
      <c r="I16" s="154">
        <f>SUM(J16:BN16)</f>
        <v>1</v>
      </c>
      <c r="J16" s="511">
        <f t="shared" ref="J16:AO16" si="120">IF(J11&lt;=$H$16,J14/$I$14,0)</f>
        <v>8.9554909575832145E-4</v>
      </c>
      <c r="K16" s="511">
        <f t="shared" si="120"/>
        <v>1.0734290421002515E-3</v>
      </c>
      <c r="L16" s="511">
        <f t="shared" si="120"/>
        <v>1.2806001366453777E-3</v>
      </c>
      <c r="M16" s="511">
        <f t="shared" si="120"/>
        <v>1.5205825692749132E-3</v>
      </c>
      <c r="N16" s="511">
        <f t="shared" si="120"/>
        <v>1.7970606433347451E-3</v>
      </c>
      <c r="O16" s="511">
        <f t="shared" si="120"/>
        <v>2.1138380906003821E-3</v>
      </c>
      <c r="P16" s="511">
        <f t="shared" si="120"/>
        <v>2.4747821061317154E-3</v>
      </c>
      <c r="Q16" s="511">
        <f t="shared" si="120"/>
        <v>2.8837557680342777E-3</v>
      </c>
      <c r="R16" s="511">
        <f t="shared" si="120"/>
        <v>3.3445388607418985E-3</v>
      </c>
      <c r="S16" s="511">
        <f t="shared" si="120"/>
        <v>3.8607375353975531E-3</v>
      </c>
      <c r="T16" s="511">
        <f t="shared" si="120"/>
        <v>4.4356837089287067E-3</v>
      </c>
      <c r="U16" s="511">
        <f t="shared" si="120"/>
        <v>5.0723256120922544E-3</v>
      </c>
      <c r="V16" s="511">
        <f t="shared" si="120"/>
        <v>5.7731114296112477E-3</v>
      </c>
      <c r="W16" s="511">
        <f t="shared" si="120"/>
        <v>6.5398685122134946E-3</v>
      </c>
      <c r="X16" s="511">
        <f t="shared" si="120"/>
        <v>7.3736811572638105E-3</v>
      </c>
      <c r="Y16" s="511">
        <f t="shared" si="120"/>
        <v>8.2747704255963037E-3</v>
      </c>
      <c r="Z16" s="511">
        <f t="shared" si="120"/>
        <v>9.2423798594956051E-3</v>
      </c>
      <c r="AA16" s="511">
        <f t="shared" si="120"/>
        <v>1.0274671262808344E-2</v>
      </c>
      <c r="AB16" s="511">
        <f t="shared" si="120"/>
        <v>1.1368634872516306E-2</v>
      </c>
      <c r="AC16" s="511">
        <f t="shared" si="120"/>
        <v>1.2520018268380952E-2</v>
      </c>
      <c r="AD16" s="511">
        <f t="shared" si="120"/>
        <v>1.3723278214710382E-2</v>
      </c>
      <c r="AE16" s="511">
        <f t="shared" si="120"/>
        <v>1.4971559293334318E-2</v>
      </c>
      <c r="AF16" s="511">
        <f t="shared" si="120"/>
        <v>1.6256702664512183E-2</v>
      </c>
      <c r="AG16" s="511">
        <f t="shared" si="120"/>
        <v>1.7569287586426296E-2</v>
      </c>
      <c r="AH16" s="511">
        <f t="shared" si="120"/>
        <v>1.889870744718446E-2</v>
      </c>
      <c r="AI16" s="511">
        <f t="shared" si="120"/>
        <v>2.0233281038517882E-2</v>
      </c>
      <c r="AJ16" s="511">
        <f t="shared" si="120"/>
        <v>2.1560398659526678E-2</v>
      </c>
      <c r="AK16" s="511">
        <f t="shared" si="120"/>
        <v>2.2866701422185391E-2</v>
      </c>
      <c r="AL16" s="511">
        <f t="shared" si="120"/>
        <v>2.4138290885081567E-2</v>
      </c>
      <c r="AM16" s="511">
        <f t="shared" si="120"/>
        <v>2.5360964920173507E-2</v>
      </c>
      <c r="AN16" s="511">
        <f t="shared" si="120"/>
        <v>2.6520474573896766E-2</v>
      </c>
      <c r="AO16" s="511">
        <f t="shared" si="120"/>
        <v>2.7602795673207038E-2</v>
      </c>
      <c r="AP16" s="511">
        <f t="shared" ref="AP16:BL16" si="121">IF(AP11&lt;=$H$16,AP14/$I$14,0)</f>
        <v>2.8594408100510629E-2</v>
      </c>
      <c r="AQ16" s="511">
        <f t="shared" si="121"/>
        <v>2.9482575064311123E-2</v>
      </c>
      <c r="AR16" s="511">
        <f t="shared" si="121"/>
        <v>3.0255614361512379E-2</v>
      </c>
      <c r="AS16" s="511">
        <f t="shared" si="121"/>
        <v>3.0903153588346943E-2</v>
      </c>
      <c r="AT16" s="511">
        <f t="shared" si="121"/>
        <v>3.1416361522675275E-2</v>
      </c>
      <c r="AU16" s="511">
        <f t="shared" si="121"/>
        <v>3.1788148469734559E-2</v>
      </c>
      <c r="AV16" s="511">
        <f t="shared" si="121"/>
        <v>3.2013329220694976E-2</v>
      </c>
      <c r="AW16" s="511">
        <f t="shared" si="121"/>
        <v>3.2088743388972024E-2</v>
      </c>
      <c r="AX16" s="511">
        <f t="shared" si="121"/>
        <v>3.2013329220694976E-2</v>
      </c>
      <c r="AY16" s="511">
        <f t="shared" si="121"/>
        <v>3.1788148469734566E-2</v>
      </c>
      <c r="AZ16" s="511">
        <f t="shared" si="121"/>
        <v>3.1416361522675282E-2</v>
      </c>
      <c r="BA16" s="511">
        <f t="shared" si="121"/>
        <v>3.0903153588346947E-2</v>
      </c>
      <c r="BB16" s="511">
        <f t="shared" si="121"/>
        <v>3.0255614361512386E-2</v>
      </c>
      <c r="BC16" s="511">
        <f t="shared" si="121"/>
        <v>2.9482575064311126E-2</v>
      </c>
      <c r="BD16" s="511">
        <f t="shared" si="121"/>
        <v>2.8594408100510633E-2</v>
      </c>
      <c r="BE16" s="511">
        <f t="shared" si="121"/>
        <v>2.7602795673207059E-2</v>
      </c>
      <c r="BF16" s="511">
        <f t="shared" si="121"/>
        <v>2.6520474573896773E-2</v>
      </c>
      <c r="BG16" s="511">
        <f t="shared" si="121"/>
        <v>2.5360964920173517E-2</v>
      </c>
      <c r="BH16" s="511">
        <f t="shared" si="121"/>
        <v>2.4138290885081581E-2</v>
      </c>
      <c r="BI16" s="511">
        <f t="shared" si="121"/>
        <v>2.2866701422185401E-2</v>
      </c>
      <c r="BJ16" s="511">
        <f t="shared" si="121"/>
        <v>2.1560398659526688E-2</v>
      </c>
      <c r="BK16" s="511">
        <f t="shared" si="121"/>
        <v>2.0233281038517896E-2</v>
      </c>
      <c r="BL16" s="511">
        <f t="shared" si="121"/>
        <v>1.8898707447184474E-2</v>
      </c>
      <c r="BM16" s="511">
        <f t="shared" ref="BM16:CB16" si="122">IF(BM11&lt;=$H$16,BM14/$I$14,0)</f>
        <v>0</v>
      </c>
      <c r="BN16" s="511">
        <f t="shared" si="122"/>
        <v>0</v>
      </c>
      <c r="BO16" s="511">
        <f t="shared" si="122"/>
        <v>0</v>
      </c>
      <c r="BP16" s="511">
        <f t="shared" si="122"/>
        <v>0</v>
      </c>
      <c r="BQ16" s="511">
        <f t="shared" si="122"/>
        <v>0</v>
      </c>
      <c r="BR16" s="511">
        <f t="shared" si="122"/>
        <v>0</v>
      </c>
      <c r="BS16" s="511">
        <f t="shared" si="122"/>
        <v>0</v>
      </c>
      <c r="BT16" s="511">
        <f t="shared" si="122"/>
        <v>0</v>
      </c>
      <c r="BU16" s="511">
        <f t="shared" si="122"/>
        <v>0</v>
      </c>
      <c r="BV16" s="511">
        <f t="shared" si="122"/>
        <v>0</v>
      </c>
      <c r="BW16" s="511">
        <f t="shared" si="122"/>
        <v>0</v>
      </c>
      <c r="BX16" s="511">
        <f t="shared" si="122"/>
        <v>0</v>
      </c>
      <c r="BY16" s="511">
        <f t="shared" si="122"/>
        <v>0</v>
      </c>
      <c r="BZ16" s="511">
        <f t="shared" si="122"/>
        <v>0</v>
      </c>
      <c r="CA16" s="511">
        <f t="shared" si="122"/>
        <v>0</v>
      </c>
      <c r="CB16" s="511">
        <f t="shared" si="122"/>
        <v>0</v>
      </c>
      <c r="CC16" s="511">
        <f t="shared" ref="CC16:DE16" si="123">IF(CC11&lt;=$H$16,CC14/$I$14,0)</f>
        <v>0</v>
      </c>
      <c r="CD16" s="511">
        <f t="shared" si="123"/>
        <v>0</v>
      </c>
      <c r="CE16" s="511">
        <f t="shared" si="123"/>
        <v>0</v>
      </c>
      <c r="CF16" s="511">
        <f t="shared" si="123"/>
        <v>0</v>
      </c>
      <c r="CG16" s="511">
        <f t="shared" si="123"/>
        <v>0</v>
      </c>
      <c r="CH16" s="511">
        <f t="shared" si="123"/>
        <v>0</v>
      </c>
      <c r="CI16" s="511">
        <f t="shared" si="123"/>
        <v>0</v>
      </c>
      <c r="CJ16" s="511">
        <f t="shared" si="123"/>
        <v>0</v>
      </c>
      <c r="CK16" s="511">
        <f t="shared" si="123"/>
        <v>0</v>
      </c>
      <c r="CL16" s="511">
        <f t="shared" si="123"/>
        <v>0</v>
      </c>
      <c r="CM16" s="511">
        <f t="shared" si="123"/>
        <v>0</v>
      </c>
      <c r="CN16" s="511">
        <f t="shared" si="123"/>
        <v>0</v>
      </c>
      <c r="CO16" s="511">
        <f t="shared" si="123"/>
        <v>0</v>
      </c>
      <c r="CP16" s="511">
        <f t="shared" si="123"/>
        <v>0</v>
      </c>
      <c r="CQ16" s="511">
        <f t="shared" si="123"/>
        <v>0</v>
      </c>
      <c r="CR16" s="511">
        <f t="shared" si="123"/>
        <v>0</v>
      </c>
      <c r="CS16" s="511">
        <f t="shared" si="123"/>
        <v>0</v>
      </c>
      <c r="CT16" s="511">
        <f t="shared" si="123"/>
        <v>0</v>
      </c>
      <c r="CU16" s="511">
        <f t="shared" si="123"/>
        <v>0</v>
      </c>
      <c r="CV16" s="511">
        <f t="shared" si="123"/>
        <v>0</v>
      </c>
      <c r="CW16" s="511">
        <f t="shared" si="123"/>
        <v>0</v>
      </c>
      <c r="CX16" s="511">
        <f t="shared" si="123"/>
        <v>0</v>
      </c>
      <c r="CY16" s="511">
        <f t="shared" si="123"/>
        <v>0</v>
      </c>
      <c r="CZ16" s="511">
        <f t="shared" si="123"/>
        <v>0</v>
      </c>
      <c r="DA16" s="511">
        <f t="shared" si="123"/>
        <v>0</v>
      </c>
      <c r="DB16" s="511">
        <f t="shared" si="123"/>
        <v>0</v>
      </c>
      <c r="DC16" s="511">
        <f t="shared" si="123"/>
        <v>0</v>
      </c>
      <c r="DD16" s="511">
        <f t="shared" si="123"/>
        <v>0</v>
      </c>
      <c r="DE16" s="475">
        <f t="shared" si="123"/>
        <v>0</v>
      </c>
    </row>
    <row r="17" spans="1:109" outlineLevel="1">
      <c r="A17" s="155"/>
      <c r="B17" s="354"/>
      <c r="C17" s="251"/>
      <c r="D17" s="251"/>
      <c r="E17" s="251"/>
      <c r="F17" s="251"/>
      <c r="G17" s="251"/>
      <c r="H17" s="344">
        <f>H13</f>
        <v>15</v>
      </c>
      <c r="I17" s="345">
        <f>SUM(J17:BN17)</f>
        <v>1.0000000000000002</v>
      </c>
      <c r="J17" s="346">
        <f t="shared" ref="J17:AO17" si="124">IF(J11&lt;=$H$17,J15/$I$15,0)</f>
        <v>2.8066385319947512E-2</v>
      </c>
      <c r="K17" s="346">
        <f t="shared" si="124"/>
        <v>4.1024951363296737E-2</v>
      </c>
      <c r="L17" s="346">
        <f t="shared" si="124"/>
        <v>5.6290192582063935E-2</v>
      </c>
      <c r="M17" s="346">
        <f t="shared" si="124"/>
        <v>7.2500409936643084E-2</v>
      </c>
      <c r="N17" s="346">
        <f t="shared" si="124"/>
        <v>8.765390282098863E-2</v>
      </c>
      <c r="O17" s="346">
        <f t="shared" si="124"/>
        <v>9.9477559436264767E-2</v>
      </c>
      <c r="P17" s="346">
        <f t="shared" si="124"/>
        <v>0.10597466533590011</v>
      </c>
      <c r="Q17" s="346">
        <f t="shared" si="124"/>
        <v>0.10597466533590008</v>
      </c>
      <c r="R17" s="346">
        <f t="shared" si="124"/>
        <v>9.9477559436264767E-2</v>
      </c>
      <c r="S17" s="346">
        <f t="shared" si="124"/>
        <v>8.7653902820988616E-2</v>
      </c>
      <c r="T17" s="346">
        <f t="shared" si="124"/>
        <v>7.250040993664307E-2</v>
      </c>
      <c r="U17" s="346">
        <f t="shared" si="124"/>
        <v>5.6290192582063935E-2</v>
      </c>
      <c r="V17" s="346">
        <f t="shared" si="124"/>
        <v>4.1024951363296716E-2</v>
      </c>
      <c r="W17" s="346">
        <f t="shared" si="124"/>
        <v>2.8066385319947498E-2</v>
      </c>
      <c r="X17" s="346">
        <f t="shared" si="124"/>
        <v>1.802386640979051E-2</v>
      </c>
      <c r="Y17" s="346">
        <f t="shared" si="124"/>
        <v>0</v>
      </c>
      <c r="Z17" s="346">
        <f t="shared" si="124"/>
        <v>0</v>
      </c>
      <c r="AA17" s="346">
        <f t="shared" si="124"/>
        <v>0</v>
      </c>
      <c r="AB17" s="346">
        <f t="shared" si="124"/>
        <v>0</v>
      </c>
      <c r="AC17" s="346">
        <f t="shared" si="124"/>
        <v>0</v>
      </c>
      <c r="AD17" s="346">
        <f t="shared" si="124"/>
        <v>0</v>
      </c>
      <c r="AE17" s="346">
        <f t="shared" si="124"/>
        <v>0</v>
      </c>
      <c r="AF17" s="346">
        <f t="shared" si="124"/>
        <v>0</v>
      </c>
      <c r="AG17" s="346">
        <f t="shared" si="124"/>
        <v>0</v>
      </c>
      <c r="AH17" s="346">
        <f t="shared" si="124"/>
        <v>0</v>
      </c>
      <c r="AI17" s="346">
        <f t="shared" si="124"/>
        <v>0</v>
      </c>
      <c r="AJ17" s="346">
        <f t="shared" si="124"/>
        <v>0</v>
      </c>
      <c r="AK17" s="346">
        <f t="shared" si="124"/>
        <v>0</v>
      </c>
      <c r="AL17" s="346">
        <f t="shared" si="124"/>
        <v>0</v>
      </c>
      <c r="AM17" s="346">
        <f t="shared" si="124"/>
        <v>0</v>
      </c>
      <c r="AN17" s="346">
        <f t="shared" si="124"/>
        <v>0</v>
      </c>
      <c r="AO17" s="346">
        <f t="shared" si="124"/>
        <v>0</v>
      </c>
      <c r="AP17" s="346">
        <f t="shared" ref="AP17:BL17" si="125">IF(AP11&lt;=$H$17,AP15/$I$15,0)</f>
        <v>0</v>
      </c>
      <c r="AQ17" s="346">
        <f t="shared" si="125"/>
        <v>0</v>
      </c>
      <c r="AR17" s="346">
        <f t="shared" si="125"/>
        <v>0</v>
      </c>
      <c r="AS17" s="346">
        <f t="shared" si="125"/>
        <v>0</v>
      </c>
      <c r="AT17" s="346">
        <f t="shared" si="125"/>
        <v>0</v>
      </c>
      <c r="AU17" s="346">
        <f t="shared" si="125"/>
        <v>0</v>
      </c>
      <c r="AV17" s="346">
        <f t="shared" si="125"/>
        <v>0</v>
      </c>
      <c r="AW17" s="346">
        <f t="shared" si="125"/>
        <v>0</v>
      </c>
      <c r="AX17" s="346">
        <f t="shared" si="125"/>
        <v>0</v>
      </c>
      <c r="AY17" s="346">
        <f t="shared" si="125"/>
        <v>0</v>
      </c>
      <c r="AZ17" s="346">
        <f t="shared" si="125"/>
        <v>0</v>
      </c>
      <c r="BA17" s="346">
        <f t="shared" si="125"/>
        <v>0</v>
      </c>
      <c r="BB17" s="346">
        <f t="shared" si="125"/>
        <v>0</v>
      </c>
      <c r="BC17" s="346">
        <f t="shared" si="125"/>
        <v>0</v>
      </c>
      <c r="BD17" s="346">
        <f t="shared" si="125"/>
        <v>0</v>
      </c>
      <c r="BE17" s="346">
        <f t="shared" si="125"/>
        <v>0</v>
      </c>
      <c r="BF17" s="346">
        <f t="shared" si="125"/>
        <v>0</v>
      </c>
      <c r="BG17" s="346">
        <f t="shared" si="125"/>
        <v>0</v>
      </c>
      <c r="BH17" s="346">
        <f t="shared" si="125"/>
        <v>0</v>
      </c>
      <c r="BI17" s="346">
        <f t="shared" si="125"/>
        <v>0</v>
      </c>
      <c r="BJ17" s="346">
        <f t="shared" si="125"/>
        <v>0</v>
      </c>
      <c r="BK17" s="346">
        <f t="shared" si="125"/>
        <v>0</v>
      </c>
      <c r="BL17" s="346">
        <f t="shared" si="125"/>
        <v>0</v>
      </c>
      <c r="BM17" s="346">
        <f t="shared" ref="BM17:CB17" si="126">IF(BM11&lt;=$H$17,BM15/$I$15,0)</f>
        <v>0</v>
      </c>
      <c r="BN17" s="346">
        <f t="shared" si="126"/>
        <v>0</v>
      </c>
      <c r="BO17" s="346">
        <f t="shared" si="126"/>
        <v>0</v>
      </c>
      <c r="BP17" s="346">
        <f t="shared" si="126"/>
        <v>0</v>
      </c>
      <c r="BQ17" s="346">
        <f t="shared" si="126"/>
        <v>0</v>
      </c>
      <c r="BR17" s="346">
        <f t="shared" si="126"/>
        <v>0</v>
      </c>
      <c r="BS17" s="346">
        <f t="shared" si="126"/>
        <v>0</v>
      </c>
      <c r="BT17" s="346">
        <f t="shared" si="126"/>
        <v>0</v>
      </c>
      <c r="BU17" s="346">
        <f t="shared" si="126"/>
        <v>0</v>
      </c>
      <c r="BV17" s="346">
        <f t="shared" si="126"/>
        <v>0</v>
      </c>
      <c r="BW17" s="346">
        <f t="shared" si="126"/>
        <v>0</v>
      </c>
      <c r="BX17" s="346">
        <f t="shared" si="126"/>
        <v>0</v>
      </c>
      <c r="BY17" s="346">
        <f t="shared" si="126"/>
        <v>0</v>
      </c>
      <c r="BZ17" s="346">
        <f t="shared" si="126"/>
        <v>0</v>
      </c>
      <c r="CA17" s="346">
        <f t="shared" si="126"/>
        <v>0</v>
      </c>
      <c r="CB17" s="346">
        <f t="shared" si="126"/>
        <v>0</v>
      </c>
      <c r="CC17" s="346">
        <f t="shared" ref="CC17:DE17" si="127">IF(CC11&lt;=$H$17,CC15/$I$15,0)</f>
        <v>0</v>
      </c>
      <c r="CD17" s="346">
        <f t="shared" si="127"/>
        <v>0</v>
      </c>
      <c r="CE17" s="346">
        <f t="shared" si="127"/>
        <v>0</v>
      </c>
      <c r="CF17" s="346">
        <f t="shared" si="127"/>
        <v>0</v>
      </c>
      <c r="CG17" s="346">
        <f t="shared" si="127"/>
        <v>0</v>
      </c>
      <c r="CH17" s="346">
        <f t="shared" si="127"/>
        <v>0</v>
      </c>
      <c r="CI17" s="346">
        <f t="shared" si="127"/>
        <v>0</v>
      </c>
      <c r="CJ17" s="346">
        <f t="shared" si="127"/>
        <v>0</v>
      </c>
      <c r="CK17" s="346">
        <f t="shared" si="127"/>
        <v>0</v>
      </c>
      <c r="CL17" s="346">
        <f t="shared" si="127"/>
        <v>0</v>
      </c>
      <c r="CM17" s="346">
        <f t="shared" si="127"/>
        <v>0</v>
      </c>
      <c r="CN17" s="346">
        <f t="shared" si="127"/>
        <v>0</v>
      </c>
      <c r="CO17" s="346">
        <f t="shared" si="127"/>
        <v>0</v>
      </c>
      <c r="CP17" s="346">
        <f t="shared" si="127"/>
        <v>0</v>
      </c>
      <c r="CQ17" s="346">
        <f t="shared" si="127"/>
        <v>0</v>
      </c>
      <c r="CR17" s="346">
        <f t="shared" si="127"/>
        <v>0</v>
      </c>
      <c r="CS17" s="346">
        <f t="shared" si="127"/>
        <v>0</v>
      </c>
      <c r="CT17" s="346">
        <f t="shared" si="127"/>
        <v>0</v>
      </c>
      <c r="CU17" s="346">
        <f t="shared" si="127"/>
        <v>0</v>
      </c>
      <c r="CV17" s="346">
        <f t="shared" si="127"/>
        <v>0</v>
      </c>
      <c r="CW17" s="346">
        <f t="shared" si="127"/>
        <v>0</v>
      </c>
      <c r="CX17" s="346">
        <f t="shared" si="127"/>
        <v>0</v>
      </c>
      <c r="CY17" s="346">
        <f t="shared" si="127"/>
        <v>0</v>
      </c>
      <c r="CZ17" s="346">
        <f t="shared" si="127"/>
        <v>0</v>
      </c>
      <c r="DA17" s="346">
        <f t="shared" si="127"/>
        <v>0</v>
      </c>
      <c r="DB17" s="346">
        <f t="shared" si="127"/>
        <v>0</v>
      </c>
      <c r="DC17" s="346">
        <f t="shared" si="127"/>
        <v>0</v>
      </c>
      <c r="DD17" s="346">
        <f t="shared" si="127"/>
        <v>0</v>
      </c>
      <c r="DE17" s="476">
        <f t="shared" si="127"/>
        <v>0</v>
      </c>
    </row>
    <row r="18" spans="1:109" outlineLevel="1">
      <c r="B18" s="350"/>
      <c r="CB18" s="114"/>
      <c r="DE18" s="114"/>
    </row>
    <row r="19" spans="1:109" outlineLevel="1">
      <c r="B19" s="355" t="s">
        <v>304</v>
      </c>
      <c r="I19" s="175"/>
      <c r="CB19" s="114"/>
      <c r="DE19" s="114"/>
    </row>
    <row r="20" spans="1:109" outlineLevel="1">
      <c r="B20" s="356" t="s">
        <v>299</v>
      </c>
      <c r="E20" s="169">
        <f>Summary!K15</f>
        <v>28716134.84</v>
      </c>
      <c r="I20" s="138">
        <v>1</v>
      </c>
      <c r="J20" s="138">
        <v>0</v>
      </c>
      <c r="K20" s="138">
        <v>0</v>
      </c>
      <c r="L20" s="138">
        <v>0</v>
      </c>
      <c r="M20" s="138">
        <v>0</v>
      </c>
      <c r="N20" s="138">
        <v>0</v>
      </c>
      <c r="O20" s="138">
        <v>0</v>
      </c>
      <c r="P20" s="138">
        <v>0</v>
      </c>
      <c r="Q20" s="138">
        <v>0</v>
      </c>
      <c r="R20" s="138">
        <v>0</v>
      </c>
      <c r="S20" s="138">
        <v>0</v>
      </c>
      <c r="T20" s="138">
        <v>0</v>
      </c>
      <c r="U20" s="138">
        <v>0</v>
      </c>
      <c r="V20" s="138">
        <v>0</v>
      </c>
      <c r="W20" s="138">
        <v>0</v>
      </c>
      <c r="X20" s="138">
        <v>0</v>
      </c>
      <c r="Y20" s="138">
        <v>0</v>
      </c>
      <c r="Z20" s="138">
        <v>0</v>
      </c>
      <c r="AA20" s="138">
        <v>0</v>
      </c>
      <c r="AB20" s="138">
        <v>0</v>
      </c>
      <c r="AC20" s="138">
        <v>0</v>
      </c>
      <c r="AD20" s="138">
        <v>0</v>
      </c>
      <c r="AE20" s="138">
        <v>0</v>
      </c>
      <c r="AF20" s="138">
        <v>0</v>
      </c>
      <c r="AG20" s="138">
        <v>0</v>
      </c>
      <c r="AH20" s="138">
        <v>0</v>
      </c>
      <c r="AI20" s="138">
        <v>0</v>
      </c>
      <c r="AJ20" s="138">
        <v>0</v>
      </c>
      <c r="AK20" s="138">
        <v>0</v>
      </c>
      <c r="AL20" s="138">
        <v>0</v>
      </c>
      <c r="AM20" s="138">
        <v>0</v>
      </c>
      <c r="AN20" s="138">
        <v>0</v>
      </c>
      <c r="AO20" s="138">
        <v>0</v>
      </c>
      <c r="AP20" s="138">
        <v>0</v>
      </c>
      <c r="AQ20" s="138">
        <v>0</v>
      </c>
      <c r="AR20" s="138">
        <v>0</v>
      </c>
      <c r="AS20" s="138">
        <v>0</v>
      </c>
      <c r="AT20" s="138">
        <v>0</v>
      </c>
      <c r="AU20" s="138">
        <v>0</v>
      </c>
      <c r="AV20" s="138">
        <v>0</v>
      </c>
      <c r="AW20" s="138">
        <v>0</v>
      </c>
      <c r="AX20" s="138">
        <v>0</v>
      </c>
      <c r="AY20" s="138">
        <v>0</v>
      </c>
      <c r="AZ20" s="138">
        <v>0</v>
      </c>
      <c r="BA20" s="138">
        <v>0</v>
      </c>
      <c r="BB20" s="138">
        <v>0</v>
      </c>
      <c r="BC20" s="138">
        <v>0</v>
      </c>
      <c r="BD20" s="138">
        <v>0</v>
      </c>
      <c r="BE20" s="138">
        <v>0</v>
      </c>
      <c r="BF20" s="138">
        <v>0</v>
      </c>
      <c r="BG20" s="138">
        <v>0</v>
      </c>
      <c r="BH20" s="138">
        <v>0</v>
      </c>
      <c r="BI20" s="138">
        <v>0</v>
      </c>
      <c r="BJ20" s="138">
        <v>0</v>
      </c>
      <c r="BK20" s="138">
        <v>0</v>
      </c>
      <c r="BL20" s="138">
        <v>0</v>
      </c>
      <c r="BM20" s="138">
        <v>0</v>
      </c>
      <c r="BN20" s="138">
        <v>0</v>
      </c>
      <c r="BO20" s="138">
        <v>0</v>
      </c>
      <c r="CB20" s="114"/>
      <c r="DE20" s="114"/>
    </row>
    <row r="21" spans="1:109" outlineLevel="1">
      <c r="B21" s="357" t="s">
        <v>177</v>
      </c>
      <c r="E21" s="169">
        <f>Summary!K16</f>
        <v>62472087</v>
      </c>
      <c r="I21" s="138">
        <f t="shared" ref="I21:AN21" si="128">I9</f>
        <v>0</v>
      </c>
      <c r="J21" s="138">
        <f t="shared" si="128"/>
        <v>8.9554909575832145E-4</v>
      </c>
      <c r="K21" s="138">
        <f t="shared" si="128"/>
        <v>1.0734290421002515E-3</v>
      </c>
      <c r="L21" s="138">
        <f t="shared" si="128"/>
        <v>1.2806001366453777E-3</v>
      </c>
      <c r="M21" s="138">
        <f t="shared" si="128"/>
        <v>1.5205825692749132E-3</v>
      </c>
      <c r="N21" s="138">
        <f t="shared" si="128"/>
        <v>1.7970606433347451E-3</v>
      </c>
      <c r="O21" s="138">
        <f t="shared" si="128"/>
        <v>2.1138380906003821E-3</v>
      </c>
      <c r="P21" s="138">
        <f t="shared" si="128"/>
        <v>2.4747821061317154E-3</v>
      </c>
      <c r="Q21" s="138">
        <f t="shared" si="128"/>
        <v>2.8837557680342777E-3</v>
      </c>
      <c r="R21" s="138">
        <f t="shared" si="128"/>
        <v>3.3445388607418985E-3</v>
      </c>
      <c r="S21" s="138">
        <f t="shared" si="128"/>
        <v>3.8607375353975531E-3</v>
      </c>
      <c r="T21" s="138">
        <f t="shared" si="128"/>
        <v>4.4356837089287067E-3</v>
      </c>
      <c r="U21" s="138">
        <f t="shared" si="128"/>
        <v>5.0723256120922544E-3</v>
      </c>
      <c r="V21" s="138">
        <f t="shared" si="128"/>
        <v>5.7731114296112477E-3</v>
      </c>
      <c r="W21" s="138">
        <f t="shared" si="128"/>
        <v>6.5398685122134946E-3</v>
      </c>
      <c r="X21" s="138">
        <f t="shared" si="128"/>
        <v>7.3736811572638105E-3</v>
      </c>
      <c r="Y21" s="138">
        <f t="shared" si="128"/>
        <v>8.2747704255963037E-3</v>
      </c>
      <c r="Z21" s="138">
        <f t="shared" si="128"/>
        <v>9.2423798594956051E-3</v>
      </c>
      <c r="AA21" s="138">
        <f t="shared" si="128"/>
        <v>1.0274671262808344E-2</v>
      </c>
      <c r="AB21" s="138">
        <f t="shared" si="128"/>
        <v>1.1368634872516306E-2</v>
      </c>
      <c r="AC21" s="138">
        <f t="shared" si="128"/>
        <v>1.2520018268380952E-2</v>
      </c>
      <c r="AD21" s="138">
        <f t="shared" si="128"/>
        <v>1.3723278214710382E-2</v>
      </c>
      <c r="AE21" s="138">
        <f t="shared" si="128"/>
        <v>1.4971559293334318E-2</v>
      </c>
      <c r="AF21" s="138">
        <f t="shared" si="128"/>
        <v>1.6256702664512183E-2</v>
      </c>
      <c r="AG21" s="138">
        <f t="shared" si="128"/>
        <v>1.7569287586426296E-2</v>
      </c>
      <c r="AH21" s="138">
        <f t="shared" si="128"/>
        <v>1.889870744718446E-2</v>
      </c>
      <c r="AI21" s="138">
        <f t="shared" si="128"/>
        <v>2.0233281038517882E-2</v>
      </c>
      <c r="AJ21" s="138">
        <f t="shared" si="128"/>
        <v>2.1560398659526678E-2</v>
      </c>
      <c r="AK21" s="138">
        <f t="shared" si="128"/>
        <v>2.2866701422185391E-2</v>
      </c>
      <c r="AL21" s="138">
        <f t="shared" si="128"/>
        <v>2.4138290885081567E-2</v>
      </c>
      <c r="AM21" s="138">
        <f t="shared" si="128"/>
        <v>2.5360964920173507E-2</v>
      </c>
      <c r="AN21" s="138">
        <f t="shared" si="128"/>
        <v>2.6520474573896766E-2</v>
      </c>
      <c r="AO21" s="138">
        <f t="shared" ref="AO21:BM21" si="129">AO9</f>
        <v>2.7602795673207038E-2</v>
      </c>
      <c r="AP21" s="138">
        <f t="shared" si="129"/>
        <v>2.8594408100510629E-2</v>
      </c>
      <c r="AQ21" s="138">
        <f t="shared" si="129"/>
        <v>2.9482575064311123E-2</v>
      </c>
      <c r="AR21" s="138">
        <f t="shared" si="129"/>
        <v>3.0255614361512379E-2</v>
      </c>
      <c r="AS21" s="138">
        <f t="shared" si="129"/>
        <v>3.0903153588346943E-2</v>
      </c>
      <c r="AT21" s="138">
        <f t="shared" si="129"/>
        <v>3.1416361522675275E-2</v>
      </c>
      <c r="AU21" s="138">
        <f t="shared" si="129"/>
        <v>3.1788148469734559E-2</v>
      </c>
      <c r="AV21" s="138">
        <f t="shared" si="129"/>
        <v>3.2013329220694976E-2</v>
      </c>
      <c r="AW21" s="138">
        <f t="shared" si="129"/>
        <v>3.2088743388972024E-2</v>
      </c>
      <c r="AX21" s="138">
        <f t="shared" si="129"/>
        <v>3.2013329220694976E-2</v>
      </c>
      <c r="AY21" s="138">
        <f t="shared" si="129"/>
        <v>3.1788148469734566E-2</v>
      </c>
      <c r="AZ21" s="138">
        <f t="shared" si="129"/>
        <v>3.1416361522675282E-2</v>
      </c>
      <c r="BA21" s="138">
        <f t="shared" si="129"/>
        <v>3.0903153588346947E-2</v>
      </c>
      <c r="BB21" s="138">
        <f t="shared" si="129"/>
        <v>3.0255614361512386E-2</v>
      </c>
      <c r="BC21" s="138">
        <f t="shared" si="129"/>
        <v>2.9482575064311126E-2</v>
      </c>
      <c r="BD21" s="138">
        <f t="shared" si="129"/>
        <v>2.8594408100510633E-2</v>
      </c>
      <c r="BE21" s="138">
        <f t="shared" si="129"/>
        <v>2.7602795673207059E-2</v>
      </c>
      <c r="BF21" s="138">
        <f t="shared" si="129"/>
        <v>2.6520474573896773E-2</v>
      </c>
      <c r="BG21" s="138">
        <f t="shared" si="129"/>
        <v>2.5360964920173517E-2</v>
      </c>
      <c r="BH21" s="138">
        <f t="shared" si="129"/>
        <v>2.4138290885081581E-2</v>
      </c>
      <c r="BI21" s="138">
        <f t="shared" si="129"/>
        <v>2.2866701422185401E-2</v>
      </c>
      <c r="BJ21" s="138">
        <f t="shared" si="129"/>
        <v>2.1560398659526688E-2</v>
      </c>
      <c r="BK21" s="138">
        <f t="shared" si="129"/>
        <v>2.0233281038517896E-2</v>
      </c>
      <c r="BL21" s="138">
        <f t="shared" si="129"/>
        <v>1.8898707447184474E-2</v>
      </c>
      <c r="BM21" s="138">
        <f t="shared" si="129"/>
        <v>0</v>
      </c>
      <c r="BN21" s="138">
        <f>BN9</f>
        <v>0</v>
      </c>
      <c r="BO21" s="138">
        <f t="shared" ref="BO21:CB21" si="130">BO9</f>
        <v>0</v>
      </c>
      <c r="BP21" s="138">
        <f t="shared" si="130"/>
        <v>0</v>
      </c>
      <c r="BQ21" s="138">
        <f t="shared" si="130"/>
        <v>0</v>
      </c>
      <c r="BR21" s="138">
        <f t="shared" si="130"/>
        <v>0</v>
      </c>
      <c r="BS21" s="138">
        <f t="shared" si="130"/>
        <v>0</v>
      </c>
      <c r="BT21" s="138">
        <f t="shared" si="130"/>
        <v>0</v>
      </c>
      <c r="BU21" s="138">
        <f t="shared" si="130"/>
        <v>0</v>
      </c>
      <c r="BV21" s="138">
        <f t="shared" si="130"/>
        <v>0</v>
      </c>
      <c r="BW21" s="138">
        <f t="shared" si="130"/>
        <v>0</v>
      </c>
      <c r="BX21" s="138">
        <f t="shared" si="130"/>
        <v>0</v>
      </c>
      <c r="BY21" s="138">
        <f t="shared" si="130"/>
        <v>0</v>
      </c>
      <c r="BZ21" s="138">
        <f t="shared" si="130"/>
        <v>0</v>
      </c>
      <c r="CA21" s="138">
        <f t="shared" si="130"/>
        <v>0</v>
      </c>
      <c r="CB21" s="138">
        <f t="shared" si="130"/>
        <v>0</v>
      </c>
      <c r="CC21" s="138">
        <f t="shared" ref="CC21:DE21" si="131">CC9</f>
        <v>0</v>
      </c>
      <c r="CD21" s="138">
        <f t="shared" si="131"/>
        <v>0</v>
      </c>
      <c r="CE21" s="138">
        <f t="shared" si="131"/>
        <v>0</v>
      </c>
      <c r="CF21" s="138">
        <f t="shared" si="131"/>
        <v>0</v>
      </c>
      <c r="CG21" s="138">
        <f t="shared" si="131"/>
        <v>0</v>
      </c>
      <c r="CH21" s="138">
        <f t="shared" si="131"/>
        <v>0</v>
      </c>
      <c r="CI21" s="138">
        <f t="shared" si="131"/>
        <v>0</v>
      </c>
      <c r="CJ21" s="138">
        <f t="shared" si="131"/>
        <v>0</v>
      </c>
      <c r="CK21" s="138">
        <f t="shared" si="131"/>
        <v>0</v>
      </c>
      <c r="CL21" s="138">
        <f t="shared" si="131"/>
        <v>0</v>
      </c>
      <c r="CM21" s="138">
        <f t="shared" si="131"/>
        <v>0</v>
      </c>
      <c r="CN21" s="138">
        <f t="shared" si="131"/>
        <v>0</v>
      </c>
      <c r="CO21" s="138">
        <f t="shared" si="131"/>
        <v>0</v>
      </c>
      <c r="CP21" s="138">
        <f t="shared" si="131"/>
        <v>0</v>
      </c>
      <c r="CQ21" s="138">
        <f t="shared" si="131"/>
        <v>0</v>
      </c>
      <c r="CR21" s="138">
        <f t="shared" si="131"/>
        <v>0</v>
      </c>
      <c r="CS21" s="138">
        <f t="shared" si="131"/>
        <v>0</v>
      </c>
      <c r="CT21" s="138">
        <f t="shared" si="131"/>
        <v>0</v>
      </c>
      <c r="CU21" s="138">
        <f t="shared" si="131"/>
        <v>0</v>
      </c>
      <c r="CV21" s="138">
        <f t="shared" si="131"/>
        <v>0</v>
      </c>
      <c r="CW21" s="138">
        <f t="shared" si="131"/>
        <v>0</v>
      </c>
      <c r="CX21" s="138">
        <f t="shared" si="131"/>
        <v>0</v>
      </c>
      <c r="CY21" s="138">
        <f t="shared" si="131"/>
        <v>0</v>
      </c>
      <c r="CZ21" s="138">
        <f t="shared" si="131"/>
        <v>0</v>
      </c>
      <c r="DA21" s="138">
        <f t="shared" si="131"/>
        <v>0</v>
      </c>
      <c r="DB21" s="138">
        <f t="shared" si="131"/>
        <v>0</v>
      </c>
      <c r="DC21" s="138">
        <f t="shared" si="131"/>
        <v>0</v>
      </c>
      <c r="DD21" s="138">
        <f t="shared" si="131"/>
        <v>0</v>
      </c>
      <c r="DE21" s="243">
        <f t="shared" si="131"/>
        <v>0</v>
      </c>
    </row>
    <row r="22" spans="1:109" outlineLevel="1">
      <c r="B22" s="357" t="s">
        <v>178</v>
      </c>
      <c r="E22" s="169">
        <f>Summary!K17</f>
        <v>2717323.5</v>
      </c>
      <c r="H22" s="138"/>
      <c r="I22" s="138">
        <f>I9</f>
        <v>0</v>
      </c>
      <c r="J22" s="138">
        <f t="shared" ref="J22:BN22" si="132">J9</f>
        <v>8.9554909575832145E-4</v>
      </c>
      <c r="K22" s="138">
        <f t="shared" si="132"/>
        <v>1.0734290421002515E-3</v>
      </c>
      <c r="L22" s="138">
        <f t="shared" si="132"/>
        <v>1.2806001366453777E-3</v>
      </c>
      <c r="M22" s="138">
        <f t="shared" si="132"/>
        <v>1.5205825692749132E-3</v>
      </c>
      <c r="N22" s="138">
        <f t="shared" si="132"/>
        <v>1.7970606433347451E-3</v>
      </c>
      <c r="O22" s="138">
        <f t="shared" si="132"/>
        <v>2.1138380906003821E-3</v>
      </c>
      <c r="P22" s="138">
        <f t="shared" si="132"/>
        <v>2.4747821061317154E-3</v>
      </c>
      <c r="Q22" s="138">
        <f t="shared" si="132"/>
        <v>2.8837557680342777E-3</v>
      </c>
      <c r="R22" s="138">
        <f t="shared" si="132"/>
        <v>3.3445388607418985E-3</v>
      </c>
      <c r="S22" s="138">
        <f t="shared" si="132"/>
        <v>3.8607375353975531E-3</v>
      </c>
      <c r="T22" s="138">
        <f t="shared" si="132"/>
        <v>4.4356837089287067E-3</v>
      </c>
      <c r="U22" s="138">
        <f t="shared" si="132"/>
        <v>5.0723256120922544E-3</v>
      </c>
      <c r="V22" s="138">
        <f t="shared" si="132"/>
        <v>5.7731114296112477E-3</v>
      </c>
      <c r="W22" s="138">
        <f t="shared" si="132"/>
        <v>6.5398685122134946E-3</v>
      </c>
      <c r="X22" s="138">
        <f t="shared" si="132"/>
        <v>7.3736811572638105E-3</v>
      </c>
      <c r="Y22" s="138">
        <f t="shared" si="132"/>
        <v>8.2747704255963037E-3</v>
      </c>
      <c r="Z22" s="138">
        <f t="shared" si="132"/>
        <v>9.2423798594956051E-3</v>
      </c>
      <c r="AA22" s="138">
        <f t="shared" si="132"/>
        <v>1.0274671262808344E-2</v>
      </c>
      <c r="AB22" s="138">
        <f t="shared" si="132"/>
        <v>1.1368634872516306E-2</v>
      </c>
      <c r="AC22" s="138">
        <f t="shared" si="132"/>
        <v>1.2520018268380952E-2</v>
      </c>
      <c r="AD22" s="138">
        <f t="shared" si="132"/>
        <v>1.3723278214710382E-2</v>
      </c>
      <c r="AE22" s="138">
        <f t="shared" si="132"/>
        <v>1.4971559293334318E-2</v>
      </c>
      <c r="AF22" s="138">
        <f t="shared" si="132"/>
        <v>1.6256702664512183E-2</v>
      </c>
      <c r="AG22" s="138">
        <f t="shared" si="132"/>
        <v>1.7569287586426296E-2</v>
      </c>
      <c r="AH22" s="138">
        <f t="shared" si="132"/>
        <v>1.889870744718446E-2</v>
      </c>
      <c r="AI22" s="138">
        <f t="shared" si="132"/>
        <v>2.0233281038517882E-2</v>
      </c>
      <c r="AJ22" s="138">
        <f t="shared" si="132"/>
        <v>2.1560398659526678E-2</v>
      </c>
      <c r="AK22" s="138">
        <f t="shared" si="132"/>
        <v>2.2866701422185391E-2</v>
      </c>
      <c r="AL22" s="138">
        <f t="shared" si="132"/>
        <v>2.4138290885081567E-2</v>
      </c>
      <c r="AM22" s="138">
        <f t="shared" si="132"/>
        <v>2.5360964920173507E-2</v>
      </c>
      <c r="AN22" s="138">
        <f t="shared" si="132"/>
        <v>2.6520474573896766E-2</v>
      </c>
      <c r="AO22" s="138">
        <f t="shared" si="132"/>
        <v>2.7602795673207038E-2</v>
      </c>
      <c r="AP22" s="138">
        <f t="shared" si="132"/>
        <v>2.8594408100510629E-2</v>
      </c>
      <c r="AQ22" s="138">
        <f t="shared" si="132"/>
        <v>2.9482575064311123E-2</v>
      </c>
      <c r="AR22" s="138">
        <f t="shared" si="132"/>
        <v>3.0255614361512379E-2</v>
      </c>
      <c r="AS22" s="138">
        <f t="shared" si="132"/>
        <v>3.0903153588346943E-2</v>
      </c>
      <c r="AT22" s="138">
        <f t="shared" si="132"/>
        <v>3.1416361522675275E-2</v>
      </c>
      <c r="AU22" s="138">
        <f t="shared" si="132"/>
        <v>3.1788148469734559E-2</v>
      </c>
      <c r="AV22" s="138">
        <f t="shared" si="132"/>
        <v>3.2013329220694976E-2</v>
      </c>
      <c r="AW22" s="138">
        <f t="shared" si="132"/>
        <v>3.2088743388972024E-2</v>
      </c>
      <c r="AX22" s="138">
        <f t="shared" si="132"/>
        <v>3.2013329220694976E-2</v>
      </c>
      <c r="AY22" s="138">
        <f t="shared" si="132"/>
        <v>3.1788148469734566E-2</v>
      </c>
      <c r="AZ22" s="138">
        <f t="shared" si="132"/>
        <v>3.1416361522675282E-2</v>
      </c>
      <c r="BA22" s="138">
        <f t="shared" si="132"/>
        <v>3.0903153588346947E-2</v>
      </c>
      <c r="BB22" s="138">
        <f t="shared" si="132"/>
        <v>3.0255614361512386E-2</v>
      </c>
      <c r="BC22" s="138">
        <f t="shared" si="132"/>
        <v>2.9482575064311126E-2</v>
      </c>
      <c r="BD22" s="138">
        <f t="shared" si="132"/>
        <v>2.8594408100510633E-2</v>
      </c>
      <c r="BE22" s="138">
        <f t="shared" si="132"/>
        <v>2.7602795673207059E-2</v>
      </c>
      <c r="BF22" s="138">
        <f t="shared" si="132"/>
        <v>2.6520474573896773E-2</v>
      </c>
      <c r="BG22" s="138">
        <f t="shared" si="132"/>
        <v>2.5360964920173517E-2</v>
      </c>
      <c r="BH22" s="138">
        <f t="shared" si="132"/>
        <v>2.4138290885081581E-2</v>
      </c>
      <c r="BI22" s="138">
        <f t="shared" si="132"/>
        <v>2.2866701422185401E-2</v>
      </c>
      <c r="BJ22" s="138">
        <f t="shared" si="132"/>
        <v>2.1560398659526688E-2</v>
      </c>
      <c r="BK22" s="138">
        <f t="shared" si="132"/>
        <v>2.0233281038517896E-2</v>
      </c>
      <c r="BL22" s="138">
        <f t="shared" si="132"/>
        <v>1.8898707447184474E-2</v>
      </c>
      <c r="BM22" s="138">
        <f t="shared" si="132"/>
        <v>0</v>
      </c>
      <c r="BN22" s="138">
        <f t="shared" si="132"/>
        <v>0</v>
      </c>
      <c r="BO22" s="138">
        <f t="shared" ref="BO22:CB22" si="133">BO9</f>
        <v>0</v>
      </c>
      <c r="BP22" s="138">
        <f t="shared" si="133"/>
        <v>0</v>
      </c>
      <c r="BQ22" s="138">
        <f t="shared" si="133"/>
        <v>0</v>
      </c>
      <c r="BR22" s="138">
        <f t="shared" si="133"/>
        <v>0</v>
      </c>
      <c r="BS22" s="138">
        <f t="shared" si="133"/>
        <v>0</v>
      </c>
      <c r="BT22" s="138">
        <f t="shared" si="133"/>
        <v>0</v>
      </c>
      <c r="BU22" s="138">
        <f t="shared" si="133"/>
        <v>0</v>
      </c>
      <c r="BV22" s="138">
        <f t="shared" si="133"/>
        <v>0</v>
      </c>
      <c r="BW22" s="138">
        <f t="shared" si="133"/>
        <v>0</v>
      </c>
      <c r="BX22" s="138">
        <f t="shared" si="133"/>
        <v>0</v>
      </c>
      <c r="BY22" s="138">
        <f t="shared" si="133"/>
        <v>0</v>
      </c>
      <c r="BZ22" s="138">
        <f t="shared" si="133"/>
        <v>0</v>
      </c>
      <c r="CA22" s="138">
        <f t="shared" si="133"/>
        <v>0</v>
      </c>
      <c r="CB22" s="138">
        <f t="shared" si="133"/>
        <v>0</v>
      </c>
      <c r="CC22" s="138">
        <f t="shared" ref="CC22:DE22" si="134">CC9</f>
        <v>0</v>
      </c>
      <c r="CD22" s="138">
        <f t="shared" si="134"/>
        <v>0</v>
      </c>
      <c r="CE22" s="138">
        <f t="shared" si="134"/>
        <v>0</v>
      </c>
      <c r="CF22" s="138">
        <f t="shared" si="134"/>
        <v>0</v>
      </c>
      <c r="CG22" s="138">
        <f t="shared" si="134"/>
        <v>0</v>
      </c>
      <c r="CH22" s="138">
        <f t="shared" si="134"/>
        <v>0</v>
      </c>
      <c r="CI22" s="138">
        <f t="shared" si="134"/>
        <v>0</v>
      </c>
      <c r="CJ22" s="138">
        <f t="shared" si="134"/>
        <v>0</v>
      </c>
      <c r="CK22" s="138">
        <f t="shared" si="134"/>
        <v>0</v>
      </c>
      <c r="CL22" s="138">
        <f t="shared" si="134"/>
        <v>0</v>
      </c>
      <c r="CM22" s="138">
        <f t="shared" si="134"/>
        <v>0</v>
      </c>
      <c r="CN22" s="138">
        <f t="shared" si="134"/>
        <v>0</v>
      </c>
      <c r="CO22" s="138">
        <f t="shared" si="134"/>
        <v>0</v>
      </c>
      <c r="CP22" s="138">
        <f t="shared" si="134"/>
        <v>0</v>
      </c>
      <c r="CQ22" s="138">
        <f t="shared" si="134"/>
        <v>0</v>
      </c>
      <c r="CR22" s="138">
        <f t="shared" si="134"/>
        <v>0</v>
      </c>
      <c r="CS22" s="138">
        <f t="shared" si="134"/>
        <v>0</v>
      </c>
      <c r="CT22" s="138">
        <f t="shared" si="134"/>
        <v>0</v>
      </c>
      <c r="CU22" s="138">
        <f t="shared" si="134"/>
        <v>0</v>
      </c>
      <c r="CV22" s="138">
        <f t="shared" si="134"/>
        <v>0</v>
      </c>
      <c r="CW22" s="138">
        <f t="shared" si="134"/>
        <v>0</v>
      </c>
      <c r="CX22" s="138">
        <f t="shared" si="134"/>
        <v>0</v>
      </c>
      <c r="CY22" s="138">
        <f t="shared" si="134"/>
        <v>0</v>
      </c>
      <c r="CZ22" s="138">
        <f t="shared" si="134"/>
        <v>0</v>
      </c>
      <c r="DA22" s="138">
        <f t="shared" si="134"/>
        <v>0</v>
      </c>
      <c r="DB22" s="138">
        <f t="shared" si="134"/>
        <v>0</v>
      </c>
      <c r="DC22" s="138">
        <f t="shared" si="134"/>
        <v>0</v>
      </c>
      <c r="DD22" s="138">
        <f t="shared" si="134"/>
        <v>0</v>
      </c>
      <c r="DE22" s="243">
        <f t="shared" si="134"/>
        <v>0</v>
      </c>
    </row>
    <row r="23" spans="1:109" outlineLevel="1">
      <c r="B23" s="357" t="s">
        <v>179</v>
      </c>
      <c r="E23" s="169">
        <f>Summary!K18</f>
        <v>3454213</v>
      </c>
      <c r="H23" s="138"/>
      <c r="I23" s="138">
        <f>I9</f>
        <v>0</v>
      </c>
      <c r="J23" s="138">
        <f t="shared" ref="J23:BN23" si="135">J9</f>
        <v>8.9554909575832145E-4</v>
      </c>
      <c r="K23" s="138">
        <f t="shared" si="135"/>
        <v>1.0734290421002515E-3</v>
      </c>
      <c r="L23" s="138">
        <f t="shared" si="135"/>
        <v>1.2806001366453777E-3</v>
      </c>
      <c r="M23" s="138">
        <f t="shared" si="135"/>
        <v>1.5205825692749132E-3</v>
      </c>
      <c r="N23" s="138">
        <f t="shared" si="135"/>
        <v>1.7970606433347451E-3</v>
      </c>
      <c r="O23" s="138">
        <f t="shared" si="135"/>
        <v>2.1138380906003821E-3</v>
      </c>
      <c r="P23" s="138">
        <f t="shared" si="135"/>
        <v>2.4747821061317154E-3</v>
      </c>
      <c r="Q23" s="138">
        <f t="shared" si="135"/>
        <v>2.8837557680342777E-3</v>
      </c>
      <c r="R23" s="138">
        <f t="shared" si="135"/>
        <v>3.3445388607418985E-3</v>
      </c>
      <c r="S23" s="138">
        <f t="shared" si="135"/>
        <v>3.8607375353975531E-3</v>
      </c>
      <c r="T23" s="138">
        <f t="shared" si="135"/>
        <v>4.4356837089287067E-3</v>
      </c>
      <c r="U23" s="138">
        <f t="shared" si="135"/>
        <v>5.0723256120922544E-3</v>
      </c>
      <c r="V23" s="138">
        <f t="shared" si="135"/>
        <v>5.7731114296112477E-3</v>
      </c>
      <c r="W23" s="138">
        <f t="shared" si="135"/>
        <v>6.5398685122134946E-3</v>
      </c>
      <c r="X23" s="138">
        <f t="shared" si="135"/>
        <v>7.3736811572638105E-3</v>
      </c>
      <c r="Y23" s="138">
        <f t="shared" si="135"/>
        <v>8.2747704255963037E-3</v>
      </c>
      <c r="Z23" s="138">
        <f t="shared" si="135"/>
        <v>9.2423798594956051E-3</v>
      </c>
      <c r="AA23" s="138">
        <f t="shared" si="135"/>
        <v>1.0274671262808344E-2</v>
      </c>
      <c r="AB23" s="138">
        <f t="shared" si="135"/>
        <v>1.1368634872516306E-2</v>
      </c>
      <c r="AC23" s="138">
        <f t="shared" si="135"/>
        <v>1.2520018268380952E-2</v>
      </c>
      <c r="AD23" s="138">
        <f t="shared" si="135"/>
        <v>1.3723278214710382E-2</v>
      </c>
      <c r="AE23" s="138">
        <f t="shared" si="135"/>
        <v>1.4971559293334318E-2</v>
      </c>
      <c r="AF23" s="138">
        <f t="shared" si="135"/>
        <v>1.6256702664512183E-2</v>
      </c>
      <c r="AG23" s="138">
        <f t="shared" si="135"/>
        <v>1.7569287586426296E-2</v>
      </c>
      <c r="AH23" s="138">
        <f t="shared" si="135"/>
        <v>1.889870744718446E-2</v>
      </c>
      <c r="AI23" s="138">
        <f t="shared" si="135"/>
        <v>2.0233281038517882E-2</v>
      </c>
      <c r="AJ23" s="138">
        <f t="shared" si="135"/>
        <v>2.1560398659526678E-2</v>
      </c>
      <c r="AK23" s="138">
        <f t="shared" si="135"/>
        <v>2.2866701422185391E-2</v>
      </c>
      <c r="AL23" s="138">
        <f t="shared" si="135"/>
        <v>2.4138290885081567E-2</v>
      </c>
      <c r="AM23" s="138">
        <f t="shared" si="135"/>
        <v>2.5360964920173507E-2</v>
      </c>
      <c r="AN23" s="138">
        <f t="shared" si="135"/>
        <v>2.6520474573896766E-2</v>
      </c>
      <c r="AO23" s="138">
        <f t="shared" si="135"/>
        <v>2.7602795673207038E-2</v>
      </c>
      <c r="AP23" s="138">
        <f t="shared" si="135"/>
        <v>2.8594408100510629E-2</v>
      </c>
      <c r="AQ23" s="138">
        <f t="shared" si="135"/>
        <v>2.9482575064311123E-2</v>
      </c>
      <c r="AR23" s="138">
        <f t="shared" si="135"/>
        <v>3.0255614361512379E-2</v>
      </c>
      <c r="AS23" s="138">
        <f t="shared" si="135"/>
        <v>3.0903153588346943E-2</v>
      </c>
      <c r="AT23" s="138">
        <f t="shared" si="135"/>
        <v>3.1416361522675275E-2</v>
      </c>
      <c r="AU23" s="138">
        <f t="shared" si="135"/>
        <v>3.1788148469734559E-2</v>
      </c>
      <c r="AV23" s="138">
        <f t="shared" si="135"/>
        <v>3.2013329220694976E-2</v>
      </c>
      <c r="AW23" s="138">
        <f t="shared" si="135"/>
        <v>3.2088743388972024E-2</v>
      </c>
      <c r="AX23" s="138">
        <f t="shared" si="135"/>
        <v>3.2013329220694976E-2</v>
      </c>
      <c r="AY23" s="138">
        <f t="shared" si="135"/>
        <v>3.1788148469734566E-2</v>
      </c>
      <c r="AZ23" s="138">
        <f t="shared" si="135"/>
        <v>3.1416361522675282E-2</v>
      </c>
      <c r="BA23" s="138">
        <f t="shared" si="135"/>
        <v>3.0903153588346947E-2</v>
      </c>
      <c r="BB23" s="138">
        <f t="shared" si="135"/>
        <v>3.0255614361512386E-2</v>
      </c>
      <c r="BC23" s="138">
        <f t="shared" si="135"/>
        <v>2.9482575064311126E-2</v>
      </c>
      <c r="BD23" s="138">
        <f t="shared" si="135"/>
        <v>2.8594408100510633E-2</v>
      </c>
      <c r="BE23" s="138">
        <f t="shared" si="135"/>
        <v>2.7602795673207059E-2</v>
      </c>
      <c r="BF23" s="138">
        <f t="shared" si="135"/>
        <v>2.6520474573896773E-2</v>
      </c>
      <c r="BG23" s="138">
        <f t="shared" si="135"/>
        <v>2.5360964920173517E-2</v>
      </c>
      <c r="BH23" s="138">
        <f t="shared" si="135"/>
        <v>2.4138290885081581E-2</v>
      </c>
      <c r="BI23" s="138">
        <f t="shared" si="135"/>
        <v>2.2866701422185401E-2</v>
      </c>
      <c r="BJ23" s="138">
        <f t="shared" si="135"/>
        <v>2.1560398659526688E-2</v>
      </c>
      <c r="BK23" s="138">
        <f t="shared" si="135"/>
        <v>2.0233281038517896E-2</v>
      </c>
      <c r="BL23" s="138">
        <f t="shared" si="135"/>
        <v>1.8898707447184474E-2</v>
      </c>
      <c r="BM23" s="138">
        <f t="shared" si="135"/>
        <v>0</v>
      </c>
      <c r="BN23" s="138">
        <f t="shared" si="135"/>
        <v>0</v>
      </c>
      <c r="BO23" s="138">
        <f t="shared" ref="BO23:CB23" si="136">BO9</f>
        <v>0</v>
      </c>
      <c r="BP23" s="138">
        <f t="shared" si="136"/>
        <v>0</v>
      </c>
      <c r="BQ23" s="138">
        <f t="shared" si="136"/>
        <v>0</v>
      </c>
      <c r="BR23" s="138">
        <f t="shared" si="136"/>
        <v>0</v>
      </c>
      <c r="BS23" s="138">
        <f t="shared" si="136"/>
        <v>0</v>
      </c>
      <c r="BT23" s="138">
        <f t="shared" si="136"/>
        <v>0</v>
      </c>
      <c r="BU23" s="138">
        <f t="shared" si="136"/>
        <v>0</v>
      </c>
      <c r="BV23" s="138">
        <f t="shared" si="136"/>
        <v>0</v>
      </c>
      <c r="BW23" s="138">
        <f t="shared" si="136"/>
        <v>0</v>
      </c>
      <c r="BX23" s="138">
        <f t="shared" si="136"/>
        <v>0</v>
      </c>
      <c r="BY23" s="138">
        <f t="shared" si="136"/>
        <v>0</v>
      </c>
      <c r="BZ23" s="138">
        <f t="shared" si="136"/>
        <v>0</v>
      </c>
      <c r="CA23" s="138">
        <f t="shared" si="136"/>
        <v>0</v>
      </c>
      <c r="CB23" s="138">
        <f t="shared" si="136"/>
        <v>0</v>
      </c>
      <c r="CC23" s="138">
        <f t="shared" ref="CC23:DE23" si="137">CC9</f>
        <v>0</v>
      </c>
      <c r="CD23" s="138">
        <f t="shared" si="137"/>
        <v>0</v>
      </c>
      <c r="CE23" s="138">
        <f t="shared" si="137"/>
        <v>0</v>
      </c>
      <c r="CF23" s="138">
        <f t="shared" si="137"/>
        <v>0</v>
      </c>
      <c r="CG23" s="138">
        <f t="shared" si="137"/>
        <v>0</v>
      </c>
      <c r="CH23" s="138">
        <f t="shared" si="137"/>
        <v>0</v>
      </c>
      <c r="CI23" s="138">
        <f t="shared" si="137"/>
        <v>0</v>
      </c>
      <c r="CJ23" s="138">
        <f t="shared" si="137"/>
        <v>0</v>
      </c>
      <c r="CK23" s="138">
        <f t="shared" si="137"/>
        <v>0</v>
      </c>
      <c r="CL23" s="138">
        <f t="shared" si="137"/>
        <v>0</v>
      </c>
      <c r="CM23" s="138">
        <f t="shared" si="137"/>
        <v>0</v>
      </c>
      <c r="CN23" s="138">
        <f t="shared" si="137"/>
        <v>0</v>
      </c>
      <c r="CO23" s="138">
        <f t="shared" si="137"/>
        <v>0</v>
      </c>
      <c r="CP23" s="138">
        <f t="shared" si="137"/>
        <v>0</v>
      </c>
      <c r="CQ23" s="138">
        <f t="shared" si="137"/>
        <v>0</v>
      </c>
      <c r="CR23" s="138">
        <f t="shared" si="137"/>
        <v>0</v>
      </c>
      <c r="CS23" s="138">
        <f t="shared" si="137"/>
        <v>0</v>
      </c>
      <c r="CT23" s="138">
        <f t="shared" si="137"/>
        <v>0</v>
      </c>
      <c r="CU23" s="138">
        <f t="shared" si="137"/>
        <v>0</v>
      </c>
      <c r="CV23" s="138">
        <f t="shared" si="137"/>
        <v>0</v>
      </c>
      <c r="CW23" s="138">
        <f t="shared" si="137"/>
        <v>0</v>
      </c>
      <c r="CX23" s="138">
        <f t="shared" si="137"/>
        <v>0</v>
      </c>
      <c r="CY23" s="138">
        <f t="shared" si="137"/>
        <v>0</v>
      </c>
      <c r="CZ23" s="138">
        <f t="shared" si="137"/>
        <v>0</v>
      </c>
      <c r="DA23" s="138">
        <f t="shared" si="137"/>
        <v>0</v>
      </c>
      <c r="DB23" s="138">
        <f t="shared" si="137"/>
        <v>0</v>
      </c>
      <c r="DC23" s="138">
        <f t="shared" si="137"/>
        <v>0</v>
      </c>
      <c r="DD23" s="138">
        <f t="shared" si="137"/>
        <v>0</v>
      </c>
      <c r="DE23" s="243">
        <f t="shared" si="137"/>
        <v>0</v>
      </c>
    </row>
    <row r="24" spans="1:109" outlineLevel="1">
      <c r="B24" s="357" t="s">
        <v>280</v>
      </c>
      <c r="E24" s="169">
        <f>Summary!K19</f>
        <v>1702000</v>
      </c>
      <c r="H24" s="138"/>
      <c r="I24" s="138">
        <f>IF(AND(I5&gt;(Summary!$C$11-'Construction Schedule'!$H$17),I5&lt;=Summary!$C$11),LOOKUP(I5-(Summary!$C$11-'Construction Schedule'!$H$17),'Construction Schedule'!$J$5:$BM$5,'Construction Schedule'!$J$17:$BM$17),0%)</f>
        <v>0</v>
      </c>
      <c r="J24" s="138">
        <f>IF(AND(J5&gt;(Summary!$C$11-'Construction Schedule'!$H$17),J5&lt;=Summary!$C$11),LOOKUP(J5-(Summary!$C$11-'Construction Schedule'!$H$17),'Construction Schedule'!$J$5:$BM$5,'Construction Schedule'!$J$17:$BM$17),0%)</f>
        <v>0</v>
      </c>
      <c r="K24" s="138">
        <f>IF(AND(K5&gt;(Summary!$C$11-'Construction Schedule'!$H$17),K5&lt;=Summary!$C$11),LOOKUP(K5-(Summary!$C$11-'Construction Schedule'!$H$17),'Construction Schedule'!$J$5:$BM$5,'Construction Schedule'!$J$17:$BM$17),0%)</f>
        <v>0</v>
      </c>
      <c r="L24" s="138">
        <f>IF(AND(L5&gt;(Summary!$C$11-'Construction Schedule'!$H$17),L5&lt;=Summary!$C$11),LOOKUP(L5-(Summary!$C$11-'Construction Schedule'!$H$17),'Construction Schedule'!$J$5:$BM$5,'Construction Schedule'!$J$17:$BM$17),0%)</f>
        <v>0</v>
      </c>
      <c r="M24" s="138">
        <f>IF(AND(M5&gt;(Summary!$C$11-'Construction Schedule'!$H$17),M5&lt;=Summary!$C$11),LOOKUP(M5-(Summary!$C$11-'Construction Schedule'!$H$17),'Construction Schedule'!$J$5:$BM$5,'Construction Schedule'!$J$17:$BM$17),0%)</f>
        <v>0</v>
      </c>
      <c r="N24" s="138">
        <f>IF(AND(N5&gt;(Summary!$C$11-'Construction Schedule'!$H$17),N5&lt;=Summary!$C$11),LOOKUP(N5-(Summary!$C$11-'Construction Schedule'!$H$17),'Construction Schedule'!$J$5:$BM$5,'Construction Schedule'!$J$17:$BM$17),0%)</f>
        <v>0</v>
      </c>
      <c r="O24" s="138">
        <f>IF(AND(O5&gt;(Summary!$C$11-'Construction Schedule'!$H$17),O5&lt;=Summary!$C$11),LOOKUP(O5-(Summary!$C$11-'Construction Schedule'!$H$17),'Construction Schedule'!$J$5:$BM$5,'Construction Schedule'!$J$17:$BM$17),0%)</f>
        <v>0</v>
      </c>
      <c r="P24" s="138">
        <f>IF(AND(P5&gt;(Summary!$C$11-'Construction Schedule'!$H$17),P5&lt;=Summary!$C$11),LOOKUP(P5-(Summary!$C$11-'Construction Schedule'!$H$17),'Construction Schedule'!$J$5:$BM$5,'Construction Schedule'!$J$17:$BM$17),0%)</f>
        <v>0</v>
      </c>
      <c r="Q24" s="138">
        <f>IF(AND(Q5&gt;(Summary!$C$11-'Construction Schedule'!$H$17),Q5&lt;=Summary!$C$11),LOOKUP(Q5-(Summary!$C$11-'Construction Schedule'!$H$17),'Construction Schedule'!$J$5:$BM$5,'Construction Schedule'!$J$17:$BM$17),0%)</f>
        <v>0</v>
      </c>
      <c r="R24" s="138">
        <f>IF(AND(R5&gt;(Summary!$C$11-'Construction Schedule'!$H$17),R5&lt;=Summary!$C$11),LOOKUP(R5-(Summary!$C$11-'Construction Schedule'!$H$17),'Construction Schedule'!$J$5:$BM$5,'Construction Schedule'!$J$17:$BM$17),0%)</f>
        <v>0</v>
      </c>
      <c r="S24" s="138">
        <f>IF(AND(S5&gt;(Summary!$C$11-'Construction Schedule'!$H$17),S5&lt;=Summary!$C$11),LOOKUP(S5-(Summary!$C$11-'Construction Schedule'!$H$17),'Construction Schedule'!$J$5:$BM$5,'Construction Schedule'!$J$17:$BM$17),0%)</f>
        <v>0</v>
      </c>
      <c r="T24" s="138">
        <f>IF(AND(T5&gt;(Summary!$C$11-'Construction Schedule'!$H$17),T5&lt;=Summary!$C$11),LOOKUP(T5-(Summary!$C$11-'Construction Schedule'!$H$17),'Construction Schedule'!$J$5:$BM$5,'Construction Schedule'!$J$17:$BM$17),0%)</f>
        <v>0</v>
      </c>
      <c r="U24" s="138">
        <f>IF(AND(U5&gt;(Summary!$C$11-'Construction Schedule'!$H$17),U5&lt;=Summary!$C$11),LOOKUP(U5-(Summary!$C$11-'Construction Schedule'!$H$17),'Construction Schedule'!$J$5:$BM$5,'Construction Schedule'!$J$17:$BM$17),0%)</f>
        <v>0</v>
      </c>
      <c r="V24" s="138">
        <f>IF(AND(V5&gt;(Summary!$C$11-'Construction Schedule'!$H$17),V5&lt;=Summary!$C$11),LOOKUP(V5-(Summary!$C$11-'Construction Schedule'!$H$17),'Construction Schedule'!$J$5:$BM$5,'Construction Schedule'!$J$17:$BM$17),0%)</f>
        <v>0</v>
      </c>
      <c r="W24" s="138">
        <f>IF(AND(W5&gt;(Summary!$C$11-'Construction Schedule'!$H$17),W5&lt;=Summary!$C$11),LOOKUP(W5-(Summary!$C$11-'Construction Schedule'!$H$17),'Construction Schedule'!$J$5:$BM$5,'Construction Schedule'!$J$17:$BM$17),0%)</f>
        <v>0</v>
      </c>
      <c r="X24" s="138">
        <f>IF(AND(X5&gt;(Summary!$C$11-'Construction Schedule'!$H$17),X5&lt;=Summary!$C$11),LOOKUP(X5-(Summary!$C$11-'Construction Schedule'!$H$17),'Construction Schedule'!$J$5:$BM$5,'Construction Schedule'!$J$17:$BM$17),0%)</f>
        <v>0</v>
      </c>
      <c r="Y24" s="138">
        <f>IF(AND(Y5&gt;(Summary!$C$11-'Construction Schedule'!$H$17),Y5&lt;=Summary!$C$11),LOOKUP(Y5-(Summary!$C$11-'Construction Schedule'!$H$17),'Construction Schedule'!$J$5:$BM$5,'Construction Schedule'!$J$17:$BM$17),0%)</f>
        <v>0</v>
      </c>
      <c r="Z24" s="138">
        <f>IF(AND(Z5&gt;(Summary!$C$11-'Construction Schedule'!$H$17),Z5&lt;=Summary!$C$11),LOOKUP(Z5-(Summary!$C$11-'Construction Schedule'!$H$17),'Construction Schedule'!$J$5:$BM$5,'Construction Schedule'!$J$17:$BM$17),0%)</f>
        <v>0</v>
      </c>
      <c r="AA24" s="138">
        <f>IF(AND(AA5&gt;(Summary!$C$11-'Construction Schedule'!$H$17),AA5&lt;=Summary!$C$11),LOOKUP(AA5-(Summary!$C$11-'Construction Schedule'!$H$17),'Construction Schedule'!$J$5:$BM$5,'Construction Schedule'!$J$17:$BM$17),0%)</f>
        <v>0</v>
      </c>
      <c r="AB24" s="138">
        <f>IF(AND(AB5&gt;(Summary!$C$11-'Construction Schedule'!$H$17),AB5&lt;=Summary!$C$11),LOOKUP(AB5-(Summary!$C$11-'Construction Schedule'!$H$17),'Construction Schedule'!$J$5:$BM$5,'Construction Schedule'!$J$17:$BM$17),0%)</f>
        <v>0</v>
      </c>
      <c r="AC24" s="138">
        <f>IF(AND(AC5&gt;(Summary!$C$11-'Construction Schedule'!$H$17),AC5&lt;=Summary!$C$11),LOOKUP(AC5-(Summary!$C$11-'Construction Schedule'!$H$17),'Construction Schedule'!$J$5:$BM$5,'Construction Schedule'!$J$17:$BM$17),0%)</f>
        <v>0</v>
      </c>
      <c r="AD24" s="138">
        <f>IF(AND(AD5&gt;(Summary!$C$11-'Construction Schedule'!$H$17),AD5&lt;=Summary!$C$11),LOOKUP(AD5-(Summary!$C$11-'Construction Schedule'!$H$17),'Construction Schedule'!$J$5:$BM$5,'Construction Schedule'!$J$17:$BM$17),0%)</f>
        <v>0</v>
      </c>
      <c r="AE24" s="138">
        <f>IF(AND(AE5&gt;(Summary!$C$11-'Construction Schedule'!$H$17),AE5&lt;=Summary!$C$11),LOOKUP(AE5-(Summary!$C$11-'Construction Schedule'!$H$17),'Construction Schedule'!$J$5:$BM$5,'Construction Schedule'!$J$17:$BM$17),0%)</f>
        <v>0</v>
      </c>
      <c r="AF24" s="138">
        <f>IF(AND(AF5&gt;(Summary!$C$11-'Construction Schedule'!$H$17),AF5&lt;=Summary!$C$11),LOOKUP(AF5-(Summary!$C$11-'Construction Schedule'!$H$17),'Construction Schedule'!$J$5:$BM$5,'Construction Schedule'!$J$17:$BM$17),0%)</f>
        <v>0</v>
      </c>
      <c r="AG24" s="138">
        <f>IF(AND(AG5&gt;(Summary!$C$11-'Construction Schedule'!$H$17),AG5&lt;=Summary!$C$11),LOOKUP(AG5-(Summary!$C$11-'Construction Schedule'!$H$17),'Construction Schedule'!$J$5:$BM$5,'Construction Schedule'!$J$17:$BM$17),0%)</f>
        <v>0</v>
      </c>
      <c r="AH24" s="138">
        <f>IF(AND(AH5&gt;(Summary!$C$11-'Construction Schedule'!$H$17),AH5&lt;=Summary!$C$11),LOOKUP(AH5-(Summary!$C$11-'Construction Schedule'!$H$17),'Construction Schedule'!$J$5:$BM$5,'Construction Schedule'!$J$17:$BM$17),0%)</f>
        <v>0</v>
      </c>
      <c r="AI24" s="138">
        <f>IF(AND(AI5&gt;(Summary!$C$11-'Construction Schedule'!$H$17),AI5&lt;=Summary!$C$11),LOOKUP(AI5-(Summary!$C$11-'Construction Schedule'!$H$17),'Construction Schedule'!$J$5:$BM$5,'Construction Schedule'!$J$17:$BM$17),0%)</f>
        <v>0</v>
      </c>
      <c r="AJ24" s="138">
        <f>IF(AND(AJ5&gt;(Summary!$C$11-'Construction Schedule'!$H$17),AJ5&lt;=Summary!$C$11),LOOKUP(AJ5-(Summary!$C$11-'Construction Schedule'!$H$17),'Construction Schedule'!$J$5:$BM$5,'Construction Schedule'!$J$17:$BM$17),0%)</f>
        <v>0</v>
      </c>
      <c r="AK24" s="138">
        <f>IF(AND(AK5&gt;(Summary!$C$11-'Construction Schedule'!$H$17),AK5&lt;=Summary!$C$11),LOOKUP(AK5-(Summary!$C$11-'Construction Schedule'!$H$17),'Construction Schedule'!$J$5:$BM$5,'Construction Schedule'!$J$17:$BM$17),0%)</f>
        <v>0</v>
      </c>
      <c r="AL24" s="138">
        <f>IF(AND(AL5&gt;(Summary!$C$11-'Construction Schedule'!$H$17),AL5&lt;=Summary!$C$11),LOOKUP(AL5-(Summary!$C$11-'Construction Schedule'!$H$17),'Construction Schedule'!$J$5:$BM$5,'Construction Schedule'!$J$17:$BM$17),0%)</f>
        <v>0</v>
      </c>
      <c r="AM24" s="138">
        <f>IF(AND(AM5&gt;(Summary!$C$11-'Construction Schedule'!$H$17),AM5&lt;=Summary!$C$11),LOOKUP(AM5-(Summary!$C$11-'Construction Schedule'!$H$17),'Construction Schedule'!$J$5:$BM$5,'Construction Schedule'!$J$17:$BM$17),0%)</f>
        <v>0</v>
      </c>
      <c r="AN24" s="138">
        <f>IF(AND(AN5&gt;(Summary!$C$11-'Construction Schedule'!$H$17),AN5&lt;=Summary!$C$11),LOOKUP(AN5-(Summary!$C$11-'Construction Schedule'!$H$17),'Construction Schedule'!$J$5:$BM$5,'Construction Schedule'!$J$17:$BM$17),0%)</f>
        <v>0</v>
      </c>
      <c r="AO24" s="138">
        <f>IF(AND(AO5&gt;(Summary!$C$11-'Construction Schedule'!$H$17),AO5&lt;=Summary!$C$11),LOOKUP(AO5-(Summary!$C$11-'Construction Schedule'!$H$17),'Construction Schedule'!$J$5:$BM$5,'Construction Schedule'!$J$17:$BM$17),0%)</f>
        <v>0</v>
      </c>
      <c r="AP24" s="138">
        <f>IF(AND(AP5&gt;(Summary!$C$11-'Construction Schedule'!$H$17),AP5&lt;=Summary!$C$11),LOOKUP(AP5-(Summary!$C$11-'Construction Schedule'!$H$17),'Construction Schedule'!$J$5:$BM$5,'Construction Schedule'!$J$17:$BM$17),0%)</f>
        <v>0</v>
      </c>
      <c r="AQ24" s="138">
        <f>IF(AND(AQ5&gt;(Summary!$C$11-'Construction Schedule'!$H$17),AQ5&lt;=Summary!$C$11),LOOKUP(AQ5-(Summary!$C$11-'Construction Schedule'!$H$17),'Construction Schedule'!$J$5:$BM$5,'Construction Schedule'!$J$17:$BM$17),0%)</f>
        <v>0</v>
      </c>
      <c r="AR24" s="138">
        <f>IF(AND(AR5&gt;(Summary!$C$11-'Construction Schedule'!$H$17),AR5&lt;=Summary!$C$11),LOOKUP(AR5-(Summary!$C$11-'Construction Schedule'!$H$17),'Construction Schedule'!$J$5:$BM$5,'Construction Schedule'!$J$17:$BM$17),0%)</f>
        <v>0</v>
      </c>
      <c r="AS24" s="138">
        <f>IF(AND(AS5&gt;(Summary!$C$11-'Construction Schedule'!$H$17),AS5&lt;=Summary!$C$11),LOOKUP(AS5-(Summary!$C$11-'Construction Schedule'!$H$17),'Construction Schedule'!$J$5:$BM$5,'Construction Schedule'!$J$17:$BM$17),0%)</f>
        <v>0</v>
      </c>
      <c r="AT24" s="138">
        <f>IF(AND(AT5&gt;(Summary!$C$11-'Construction Schedule'!$H$17),AT5&lt;=Summary!$C$11),LOOKUP(AT5-(Summary!$C$11-'Construction Schedule'!$H$17),'Construction Schedule'!$J$5:$BM$5,'Construction Schedule'!$J$17:$BM$17),0%)</f>
        <v>0</v>
      </c>
      <c r="AU24" s="138">
        <f>IF(AND(AU5&gt;(Summary!$C$11-'Construction Schedule'!$H$17),AU5&lt;=Summary!$C$11),LOOKUP(AU5-(Summary!$C$11-'Construction Schedule'!$H$17),'Construction Schedule'!$J$5:$BM$5,'Construction Schedule'!$J$17:$BM$17),0%)</f>
        <v>0</v>
      </c>
      <c r="AV24" s="138">
        <f>IF(AND(AV5&gt;(Summary!$C$11-'Construction Schedule'!$H$17),AV5&lt;=Summary!$C$11),LOOKUP(AV5-(Summary!$C$11-'Construction Schedule'!$H$17),'Construction Schedule'!$J$5:$BM$5,'Construction Schedule'!$J$17:$BM$17),0%)</f>
        <v>0</v>
      </c>
      <c r="AW24" s="138">
        <f>IF(AND(AW5&gt;(Summary!$C$11-'Construction Schedule'!$H$17),AW5&lt;=Summary!$C$11),LOOKUP(AW5-(Summary!$C$11-'Construction Schedule'!$H$17),'Construction Schedule'!$J$5:$BM$5,'Construction Schedule'!$J$17:$BM$17),0%)</f>
        <v>0</v>
      </c>
      <c r="AX24" s="138">
        <f>IF(AND(AX5&gt;(Summary!$C$11-'Construction Schedule'!$H$17),AX5&lt;=Summary!$C$11),LOOKUP(AX5-(Summary!$C$11-'Construction Schedule'!$H$17),'Construction Schedule'!$J$5:$BM$5,'Construction Schedule'!$J$17:$BM$17),0%)</f>
        <v>2.8066385319947512E-2</v>
      </c>
      <c r="AY24" s="138">
        <f>IF(AND(AY5&gt;(Summary!$C$11-'Construction Schedule'!$H$17),AY5&lt;=Summary!$C$11),LOOKUP(AY5-(Summary!$C$11-'Construction Schedule'!$H$17),'Construction Schedule'!$J$5:$BM$5,'Construction Schedule'!$J$17:$BM$17),0%)</f>
        <v>4.1024951363296737E-2</v>
      </c>
      <c r="AZ24" s="138">
        <f>IF(AND(AZ5&gt;(Summary!$C$11-'Construction Schedule'!$H$17),AZ5&lt;=Summary!$C$11),LOOKUP(AZ5-(Summary!$C$11-'Construction Schedule'!$H$17),'Construction Schedule'!$J$5:$BM$5,'Construction Schedule'!$J$17:$BM$17),0%)</f>
        <v>5.6290192582063935E-2</v>
      </c>
      <c r="BA24" s="138">
        <f>IF(AND(BA5&gt;(Summary!$C$11-'Construction Schedule'!$H$17),BA5&lt;=Summary!$C$11),LOOKUP(BA5-(Summary!$C$11-'Construction Schedule'!$H$17),'Construction Schedule'!$J$5:$BM$5,'Construction Schedule'!$J$17:$BM$17),0%)</f>
        <v>7.2500409936643084E-2</v>
      </c>
      <c r="BB24" s="138">
        <f>IF(AND(BB5&gt;(Summary!$C$11-'Construction Schedule'!$H$17),BB5&lt;=Summary!$C$11),LOOKUP(BB5-(Summary!$C$11-'Construction Schedule'!$H$17),'Construction Schedule'!$J$5:$BM$5,'Construction Schedule'!$J$17:$BM$17),0%)</f>
        <v>8.765390282098863E-2</v>
      </c>
      <c r="BC24" s="138">
        <f>IF(AND(BC5&gt;(Summary!$C$11-'Construction Schedule'!$H$17),BC5&lt;=Summary!$C$11),LOOKUP(BC5-(Summary!$C$11-'Construction Schedule'!$H$17),'Construction Schedule'!$J$5:$BM$5,'Construction Schedule'!$J$17:$BM$17),0%)</f>
        <v>9.9477559436264767E-2</v>
      </c>
      <c r="BD24" s="138">
        <f>IF(AND(BD5&gt;(Summary!$C$11-'Construction Schedule'!$H$17),BD5&lt;=Summary!$C$11),LOOKUP(BD5-(Summary!$C$11-'Construction Schedule'!$H$17),'Construction Schedule'!$J$5:$BM$5,'Construction Schedule'!$J$17:$BM$17),0%)</f>
        <v>0.10597466533590011</v>
      </c>
      <c r="BE24" s="138">
        <f>IF(AND(BE5&gt;(Summary!$C$11-'Construction Schedule'!$H$17),BE5&lt;=Summary!$C$11),LOOKUP(BE5-(Summary!$C$11-'Construction Schedule'!$H$17),'Construction Schedule'!$J$5:$BM$5,'Construction Schedule'!$J$17:$BM$17),0%)</f>
        <v>0.10597466533590008</v>
      </c>
      <c r="BF24" s="138">
        <f>IF(AND(BF5&gt;(Summary!$C$11-'Construction Schedule'!$H$17),BF5&lt;=Summary!$C$11),LOOKUP(BF5-(Summary!$C$11-'Construction Schedule'!$H$17),'Construction Schedule'!$J$5:$BM$5,'Construction Schedule'!$J$17:$BM$17),0%)</f>
        <v>9.9477559436264767E-2</v>
      </c>
      <c r="BG24" s="138">
        <f>IF(AND(BG5&gt;(Summary!$C$11-'Construction Schedule'!$H$17),BG5&lt;=Summary!$C$11),LOOKUP(BG5-(Summary!$C$11-'Construction Schedule'!$H$17),'Construction Schedule'!$J$5:$BM$5,'Construction Schedule'!$J$17:$BM$17),0%)</f>
        <v>8.7653902820988616E-2</v>
      </c>
      <c r="BH24" s="138">
        <f>IF(AND(BH5&gt;(Summary!$C$11-'Construction Schedule'!$H$17),BH5&lt;=Summary!$C$11),LOOKUP(BH5-(Summary!$C$11-'Construction Schedule'!$H$17),'Construction Schedule'!$J$5:$BM$5,'Construction Schedule'!$J$17:$BM$17),0%)</f>
        <v>7.250040993664307E-2</v>
      </c>
      <c r="BI24" s="138">
        <f>IF(AND(BI5&gt;(Summary!$C$11-'Construction Schedule'!$H$17),BI5&lt;=Summary!$C$11),LOOKUP(BI5-(Summary!$C$11-'Construction Schedule'!$H$17),'Construction Schedule'!$J$5:$BM$5,'Construction Schedule'!$J$17:$BM$17),0%)</f>
        <v>5.6290192582063935E-2</v>
      </c>
      <c r="BJ24" s="138">
        <f>IF(AND(BJ5&gt;(Summary!$C$11-'Construction Schedule'!$H$17),BJ5&lt;=Summary!$C$11),LOOKUP(BJ5-(Summary!$C$11-'Construction Schedule'!$H$17),'Construction Schedule'!$J$5:$BM$5,'Construction Schedule'!$J$17:$BM$17),0%)</f>
        <v>4.1024951363296716E-2</v>
      </c>
      <c r="BK24" s="138">
        <f>IF(AND(BK5&gt;(Summary!$C$11-'Construction Schedule'!$H$17),BK5&lt;=Summary!$C$11),LOOKUP(BK5-(Summary!$C$11-'Construction Schedule'!$H$17),'Construction Schedule'!$J$5:$BM$5,'Construction Schedule'!$J$17:$BM$17),0%)</f>
        <v>2.8066385319947498E-2</v>
      </c>
      <c r="BL24" s="138">
        <f>IF(AND(BL5&gt;(Summary!$C$11-'Construction Schedule'!$H$17),BL5&lt;=Summary!$C$11),LOOKUP(BL5-(Summary!$C$11-'Construction Schedule'!$H$17),'Construction Schedule'!$J$5:$BM$5,'Construction Schedule'!$J$17:$BM$17),0%)</f>
        <v>1.802386640979051E-2</v>
      </c>
      <c r="BM24" s="138">
        <f>IF(AND(BM5&gt;(Summary!$C$11-'Construction Schedule'!$H$17),BM5&lt;=Summary!$C$11),LOOKUP(BM5-(Summary!$C$11-'Construction Schedule'!$H$17),'Construction Schedule'!$J$5:$BM$5,'Construction Schedule'!$J$17:$BM$17),0%)</f>
        <v>0</v>
      </c>
      <c r="BN24" s="138">
        <f>IF(AND(BN5&gt;(Summary!$C$11-'Construction Schedule'!$H$17),BN5&lt;=Summary!$C$11),LOOKUP(BN5-(Summary!$C$11-'Construction Schedule'!$H$17),'Construction Schedule'!$J$5:$BM$5,'Construction Schedule'!$J$17:$BM$17),0%)</f>
        <v>0</v>
      </c>
      <c r="BO24" s="138">
        <f>IF(AND(BO5&gt;(Summary!$C$11-'Construction Schedule'!$H$17),BO5&lt;=Summary!$C$11),LOOKUP(BO5-(Summary!$C$11-'Construction Schedule'!$H$17),'Construction Schedule'!$J$5:$BM$5,'Construction Schedule'!$J$17:$BM$17),0%)</f>
        <v>0</v>
      </c>
      <c r="BP24" s="138">
        <f>IF(AND(BP5&gt;(Summary!$C$11-'Construction Schedule'!$H$17),BP5&lt;=Summary!$C$11),LOOKUP(BP5-(Summary!$C$11-'Construction Schedule'!$H$17),'Construction Schedule'!$J$5:$BM$5,'Construction Schedule'!$J$17:$BM$17),0%)</f>
        <v>0</v>
      </c>
      <c r="BQ24" s="138">
        <f>IF(AND(BQ5&gt;(Summary!$C$11-'Construction Schedule'!$H$17),BQ5&lt;=Summary!$C$11),LOOKUP(BQ5-(Summary!$C$11-'Construction Schedule'!$H$17),'Construction Schedule'!$J$5:$BM$5,'Construction Schedule'!$J$17:$BM$17),0%)</f>
        <v>0</v>
      </c>
      <c r="BR24" s="138">
        <f>IF(AND(BR5&gt;(Summary!$C$11-'Construction Schedule'!$H$17),BR5&lt;=Summary!$C$11),LOOKUP(BR5-(Summary!$C$11-'Construction Schedule'!$H$17),'Construction Schedule'!$J$5:$BM$5,'Construction Schedule'!$J$17:$BM$17),0%)</f>
        <v>0</v>
      </c>
      <c r="BS24" s="138">
        <f>IF(AND(BS5&gt;(Summary!$C$11-'Construction Schedule'!$H$17),BS5&lt;=Summary!$C$11),LOOKUP(BS5-(Summary!$C$11-'Construction Schedule'!$H$17),'Construction Schedule'!$J$5:$BM$5,'Construction Schedule'!$J$17:$BM$17),0%)</f>
        <v>0</v>
      </c>
      <c r="BT24" s="138">
        <f>IF(AND(BT5&gt;(Summary!$C$11-'Construction Schedule'!$H$17),BT5&lt;=Summary!$C$11),LOOKUP(BT5-(Summary!$C$11-'Construction Schedule'!$H$17),'Construction Schedule'!$J$5:$BM$5,'Construction Schedule'!$J$17:$BM$17),0%)</f>
        <v>0</v>
      </c>
      <c r="BU24" s="138">
        <f>IF(AND(BU5&gt;(Summary!$C$11-'Construction Schedule'!$H$17),BU5&lt;=Summary!$C$11),LOOKUP(BU5-(Summary!$C$11-'Construction Schedule'!$H$17),'Construction Schedule'!$J$5:$BM$5,'Construction Schedule'!$J$17:$BM$17),0%)</f>
        <v>0</v>
      </c>
      <c r="BV24" s="138">
        <f>IF(AND(BV5&gt;(Summary!$C$11-'Construction Schedule'!$H$17),BV5&lt;=Summary!$C$11),LOOKUP(BV5-(Summary!$C$11-'Construction Schedule'!$H$17),'Construction Schedule'!$J$5:$BM$5,'Construction Schedule'!$J$17:$BM$17),0%)</f>
        <v>0</v>
      </c>
      <c r="BW24" s="138">
        <f>IF(AND(BW5&gt;(Summary!$C$11-'Construction Schedule'!$H$17),BW5&lt;=Summary!$C$11),LOOKUP(BW5-(Summary!$C$11-'Construction Schedule'!$H$17),'Construction Schedule'!$J$5:$BM$5,'Construction Schedule'!$J$17:$BM$17),0%)</f>
        <v>0</v>
      </c>
      <c r="BX24" s="138">
        <f>IF(AND(BX5&gt;(Summary!$C$11-'Construction Schedule'!$H$17),BX5&lt;=Summary!$C$11),LOOKUP(BX5-(Summary!$C$11-'Construction Schedule'!$H$17),'Construction Schedule'!$J$5:$BM$5,'Construction Schedule'!$J$17:$BM$17),0%)</f>
        <v>0</v>
      </c>
      <c r="BY24" s="138">
        <f>IF(AND(BY5&gt;(Summary!$C$11-'Construction Schedule'!$H$17),BY5&lt;=Summary!$C$11),LOOKUP(BY5-(Summary!$C$11-'Construction Schedule'!$H$17),'Construction Schedule'!$J$5:$BM$5,'Construction Schedule'!$J$17:$BM$17),0%)</f>
        <v>0</v>
      </c>
      <c r="BZ24" s="138">
        <f>IF(AND(BZ5&gt;(Summary!$C$11-'Construction Schedule'!$H$17),BZ5&lt;=Summary!$C$11),LOOKUP(BZ5-(Summary!$C$11-'Construction Schedule'!$H$17),'Construction Schedule'!$J$5:$BM$5,'Construction Schedule'!$J$17:$BM$17),0%)</f>
        <v>0</v>
      </c>
      <c r="CA24" s="138">
        <f>IF(AND(CA5&gt;(Summary!$C$11-'Construction Schedule'!$H$17),CA5&lt;=Summary!$C$11),LOOKUP(CA5-(Summary!$C$11-'Construction Schedule'!$H$17),'Construction Schedule'!$J$5:$BM$5,'Construction Schedule'!$J$17:$BM$17),0%)</f>
        <v>0</v>
      </c>
      <c r="CB24" s="138">
        <f>IF(AND(CB5&gt;(Summary!$C$11-'Construction Schedule'!$H$17),CB5&lt;=Summary!$C$11),LOOKUP(CB5-(Summary!$C$11-'Construction Schedule'!$H$17),'Construction Schedule'!$J$5:$BM$5,'Construction Schedule'!$J$17:$BM$17),0%)</f>
        <v>0</v>
      </c>
      <c r="CC24" s="138">
        <f>IF(AND(CC5&gt;(Summary!$C$11-'Construction Schedule'!$H$17),CC5&lt;=Summary!$C$11),LOOKUP(CC5-(Summary!$C$11-'Construction Schedule'!$H$17),'Construction Schedule'!$J$5:$BM$5,'Construction Schedule'!$J$17:$BM$17),0%)</f>
        <v>0</v>
      </c>
      <c r="CD24" s="138">
        <f>IF(AND(CD5&gt;(Summary!$C$11-'Construction Schedule'!$H$17),CD5&lt;=Summary!$C$11),LOOKUP(CD5-(Summary!$C$11-'Construction Schedule'!$H$17),'Construction Schedule'!$J$5:$BM$5,'Construction Schedule'!$J$17:$BM$17),0%)</f>
        <v>0</v>
      </c>
      <c r="CE24" s="138">
        <f>IF(AND(CE5&gt;(Summary!$C$11-'Construction Schedule'!$H$17),CE5&lt;=Summary!$C$11),LOOKUP(CE5-(Summary!$C$11-'Construction Schedule'!$H$17),'Construction Schedule'!$J$5:$BM$5,'Construction Schedule'!$J$17:$BM$17),0%)</f>
        <v>0</v>
      </c>
      <c r="CF24" s="138">
        <f>IF(AND(CF5&gt;(Summary!$C$11-'Construction Schedule'!$H$17),CF5&lt;=Summary!$C$11),LOOKUP(CF5-(Summary!$C$11-'Construction Schedule'!$H$17),'Construction Schedule'!$J$5:$BM$5,'Construction Schedule'!$J$17:$BM$17),0%)</f>
        <v>0</v>
      </c>
      <c r="CG24" s="138">
        <f>IF(AND(CG5&gt;(Summary!$C$11-'Construction Schedule'!$H$17),CG5&lt;=Summary!$C$11),LOOKUP(CG5-(Summary!$C$11-'Construction Schedule'!$H$17),'Construction Schedule'!$J$5:$BM$5,'Construction Schedule'!$J$17:$BM$17),0%)</f>
        <v>0</v>
      </c>
      <c r="CH24" s="138">
        <f>IF(AND(CH5&gt;(Summary!$C$11-'Construction Schedule'!$H$17),CH5&lt;=Summary!$C$11),LOOKUP(CH5-(Summary!$C$11-'Construction Schedule'!$H$17),'Construction Schedule'!$J$5:$BM$5,'Construction Schedule'!$J$17:$BM$17),0%)</f>
        <v>0</v>
      </c>
      <c r="CI24" s="138">
        <f>IF(AND(CI5&gt;(Summary!$C$11-'Construction Schedule'!$H$17),CI5&lt;=Summary!$C$11),LOOKUP(CI5-(Summary!$C$11-'Construction Schedule'!$H$17),'Construction Schedule'!$J$5:$BM$5,'Construction Schedule'!$J$17:$BM$17),0%)</f>
        <v>0</v>
      </c>
      <c r="CJ24" s="138">
        <f>IF(AND(CJ5&gt;(Summary!$C$11-'Construction Schedule'!$H$17),CJ5&lt;=Summary!$C$11),LOOKUP(CJ5-(Summary!$C$11-'Construction Schedule'!$H$17),'Construction Schedule'!$J$5:$BM$5,'Construction Schedule'!$J$17:$BM$17),0%)</f>
        <v>0</v>
      </c>
      <c r="CK24" s="138">
        <f>IF(AND(CK5&gt;(Summary!$C$11-'Construction Schedule'!$H$17),CK5&lt;=Summary!$C$11),LOOKUP(CK5-(Summary!$C$11-'Construction Schedule'!$H$17),'Construction Schedule'!$J$5:$BM$5,'Construction Schedule'!$J$17:$BM$17),0%)</f>
        <v>0</v>
      </c>
      <c r="CL24" s="138">
        <f>IF(AND(CL5&gt;(Summary!$C$11-'Construction Schedule'!$H$17),CL5&lt;=Summary!$C$11),LOOKUP(CL5-(Summary!$C$11-'Construction Schedule'!$H$17),'Construction Schedule'!$J$5:$BM$5,'Construction Schedule'!$J$17:$BM$17),0%)</f>
        <v>0</v>
      </c>
      <c r="CM24" s="138">
        <f>IF(AND(CM5&gt;(Summary!$C$11-'Construction Schedule'!$H$17),CM5&lt;=Summary!$C$11),LOOKUP(CM5-(Summary!$C$11-'Construction Schedule'!$H$17),'Construction Schedule'!$J$5:$BM$5,'Construction Schedule'!$J$17:$BM$17),0%)</f>
        <v>0</v>
      </c>
      <c r="CN24" s="138">
        <f>IF(AND(CN5&gt;(Summary!$C$11-'Construction Schedule'!$H$17),CN5&lt;=Summary!$C$11),LOOKUP(CN5-(Summary!$C$11-'Construction Schedule'!$H$17),'Construction Schedule'!$J$5:$BM$5,'Construction Schedule'!$J$17:$BM$17),0%)</f>
        <v>0</v>
      </c>
      <c r="CO24" s="138">
        <f>IF(AND(CO5&gt;(Summary!$C$11-'Construction Schedule'!$H$17),CO5&lt;=Summary!$C$11),LOOKUP(CO5-(Summary!$C$11-'Construction Schedule'!$H$17),'Construction Schedule'!$J$5:$BM$5,'Construction Schedule'!$J$17:$BM$17),0%)</f>
        <v>0</v>
      </c>
      <c r="CP24" s="138">
        <f>IF(AND(CP5&gt;(Summary!$C$11-'Construction Schedule'!$H$17),CP5&lt;=Summary!$C$11),LOOKUP(CP5-(Summary!$C$11-'Construction Schedule'!$H$17),'Construction Schedule'!$J$5:$BM$5,'Construction Schedule'!$J$17:$BM$17),0%)</f>
        <v>0</v>
      </c>
      <c r="CQ24" s="138">
        <f>IF(AND(CQ5&gt;(Summary!$C$11-'Construction Schedule'!$H$17),CQ5&lt;=Summary!$C$11),LOOKUP(CQ5-(Summary!$C$11-'Construction Schedule'!$H$17),'Construction Schedule'!$J$5:$BM$5,'Construction Schedule'!$J$17:$BM$17),0%)</f>
        <v>0</v>
      </c>
      <c r="CR24" s="138">
        <f>IF(AND(CR5&gt;(Summary!$C$11-'Construction Schedule'!$H$17),CR5&lt;=Summary!$C$11),LOOKUP(CR5-(Summary!$C$11-'Construction Schedule'!$H$17),'Construction Schedule'!$J$5:$BM$5,'Construction Schedule'!$J$17:$BM$17),0%)</f>
        <v>0</v>
      </c>
      <c r="CS24" s="138">
        <f>IF(AND(CS5&gt;(Summary!$C$11-'Construction Schedule'!$H$17),CS5&lt;=Summary!$C$11),LOOKUP(CS5-(Summary!$C$11-'Construction Schedule'!$H$17),'Construction Schedule'!$J$5:$BM$5,'Construction Schedule'!$J$17:$BM$17),0%)</f>
        <v>0</v>
      </c>
      <c r="CT24" s="138">
        <f>IF(AND(CT5&gt;(Summary!$C$11-'Construction Schedule'!$H$17),CT5&lt;=Summary!$C$11),LOOKUP(CT5-(Summary!$C$11-'Construction Schedule'!$H$17),'Construction Schedule'!$J$5:$BM$5,'Construction Schedule'!$J$17:$BM$17),0%)</f>
        <v>0</v>
      </c>
      <c r="CU24" s="138">
        <f>IF(AND(CU5&gt;(Summary!$C$11-'Construction Schedule'!$H$17),CU5&lt;=Summary!$C$11),LOOKUP(CU5-(Summary!$C$11-'Construction Schedule'!$H$17),'Construction Schedule'!$J$5:$BM$5,'Construction Schedule'!$J$17:$BM$17),0%)</f>
        <v>0</v>
      </c>
      <c r="CV24" s="138">
        <f>IF(AND(CV5&gt;(Summary!$C$11-'Construction Schedule'!$H$17),CV5&lt;=Summary!$C$11),LOOKUP(CV5-(Summary!$C$11-'Construction Schedule'!$H$17),'Construction Schedule'!$J$5:$BM$5,'Construction Schedule'!$J$17:$BM$17),0%)</f>
        <v>0</v>
      </c>
      <c r="CW24" s="138">
        <f>IF(AND(CW5&gt;(Summary!$C$11-'Construction Schedule'!$H$17),CW5&lt;=Summary!$C$11),LOOKUP(CW5-(Summary!$C$11-'Construction Schedule'!$H$17),'Construction Schedule'!$J$5:$BM$5,'Construction Schedule'!$J$17:$BM$17),0%)</f>
        <v>0</v>
      </c>
      <c r="CX24" s="138">
        <f>IF(AND(CX5&gt;(Summary!$C$11-'Construction Schedule'!$H$17),CX5&lt;=Summary!$C$11),LOOKUP(CX5-(Summary!$C$11-'Construction Schedule'!$H$17),'Construction Schedule'!$J$5:$BM$5,'Construction Schedule'!$J$17:$BM$17),0%)</f>
        <v>0</v>
      </c>
      <c r="CY24" s="138">
        <f>IF(AND(CY5&gt;(Summary!$C$11-'Construction Schedule'!$H$17),CY5&lt;=Summary!$C$11),LOOKUP(CY5-(Summary!$C$11-'Construction Schedule'!$H$17),'Construction Schedule'!$J$5:$BM$5,'Construction Schedule'!$J$17:$BM$17),0%)</f>
        <v>0</v>
      </c>
      <c r="CZ24" s="138">
        <f>IF(AND(CZ5&gt;(Summary!$C$11-'Construction Schedule'!$H$17),CZ5&lt;=Summary!$C$11),LOOKUP(CZ5-(Summary!$C$11-'Construction Schedule'!$H$17),'Construction Schedule'!$J$5:$BM$5,'Construction Schedule'!$J$17:$BM$17),0%)</f>
        <v>0</v>
      </c>
      <c r="DA24" s="138">
        <f>IF(AND(DA5&gt;(Summary!$C$11-'Construction Schedule'!$H$17),DA5&lt;=Summary!$C$11),LOOKUP(DA5-(Summary!$C$11-'Construction Schedule'!$H$17),'Construction Schedule'!$J$5:$BM$5,'Construction Schedule'!$J$17:$BM$17),0%)</f>
        <v>0</v>
      </c>
      <c r="DB24" s="138">
        <f>IF(AND(DB5&gt;(Summary!$C$11-'Construction Schedule'!$H$17),DB5&lt;=Summary!$C$11),LOOKUP(DB5-(Summary!$C$11-'Construction Schedule'!$H$17),'Construction Schedule'!$J$5:$BM$5,'Construction Schedule'!$J$17:$BM$17),0%)</f>
        <v>0</v>
      </c>
      <c r="DC24" s="138">
        <f>IF(AND(DC5&gt;(Summary!$C$11-'Construction Schedule'!$H$17),DC5&lt;=Summary!$C$11),LOOKUP(DC5-(Summary!$C$11-'Construction Schedule'!$H$17),'Construction Schedule'!$J$5:$BM$5,'Construction Schedule'!$J$17:$BM$17),0%)</f>
        <v>0</v>
      </c>
      <c r="DD24" s="138">
        <f>IF(AND(DD5&gt;(Summary!$C$11-'Construction Schedule'!$H$17),DD5&lt;=Summary!$C$11),LOOKUP(DD5-(Summary!$C$11-'Construction Schedule'!$H$17),'Construction Schedule'!$J$5:$BM$5,'Construction Schedule'!$J$17:$BM$17),0%)</f>
        <v>0</v>
      </c>
      <c r="DE24" s="243">
        <f>IF(AND(DE5&gt;(Summary!$C$11-'Construction Schedule'!$H$17),DE5&lt;=Summary!$C$11),LOOKUP(DE5-(Summary!$C$11-'Construction Schedule'!$H$17),'Construction Schedule'!$J$5:$BM$5,'Construction Schedule'!$J$17:$BM$17),0%)</f>
        <v>0</v>
      </c>
    </row>
    <row r="25" spans="1:109" outlineLevel="1">
      <c r="B25" s="357" t="s">
        <v>279</v>
      </c>
      <c r="E25" s="169">
        <f>Summary!K20</f>
        <v>222329</v>
      </c>
      <c r="I25" s="138">
        <v>1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  <c r="P25" s="138">
        <v>0</v>
      </c>
      <c r="Q25" s="138">
        <v>0</v>
      </c>
      <c r="R25" s="138">
        <v>0</v>
      </c>
      <c r="S25" s="138">
        <v>0</v>
      </c>
      <c r="T25" s="138">
        <v>0</v>
      </c>
      <c r="U25" s="138">
        <v>0</v>
      </c>
      <c r="V25" s="138">
        <v>0</v>
      </c>
      <c r="W25" s="138">
        <v>0</v>
      </c>
      <c r="X25" s="138">
        <v>0</v>
      </c>
      <c r="Y25" s="138">
        <v>0</v>
      </c>
      <c r="Z25" s="138">
        <v>0</v>
      </c>
      <c r="AA25" s="138">
        <v>0</v>
      </c>
      <c r="AB25" s="138">
        <v>0</v>
      </c>
      <c r="AC25" s="138">
        <v>0</v>
      </c>
      <c r="AD25" s="138">
        <v>0</v>
      </c>
      <c r="AE25" s="138">
        <v>0</v>
      </c>
      <c r="AF25" s="138">
        <v>0</v>
      </c>
      <c r="AG25" s="138">
        <v>0</v>
      </c>
      <c r="AH25" s="138">
        <v>0</v>
      </c>
      <c r="AI25" s="138">
        <v>0</v>
      </c>
      <c r="AJ25" s="138">
        <v>0</v>
      </c>
      <c r="AK25" s="138">
        <v>0</v>
      </c>
      <c r="AL25" s="138">
        <v>0</v>
      </c>
      <c r="AM25" s="138">
        <v>0</v>
      </c>
      <c r="AN25" s="138">
        <v>0</v>
      </c>
      <c r="AO25" s="138">
        <v>0</v>
      </c>
      <c r="AP25" s="138">
        <v>0</v>
      </c>
      <c r="AQ25" s="138">
        <v>0</v>
      </c>
      <c r="AR25" s="138">
        <v>0</v>
      </c>
      <c r="AS25" s="138">
        <v>0</v>
      </c>
      <c r="AT25" s="138">
        <v>0</v>
      </c>
      <c r="AU25" s="138">
        <v>0</v>
      </c>
      <c r="AV25" s="138">
        <v>0</v>
      </c>
      <c r="AW25" s="138">
        <v>0</v>
      </c>
      <c r="AX25" s="138">
        <v>0</v>
      </c>
      <c r="AY25" s="138">
        <v>0</v>
      </c>
      <c r="AZ25" s="138">
        <v>0</v>
      </c>
      <c r="BA25" s="138">
        <v>0</v>
      </c>
      <c r="BB25" s="138">
        <v>0</v>
      </c>
      <c r="BC25" s="138">
        <v>0</v>
      </c>
      <c r="BD25" s="138">
        <v>0</v>
      </c>
      <c r="BE25" s="138">
        <v>0</v>
      </c>
      <c r="BF25" s="138">
        <v>0</v>
      </c>
      <c r="BG25" s="138">
        <v>0</v>
      </c>
      <c r="BH25" s="138">
        <v>0</v>
      </c>
      <c r="BI25" s="138">
        <v>0</v>
      </c>
      <c r="BJ25" s="138">
        <v>0</v>
      </c>
      <c r="BK25" s="138">
        <v>0</v>
      </c>
      <c r="BL25" s="138">
        <v>0</v>
      </c>
      <c r="BM25" s="138">
        <v>0</v>
      </c>
      <c r="BN25" s="138">
        <v>0</v>
      </c>
      <c r="BO25" s="138">
        <v>0</v>
      </c>
      <c r="BP25" s="138">
        <v>0</v>
      </c>
      <c r="BQ25" s="138">
        <v>0</v>
      </c>
      <c r="BR25" s="138">
        <v>0</v>
      </c>
      <c r="BS25" s="138">
        <v>0</v>
      </c>
      <c r="BT25" s="138">
        <v>0</v>
      </c>
      <c r="BU25" s="138">
        <v>0</v>
      </c>
      <c r="BV25" s="138">
        <v>0</v>
      </c>
      <c r="BW25" s="138">
        <v>0</v>
      </c>
      <c r="BX25" s="138">
        <v>0</v>
      </c>
      <c r="BY25" s="138">
        <v>0</v>
      </c>
      <c r="BZ25" s="138">
        <v>0</v>
      </c>
      <c r="CA25" s="138">
        <v>0</v>
      </c>
      <c r="CB25" s="138">
        <v>0</v>
      </c>
      <c r="CC25" s="138">
        <v>0</v>
      </c>
      <c r="CD25" s="138">
        <v>0</v>
      </c>
      <c r="CE25" s="138">
        <v>0</v>
      </c>
      <c r="CF25" s="138">
        <v>0</v>
      </c>
      <c r="CG25" s="138">
        <v>0</v>
      </c>
      <c r="CH25" s="138">
        <v>0</v>
      </c>
      <c r="CI25" s="138">
        <v>0</v>
      </c>
      <c r="CJ25" s="138">
        <v>0</v>
      </c>
      <c r="CK25" s="138">
        <v>0</v>
      </c>
      <c r="CL25" s="138">
        <v>0</v>
      </c>
      <c r="CM25" s="138">
        <v>0</v>
      </c>
      <c r="CN25" s="138">
        <v>0</v>
      </c>
      <c r="CO25" s="138">
        <v>0</v>
      </c>
      <c r="CP25" s="138">
        <v>0</v>
      </c>
      <c r="CQ25" s="138">
        <v>0</v>
      </c>
      <c r="CR25" s="138">
        <v>0</v>
      </c>
      <c r="CS25" s="138">
        <v>0</v>
      </c>
      <c r="CT25" s="138">
        <v>0</v>
      </c>
      <c r="CU25" s="138">
        <v>0</v>
      </c>
      <c r="CV25" s="138">
        <v>0</v>
      </c>
      <c r="CW25" s="138">
        <v>0</v>
      </c>
      <c r="CX25" s="138">
        <v>0</v>
      </c>
      <c r="CY25" s="138">
        <v>0</v>
      </c>
      <c r="CZ25" s="138">
        <v>0</v>
      </c>
      <c r="DA25" s="138">
        <v>0</v>
      </c>
      <c r="DB25" s="138">
        <v>0</v>
      </c>
      <c r="DC25" s="138">
        <v>0</v>
      </c>
      <c r="DD25" s="138">
        <v>0</v>
      </c>
      <c r="DE25" s="243">
        <v>0</v>
      </c>
    </row>
    <row r="26" spans="1:109" outlineLevel="1">
      <c r="B26" s="357" t="s">
        <v>180</v>
      </c>
      <c r="E26" s="169">
        <f>Summary!K21</f>
        <v>242550</v>
      </c>
      <c r="H26" s="138"/>
      <c r="I26" s="138">
        <f>IF(AND(I5&gt;(Summary!$C$11-'Construction Schedule'!$H$17),I5&lt;=Summary!$C$11),LOOKUP(I5-(Summary!$C$11-'Construction Schedule'!$H$17),'Construction Schedule'!$J$5:$BM$5,'Construction Schedule'!$J$17:$BM$17),0%)</f>
        <v>0</v>
      </c>
      <c r="J26" s="138">
        <f>IF(AND(J5&gt;(Summary!$C$11-'Construction Schedule'!$H$17),J5&lt;=Summary!$C$11),LOOKUP(J5-(Summary!$C$11-'Construction Schedule'!$H$17),'Construction Schedule'!$J$5:$BM$5,'Construction Schedule'!$J$17:$BM$17),0%)</f>
        <v>0</v>
      </c>
      <c r="K26" s="138">
        <f>IF(AND(K5&gt;(Summary!$C$11-'Construction Schedule'!$H$17),K5&lt;=Summary!$C$11),LOOKUP(K5-(Summary!$C$11-'Construction Schedule'!$H$17),'Construction Schedule'!$J$5:$BM$5,'Construction Schedule'!$J$17:$BM$17),0%)</f>
        <v>0</v>
      </c>
      <c r="L26" s="138">
        <f>IF(AND(L5&gt;(Summary!$C$11-'Construction Schedule'!$H$17),L5&lt;=Summary!$C$11),LOOKUP(L5-(Summary!$C$11-'Construction Schedule'!$H$17),'Construction Schedule'!$J$5:$BM$5,'Construction Schedule'!$J$17:$BM$17),0%)</f>
        <v>0</v>
      </c>
      <c r="M26" s="138">
        <f>IF(AND(M5&gt;(Summary!$C$11-'Construction Schedule'!$H$17),M5&lt;=Summary!$C$11),LOOKUP(M5-(Summary!$C$11-'Construction Schedule'!$H$17),'Construction Schedule'!$J$5:$BM$5,'Construction Schedule'!$J$17:$BM$17),0%)</f>
        <v>0</v>
      </c>
      <c r="N26" s="138">
        <f>IF(AND(N5&gt;(Summary!$C$11-'Construction Schedule'!$H$17),N5&lt;=Summary!$C$11),LOOKUP(N5-(Summary!$C$11-'Construction Schedule'!$H$17),'Construction Schedule'!$J$5:$BM$5,'Construction Schedule'!$J$17:$BM$17),0%)</f>
        <v>0</v>
      </c>
      <c r="O26" s="138">
        <f>IF(AND(O5&gt;(Summary!$C$11-'Construction Schedule'!$H$17),O5&lt;=Summary!$C$11),LOOKUP(O5-(Summary!$C$11-'Construction Schedule'!$H$17),'Construction Schedule'!$J$5:$BM$5,'Construction Schedule'!$J$17:$BM$17),0%)</f>
        <v>0</v>
      </c>
      <c r="P26" s="138">
        <f>IF(AND(P5&gt;(Summary!$C$11-'Construction Schedule'!$H$17),P5&lt;=Summary!$C$11),LOOKUP(P5-(Summary!$C$11-'Construction Schedule'!$H$17),'Construction Schedule'!$J$5:$BM$5,'Construction Schedule'!$J$17:$BM$17),0%)</f>
        <v>0</v>
      </c>
      <c r="Q26" s="138">
        <f>IF(AND(Q5&gt;(Summary!$C$11-'Construction Schedule'!$H$17),Q5&lt;=Summary!$C$11),LOOKUP(Q5-(Summary!$C$11-'Construction Schedule'!$H$17),'Construction Schedule'!$J$5:$BM$5,'Construction Schedule'!$J$17:$BM$17),0%)</f>
        <v>0</v>
      </c>
      <c r="R26" s="138">
        <f>IF(AND(R5&gt;(Summary!$C$11-'Construction Schedule'!$H$17),R5&lt;=Summary!$C$11),LOOKUP(R5-(Summary!$C$11-'Construction Schedule'!$H$17),'Construction Schedule'!$J$5:$BM$5,'Construction Schedule'!$J$17:$BM$17),0%)</f>
        <v>0</v>
      </c>
      <c r="S26" s="138">
        <f>IF(AND(S5&gt;(Summary!$C$11-'Construction Schedule'!$H$17),S5&lt;=Summary!$C$11),LOOKUP(S5-(Summary!$C$11-'Construction Schedule'!$H$17),'Construction Schedule'!$J$5:$BM$5,'Construction Schedule'!$J$17:$BM$17),0%)</f>
        <v>0</v>
      </c>
      <c r="T26" s="138">
        <f>IF(AND(T5&gt;(Summary!$C$11-'Construction Schedule'!$H$17),T5&lt;=Summary!$C$11),LOOKUP(T5-(Summary!$C$11-'Construction Schedule'!$H$17),'Construction Schedule'!$J$5:$BM$5,'Construction Schedule'!$J$17:$BM$17),0%)</f>
        <v>0</v>
      </c>
      <c r="U26" s="138">
        <f>IF(AND(U5&gt;(Summary!$C$11-'Construction Schedule'!$H$17),U5&lt;=Summary!$C$11),LOOKUP(U5-(Summary!$C$11-'Construction Schedule'!$H$17),'Construction Schedule'!$J$5:$BM$5,'Construction Schedule'!$J$17:$BM$17),0%)</f>
        <v>0</v>
      </c>
      <c r="V26" s="138">
        <f>IF(AND(V5&gt;(Summary!$C$11-'Construction Schedule'!$H$17),V5&lt;=Summary!$C$11),LOOKUP(V5-(Summary!$C$11-'Construction Schedule'!$H$17),'Construction Schedule'!$J$5:$BM$5,'Construction Schedule'!$J$17:$BM$17),0%)</f>
        <v>0</v>
      </c>
      <c r="W26" s="138">
        <f>IF(AND(W5&gt;(Summary!$C$11-'Construction Schedule'!$H$17),W5&lt;=Summary!$C$11),LOOKUP(W5-(Summary!$C$11-'Construction Schedule'!$H$17),'Construction Schedule'!$J$5:$BM$5,'Construction Schedule'!$J$17:$BM$17),0%)</f>
        <v>0</v>
      </c>
      <c r="X26" s="138">
        <f>IF(AND(X5&gt;(Summary!$C$11-'Construction Schedule'!$H$17),X5&lt;=Summary!$C$11),LOOKUP(X5-(Summary!$C$11-'Construction Schedule'!$H$17),'Construction Schedule'!$J$5:$BM$5,'Construction Schedule'!$J$17:$BM$17),0%)</f>
        <v>0</v>
      </c>
      <c r="Y26" s="138">
        <f>IF(AND(Y5&gt;(Summary!$C$11-'Construction Schedule'!$H$17),Y5&lt;=Summary!$C$11),LOOKUP(Y5-(Summary!$C$11-'Construction Schedule'!$H$17),'Construction Schedule'!$J$5:$BM$5,'Construction Schedule'!$J$17:$BM$17),0%)</f>
        <v>0</v>
      </c>
      <c r="Z26" s="138">
        <f>IF(AND(Z5&gt;(Summary!$C$11-'Construction Schedule'!$H$17),Z5&lt;=Summary!$C$11),LOOKUP(Z5-(Summary!$C$11-'Construction Schedule'!$H$17),'Construction Schedule'!$J$5:$BM$5,'Construction Schedule'!$J$17:$BM$17),0%)</f>
        <v>0</v>
      </c>
      <c r="AA26" s="138">
        <f>IF(AND(AA5&gt;(Summary!$C$11-'Construction Schedule'!$H$17),AA5&lt;=Summary!$C$11),LOOKUP(AA5-(Summary!$C$11-'Construction Schedule'!$H$17),'Construction Schedule'!$J$5:$BM$5,'Construction Schedule'!$J$17:$BM$17),0%)</f>
        <v>0</v>
      </c>
      <c r="AB26" s="138">
        <f>IF(AND(AB5&gt;(Summary!$C$11-'Construction Schedule'!$H$17),AB5&lt;=Summary!$C$11),LOOKUP(AB5-(Summary!$C$11-'Construction Schedule'!$H$17),'Construction Schedule'!$J$5:$BM$5,'Construction Schedule'!$J$17:$BM$17),0%)</f>
        <v>0</v>
      </c>
      <c r="AC26" s="138">
        <f>IF(AND(AC5&gt;(Summary!$C$11-'Construction Schedule'!$H$17),AC5&lt;=Summary!$C$11),LOOKUP(AC5-(Summary!$C$11-'Construction Schedule'!$H$17),'Construction Schedule'!$J$5:$BM$5,'Construction Schedule'!$J$17:$BM$17),0%)</f>
        <v>0</v>
      </c>
      <c r="AD26" s="138">
        <f>IF(AND(AD5&gt;(Summary!$C$11-'Construction Schedule'!$H$17),AD5&lt;=Summary!$C$11),LOOKUP(AD5-(Summary!$C$11-'Construction Schedule'!$H$17),'Construction Schedule'!$J$5:$BM$5,'Construction Schedule'!$J$17:$BM$17),0%)</f>
        <v>0</v>
      </c>
      <c r="AE26" s="138">
        <f>IF(AND(AE5&gt;(Summary!$C$11-'Construction Schedule'!$H$17),AE5&lt;=Summary!$C$11),LOOKUP(AE5-(Summary!$C$11-'Construction Schedule'!$H$17),'Construction Schedule'!$J$5:$BM$5,'Construction Schedule'!$J$17:$BM$17),0%)</f>
        <v>0</v>
      </c>
      <c r="AF26" s="138">
        <f>IF(AND(AF5&gt;(Summary!$C$11-'Construction Schedule'!$H$17),AF5&lt;=Summary!$C$11),LOOKUP(AF5-(Summary!$C$11-'Construction Schedule'!$H$17),'Construction Schedule'!$J$5:$BM$5,'Construction Schedule'!$J$17:$BM$17),0%)</f>
        <v>0</v>
      </c>
      <c r="AG26" s="138">
        <f>IF(AND(AG5&gt;(Summary!$C$11-'Construction Schedule'!$H$17),AG5&lt;=Summary!$C$11),LOOKUP(AG5-(Summary!$C$11-'Construction Schedule'!$H$17),'Construction Schedule'!$J$5:$BM$5,'Construction Schedule'!$J$17:$BM$17),0%)</f>
        <v>0</v>
      </c>
      <c r="AH26" s="138">
        <f>IF(AND(AH5&gt;(Summary!$C$11-'Construction Schedule'!$H$17),AH5&lt;=Summary!$C$11),LOOKUP(AH5-(Summary!$C$11-'Construction Schedule'!$H$17),'Construction Schedule'!$J$5:$BM$5,'Construction Schedule'!$J$17:$BM$17),0%)</f>
        <v>0</v>
      </c>
      <c r="AI26" s="138">
        <f>IF(AND(AI5&gt;(Summary!$C$11-'Construction Schedule'!$H$17),AI5&lt;=Summary!$C$11),LOOKUP(AI5-(Summary!$C$11-'Construction Schedule'!$H$17),'Construction Schedule'!$J$5:$BM$5,'Construction Schedule'!$J$17:$BM$17),0%)</f>
        <v>0</v>
      </c>
      <c r="AJ26" s="138">
        <f>IF(AND(AJ5&gt;(Summary!$C$11-'Construction Schedule'!$H$17),AJ5&lt;=Summary!$C$11),LOOKUP(AJ5-(Summary!$C$11-'Construction Schedule'!$H$17),'Construction Schedule'!$J$5:$BM$5,'Construction Schedule'!$J$17:$BM$17),0%)</f>
        <v>0</v>
      </c>
      <c r="AK26" s="138">
        <f>IF(AND(AK5&gt;(Summary!$C$11-'Construction Schedule'!$H$17),AK5&lt;=Summary!$C$11),LOOKUP(AK5-(Summary!$C$11-'Construction Schedule'!$H$17),'Construction Schedule'!$J$5:$BM$5,'Construction Schedule'!$J$17:$BM$17),0%)</f>
        <v>0</v>
      </c>
      <c r="AL26" s="138">
        <f>IF(AND(AL5&gt;(Summary!$C$11-'Construction Schedule'!$H$17),AL5&lt;=Summary!$C$11),LOOKUP(AL5-(Summary!$C$11-'Construction Schedule'!$H$17),'Construction Schedule'!$J$5:$BM$5,'Construction Schedule'!$J$17:$BM$17),0%)</f>
        <v>0</v>
      </c>
      <c r="AM26" s="138">
        <f>IF(AND(AM5&gt;(Summary!$C$11-'Construction Schedule'!$H$17),AM5&lt;=Summary!$C$11),LOOKUP(AM5-(Summary!$C$11-'Construction Schedule'!$H$17),'Construction Schedule'!$J$5:$BM$5,'Construction Schedule'!$J$17:$BM$17),0%)</f>
        <v>0</v>
      </c>
      <c r="AN26" s="138">
        <f>IF(AND(AN5&gt;(Summary!$C$11-'Construction Schedule'!$H$17),AN5&lt;=Summary!$C$11),LOOKUP(AN5-(Summary!$C$11-'Construction Schedule'!$H$17),'Construction Schedule'!$J$5:$BM$5,'Construction Schedule'!$J$17:$BM$17),0%)</f>
        <v>0</v>
      </c>
      <c r="AO26" s="138">
        <f>IF(AND(AO5&gt;(Summary!$C$11-'Construction Schedule'!$H$17),AO5&lt;=Summary!$C$11),LOOKUP(AO5-(Summary!$C$11-'Construction Schedule'!$H$17),'Construction Schedule'!$J$5:$BM$5,'Construction Schedule'!$J$17:$BM$17),0%)</f>
        <v>0</v>
      </c>
      <c r="AP26" s="138">
        <f>IF(AND(AP5&gt;(Summary!$C$11-'Construction Schedule'!$H$17),AP5&lt;=Summary!$C$11),LOOKUP(AP5-(Summary!$C$11-'Construction Schedule'!$H$17),'Construction Schedule'!$J$5:$BM$5,'Construction Schedule'!$J$17:$BM$17),0%)</f>
        <v>0</v>
      </c>
      <c r="AQ26" s="138">
        <f>IF(AND(AQ5&gt;(Summary!$C$11-'Construction Schedule'!$H$17),AQ5&lt;=Summary!$C$11),LOOKUP(AQ5-(Summary!$C$11-'Construction Schedule'!$H$17),'Construction Schedule'!$J$5:$BM$5,'Construction Schedule'!$J$17:$BM$17),0%)</f>
        <v>0</v>
      </c>
      <c r="AR26" s="138">
        <f>IF(AND(AR5&gt;(Summary!$C$11-'Construction Schedule'!$H$17),AR5&lt;=Summary!$C$11),LOOKUP(AR5-(Summary!$C$11-'Construction Schedule'!$H$17),'Construction Schedule'!$J$5:$BM$5,'Construction Schedule'!$J$17:$BM$17),0%)</f>
        <v>0</v>
      </c>
      <c r="AS26" s="138">
        <f>IF(AND(AS5&gt;(Summary!$C$11-'Construction Schedule'!$H$17),AS5&lt;=Summary!$C$11),LOOKUP(AS5-(Summary!$C$11-'Construction Schedule'!$H$17),'Construction Schedule'!$J$5:$BM$5,'Construction Schedule'!$J$17:$BM$17),0%)</f>
        <v>0</v>
      </c>
      <c r="AT26" s="138">
        <f>IF(AND(AT5&gt;(Summary!$C$11-'Construction Schedule'!$H$17),AT5&lt;=Summary!$C$11),LOOKUP(AT5-(Summary!$C$11-'Construction Schedule'!$H$17),'Construction Schedule'!$J$5:$BM$5,'Construction Schedule'!$J$17:$BM$17),0%)</f>
        <v>0</v>
      </c>
      <c r="AU26" s="138">
        <f>IF(AND(AU5&gt;(Summary!$C$11-'Construction Schedule'!$H$17),AU5&lt;=Summary!$C$11),LOOKUP(AU5-(Summary!$C$11-'Construction Schedule'!$H$17),'Construction Schedule'!$J$5:$BM$5,'Construction Schedule'!$J$17:$BM$17),0%)</f>
        <v>0</v>
      </c>
      <c r="AV26" s="138">
        <f>IF(AND(AV5&gt;(Summary!$C$11-'Construction Schedule'!$H$17),AV5&lt;=Summary!$C$11),LOOKUP(AV5-(Summary!$C$11-'Construction Schedule'!$H$17),'Construction Schedule'!$J$5:$BM$5,'Construction Schedule'!$J$17:$BM$17),0%)</f>
        <v>0</v>
      </c>
      <c r="AW26" s="138">
        <f>IF(AND(AW5&gt;(Summary!$C$11-'Construction Schedule'!$H$17),AW5&lt;=Summary!$C$11),LOOKUP(AW5-(Summary!$C$11-'Construction Schedule'!$H$17),'Construction Schedule'!$J$5:$BM$5,'Construction Schedule'!$J$17:$BM$17),0%)</f>
        <v>0</v>
      </c>
      <c r="AX26" s="138">
        <f>IF(AND(AX5&gt;(Summary!$C$11-'Construction Schedule'!$H$17),AX5&lt;=Summary!$C$11),LOOKUP(AX5-(Summary!$C$11-'Construction Schedule'!$H$17),'Construction Schedule'!$J$5:$BM$5,'Construction Schedule'!$J$17:$BM$17),0%)</f>
        <v>2.8066385319947512E-2</v>
      </c>
      <c r="AY26" s="138">
        <f>IF(AND(AY5&gt;(Summary!$C$11-'Construction Schedule'!$H$17),AY5&lt;=Summary!$C$11),LOOKUP(AY5-(Summary!$C$11-'Construction Schedule'!$H$17),'Construction Schedule'!$J$5:$BM$5,'Construction Schedule'!$J$17:$BM$17),0%)</f>
        <v>4.1024951363296737E-2</v>
      </c>
      <c r="AZ26" s="138">
        <f>IF(AND(AZ5&gt;(Summary!$C$11-'Construction Schedule'!$H$17),AZ5&lt;=Summary!$C$11),LOOKUP(AZ5-(Summary!$C$11-'Construction Schedule'!$H$17),'Construction Schedule'!$J$5:$BM$5,'Construction Schedule'!$J$17:$BM$17),0%)</f>
        <v>5.6290192582063935E-2</v>
      </c>
      <c r="BA26" s="138">
        <f>IF(AND(BA5&gt;(Summary!$C$11-'Construction Schedule'!$H$17),BA5&lt;=Summary!$C$11),LOOKUP(BA5-(Summary!$C$11-'Construction Schedule'!$H$17),'Construction Schedule'!$J$5:$BM$5,'Construction Schedule'!$J$17:$BM$17),0%)</f>
        <v>7.2500409936643084E-2</v>
      </c>
      <c r="BB26" s="138">
        <f>IF(AND(BB5&gt;(Summary!$C$11-'Construction Schedule'!$H$17),BB5&lt;=Summary!$C$11),LOOKUP(BB5-(Summary!$C$11-'Construction Schedule'!$H$17),'Construction Schedule'!$J$5:$BM$5,'Construction Schedule'!$J$17:$BM$17),0%)</f>
        <v>8.765390282098863E-2</v>
      </c>
      <c r="BC26" s="138">
        <f>IF(AND(BC5&gt;(Summary!$C$11-'Construction Schedule'!$H$17),BC5&lt;=Summary!$C$11),LOOKUP(BC5-(Summary!$C$11-'Construction Schedule'!$H$17),'Construction Schedule'!$J$5:$BM$5,'Construction Schedule'!$J$17:$BM$17),0%)</f>
        <v>9.9477559436264767E-2</v>
      </c>
      <c r="BD26" s="138">
        <f>IF(AND(BD5&gt;(Summary!$C$11-'Construction Schedule'!$H$17),BD5&lt;=Summary!$C$11),LOOKUP(BD5-(Summary!$C$11-'Construction Schedule'!$H$17),'Construction Schedule'!$J$5:$BM$5,'Construction Schedule'!$J$17:$BM$17),0%)</f>
        <v>0.10597466533590011</v>
      </c>
      <c r="BE26" s="138">
        <f>IF(AND(BE5&gt;(Summary!$C$11-'Construction Schedule'!$H$17),BE5&lt;=Summary!$C$11),LOOKUP(BE5-(Summary!$C$11-'Construction Schedule'!$H$17),'Construction Schedule'!$J$5:$BM$5,'Construction Schedule'!$J$17:$BM$17),0%)</f>
        <v>0.10597466533590008</v>
      </c>
      <c r="BF26" s="138">
        <f>IF(AND(BF5&gt;(Summary!$C$11-'Construction Schedule'!$H$17),BF5&lt;=Summary!$C$11),LOOKUP(BF5-(Summary!$C$11-'Construction Schedule'!$H$17),'Construction Schedule'!$J$5:$BM$5,'Construction Schedule'!$J$17:$BM$17),0%)</f>
        <v>9.9477559436264767E-2</v>
      </c>
      <c r="BG26" s="138">
        <f>IF(AND(BG5&gt;(Summary!$C$11-'Construction Schedule'!$H$17),BG5&lt;=Summary!$C$11),LOOKUP(BG5-(Summary!$C$11-'Construction Schedule'!$H$17),'Construction Schedule'!$J$5:$BM$5,'Construction Schedule'!$J$17:$BM$17),0%)</f>
        <v>8.7653902820988616E-2</v>
      </c>
      <c r="BH26" s="138">
        <f>IF(AND(BH5&gt;(Summary!$C$11-'Construction Schedule'!$H$17),BH5&lt;=Summary!$C$11),LOOKUP(BH5-(Summary!$C$11-'Construction Schedule'!$H$17),'Construction Schedule'!$J$5:$BM$5,'Construction Schedule'!$J$17:$BM$17),0%)</f>
        <v>7.250040993664307E-2</v>
      </c>
      <c r="BI26" s="138">
        <f>IF(AND(BI5&gt;(Summary!$C$11-'Construction Schedule'!$H$17),BI5&lt;=Summary!$C$11),LOOKUP(BI5-(Summary!$C$11-'Construction Schedule'!$H$17),'Construction Schedule'!$J$5:$BM$5,'Construction Schedule'!$J$17:$BM$17),0%)</f>
        <v>5.6290192582063935E-2</v>
      </c>
      <c r="BJ26" s="138">
        <f>IF(AND(BJ5&gt;(Summary!$C$11-'Construction Schedule'!$H$17),BJ5&lt;=Summary!$C$11),LOOKUP(BJ5-(Summary!$C$11-'Construction Schedule'!$H$17),'Construction Schedule'!$J$5:$BM$5,'Construction Schedule'!$J$17:$BM$17),0%)</f>
        <v>4.1024951363296716E-2</v>
      </c>
      <c r="BK26" s="138">
        <f>IF(AND(BK5&gt;(Summary!$C$11-'Construction Schedule'!$H$17),BK5&lt;=Summary!$C$11),LOOKUP(BK5-(Summary!$C$11-'Construction Schedule'!$H$17),'Construction Schedule'!$J$5:$BM$5,'Construction Schedule'!$J$17:$BM$17),0%)</f>
        <v>2.8066385319947498E-2</v>
      </c>
      <c r="BL26" s="138">
        <f>IF(AND(BL5&gt;(Summary!$C$11-'Construction Schedule'!$H$17),BL5&lt;=Summary!$C$11),LOOKUP(BL5-(Summary!$C$11-'Construction Schedule'!$H$17),'Construction Schedule'!$J$5:$BM$5,'Construction Schedule'!$J$17:$BM$17),0%)</f>
        <v>1.802386640979051E-2</v>
      </c>
      <c r="BM26" s="138">
        <f>IF(AND(BM5&gt;(Summary!$C$11-'Construction Schedule'!$H$17),BM5&lt;=Summary!$C$11),LOOKUP(BM5-(Summary!$C$11-'Construction Schedule'!$H$17),'Construction Schedule'!$J$5:$BM$5,'Construction Schedule'!$J$17:$BM$17),0%)</f>
        <v>0</v>
      </c>
      <c r="BN26" s="138">
        <f>IF(AND(BN5&gt;(Summary!$C$11-'Construction Schedule'!$H$17),BN5&lt;=Summary!$C$11),LOOKUP(BN5-(Summary!$C$11-'Construction Schedule'!$H$17),'Construction Schedule'!$J$5:$BM$5,'Construction Schedule'!$J$17:$BM$17),0%)</f>
        <v>0</v>
      </c>
      <c r="BO26" s="138">
        <f>IF(AND(BO5&gt;(Summary!$C$11-'Construction Schedule'!$H$17),BO5&lt;=Summary!$C$11),LOOKUP(BO5-(Summary!$C$11-'Construction Schedule'!$H$17),'Construction Schedule'!$J$5:$BM$5,'Construction Schedule'!$J$17:$BM$17),0%)</f>
        <v>0</v>
      </c>
      <c r="BP26" s="138">
        <f>IF(AND(BP5&gt;(Summary!$C$11-'Construction Schedule'!$H$17),BP5&lt;=Summary!$C$11),LOOKUP(BP5-(Summary!$C$11-'Construction Schedule'!$H$17),'Construction Schedule'!$J$5:$BM$5,'Construction Schedule'!$J$17:$BM$17),0%)</f>
        <v>0</v>
      </c>
      <c r="BQ26" s="138">
        <f>IF(AND(BQ5&gt;(Summary!$C$11-'Construction Schedule'!$H$17),BQ5&lt;=Summary!$C$11),LOOKUP(BQ5-(Summary!$C$11-'Construction Schedule'!$H$17),'Construction Schedule'!$J$5:$BM$5,'Construction Schedule'!$J$17:$BM$17),0%)</f>
        <v>0</v>
      </c>
      <c r="BR26" s="138">
        <f>IF(AND(BR5&gt;(Summary!$C$11-'Construction Schedule'!$H$17),BR5&lt;=Summary!$C$11),LOOKUP(BR5-(Summary!$C$11-'Construction Schedule'!$H$17),'Construction Schedule'!$J$5:$BM$5,'Construction Schedule'!$J$17:$BM$17),0%)</f>
        <v>0</v>
      </c>
      <c r="BS26" s="138">
        <f>IF(AND(BS5&gt;(Summary!$C$11-'Construction Schedule'!$H$17),BS5&lt;=Summary!$C$11),LOOKUP(BS5-(Summary!$C$11-'Construction Schedule'!$H$17),'Construction Schedule'!$J$5:$BM$5,'Construction Schedule'!$J$17:$BM$17),0%)</f>
        <v>0</v>
      </c>
      <c r="BT26" s="138">
        <f>IF(AND(BT5&gt;(Summary!$C$11-'Construction Schedule'!$H$17),BT5&lt;=Summary!$C$11),LOOKUP(BT5-(Summary!$C$11-'Construction Schedule'!$H$17),'Construction Schedule'!$J$5:$BM$5,'Construction Schedule'!$J$17:$BM$17),0%)</f>
        <v>0</v>
      </c>
      <c r="BU26" s="138">
        <f>IF(AND(BU5&gt;(Summary!$C$11-'Construction Schedule'!$H$17),BU5&lt;=Summary!$C$11),LOOKUP(BU5-(Summary!$C$11-'Construction Schedule'!$H$17),'Construction Schedule'!$J$5:$BM$5,'Construction Schedule'!$J$17:$BM$17),0%)</f>
        <v>0</v>
      </c>
      <c r="BV26" s="138">
        <f>IF(AND(BV5&gt;(Summary!$C$11-'Construction Schedule'!$H$17),BV5&lt;=Summary!$C$11),LOOKUP(BV5-(Summary!$C$11-'Construction Schedule'!$H$17),'Construction Schedule'!$J$5:$BM$5,'Construction Schedule'!$J$17:$BM$17),0%)</f>
        <v>0</v>
      </c>
      <c r="BW26" s="138">
        <f>IF(AND(BW5&gt;(Summary!$C$11-'Construction Schedule'!$H$17),BW5&lt;=Summary!$C$11),LOOKUP(BW5-(Summary!$C$11-'Construction Schedule'!$H$17),'Construction Schedule'!$J$5:$BM$5,'Construction Schedule'!$J$17:$BM$17),0%)</f>
        <v>0</v>
      </c>
      <c r="BX26" s="138">
        <f>IF(AND(BX5&gt;(Summary!$C$11-'Construction Schedule'!$H$17),BX5&lt;=Summary!$C$11),LOOKUP(BX5-(Summary!$C$11-'Construction Schedule'!$H$17),'Construction Schedule'!$J$5:$BM$5,'Construction Schedule'!$J$17:$BM$17),0%)</f>
        <v>0</v>
      </c>
      <c r="BY26" s="138">
        <f>IF(AND(BY5&gt;(Summary!$C$11-'Construction Schedule'!$H$17),BY5&lt;=Summary!$C$11),LOOKUP(BY5-(Summary!$C$11-'Construction Schedule'!$H$17),'Construction Schedule'!$J$5:$BM$5,'Construction Schedule'!$J$17:$BM$17),0%)</f>
        <v>0</v>
      </c>
      <c r="BZ26" s="138">
        <f>IF(AND(BZ5&gt;(Summary!$C$11-'Construction Schedule'!$H$17),BZ5&lt;=Summary!$C$11),LOOKUP(BZ5-(Summary!$C$11-'Construction Schedule'!$H$17),'Construction Schedule'!$J$5:$BM$5,'Construction Schedule'!$J$17:$BM$17),0%)</f>
        <v>0</v>
      </c>
      <c r="CA26" s="138">
        <f>IF(AND(CA5&gt;(Summary!$C$11-'Construction Schedule'!$H$17),CA5&lt;=Summary!$C$11),LOOKUP(CA5-(Summary!$C$11-'Construction Schedule'!$H$17),'Construction Schedule'!$J$5:$BM$5,'Construction Schedule'!$J$17:$BM$17),0%)</f>
        <v>0</v>
      </c>
      <c r="CB26" s="138">
        <f>IF(AND(CB5&gt;(Summary!$C$11-'Construction Schedule'!$H$17),CB5&lt;=Summary!$C$11),LOOKUP(CB5-(Summary!$C$11-'Construction Schedule'!$H$17),'Construction Schedule'!$J$5:$BM$5,'Construction Schedule'!$J$17:$BM$17),0%)</f>
        <v>0</v>
      </c>
      <c r="CC26" s="138">
        <f>IF(AND(CC5&gt;(Summary!$C$11-'Construction Schedule'!$H$17),CC5&lt;=Summary!$C$11),LOOKUP(CC5-(Summary!$C$11-'Construction Schedule'!$H$17),'Construction Schedule'!$J$5:$BM$5,'Construction Schedule'!$J$17:$BM$17),0%)</f>
        <v>0</v>
      </c>
      <c r="CD26" s="138">
        <f>IF(AND(CD5&gt;(Summary!$C$11-'Construction Schedule'!$H$17),CD5&lt;=Summary!$C$11),LOOKUP(CD5-(Summary!$C$11-'Construction Schedule'!$H$17),'Construction Schedule'!$J$5:$BM$5,'Construction Schedule'!$J$17:$BM$17),0%)</f>
        <v>0</v>
      </c>
      <c r="CE26" s="138">
        <f>IF(AND(CE5&gt;(Summary!$C$11-'Construction Schedule'!$H$17),CE5&lt;=Summary!$C$11),LOOKUP(CE5-(Summary!$C$11-'Construction Schedule'!$H$17),'Construction Schedule'!$J$5:$BM$5,'Construction Schedule'!$J$17:$BM$17),0%)</f>
        <v>0</v>
      </c>
      <c r="CF26" s="138">
        <f>IF(AND(CF5&gt;(Summary!$C$11-'Construction Schedule'!$H$17),CF5&lt;=Summary!$C$11),LOOKUP(CF5-(Summary!$C$11-'Construction Schedule'!$H$17),'Construction Schedule'!$J$5:$BM$5,'Construction Schedule'!$J$17:$BM$17),0%)</f>
        <v>0</v>
      </c>
      <c r="CG26" s="138">
        <f>IF(AND(CG5&gt;(Summary!$C$11-'Construction Schedule'!$H$17),CG5&lt;=Summary!$C$11),LOOKUP(CG5-(Summary!$C$11-'Construction Schedule'!$H$17),'Construction Schedule'!$J$5:$BM$5,'Construction Schedule'!$J$17:$BM$17),0%)</f>
        <v>0</v>
      </c>
      <c r="CH26" s="138">
        <f>IF(AND(CH5&gt;(Summary!$C$11-'Construction Schedule'!$H$17),CH5&lt;=Summary!$C$11),LOOKUP(CH5-(Summary!$C$11-'Construction Schedule'!$H$17),'Construction Schedule'!$J$5:$BM$5,'Construction Schedule'!$J$17:$BM$17),0%)</f>
        <v>0</v>
      </c>
      <c r="CI26" s="138">
        <f>IF(AND(CI5&gt;(Summary!$C$11-'Construction Schedule'!$H$17),CI5&lt;=Summary!$C$11),LOOKUP(CI5-(Summary!$C$11-'Construction Schedule'!$H$17),'Construction Schedule'!$J$5:$BM$5,'Construction Schedule'!$J$17:$BM$17),0%)</f>
        <v>0</v>
      </c>
      <c r="CJ26" s="138">
        <f>IF(AND(CJ5&gt;(Summary!$C$11-'Construction Schedule'!$H$17),CJ5&lt;=Summary!$C$11),LOOKUP(CJ5-(Summary!$C$11-'Construction Schedule'!$H$17),'Construction Schedule'!$J$5:$BM$5,'Construction Schedule'!$J$17:$BM$17),0%)</f>
        <v>0</v>
      </c>
      <c r="CK26" s="138">
        <f>IF(AND(CK5&gt;(Summary!$C$11-'Construction Schedule'!$H$17),CK5&lt;=Summary!$C$11),LOOKUP(CK5-(Summary!$C$11-'Construction Schedule'!$H$17),'Construction Schedule'!$J$5:$BM$5,'Construction Schedule'!$J$17:$BM$17),0%)</f>
        <v>0</v>
      </c>
      <c r="CL26" s="138">
        <f>IF(AND(CL5&gt;(Summary!$C$11-'Construction Schedule'!$H$17),CL5&lt;=Summary!$C$11),LOOKUP(CL5-(Summary!$C$11-'Construction Schedule'!$H$17),'Construction Schedule'!$J$5:$BM$5,'Construction Schedule'!$J$17:$BM$17),0%)</f>
        <v>0</v>
      </c>
      <c r="CM26" s="138">
        <f>IF(AND(CM5&gt;(Summary!$C$11-'Construction Schedule'!$H$17),CM5&lt;=Summary!$C$11),LOOKUP(CM5-(Summary!$C$11-'Construction Schedule'!$H$17),'Construction Schedule'!$J$5:$BM$5,'Construction Schedule'!$J$17:$BM$17),0%)</f>
        <v>0</v>
      </c>
      <c r="CN26" s="138">
        <f>IF(AND(CN5&gt;(Summary!$C$11-'Construction Schedule'!$H$17),CN5&lt;=Summary!$C$11),LOOKUP(CN5-(Summary!$C$11-'Construction Schedule'!$H$17),'Construction Schedule'!$J$5:$BM$5,'Construction Schedule'!$J$17:$BM$17),0%)</f>
        <v>0</v>
      </c>
      <c r="CO26" s="138">
        <f>IF(AND(CO5&gt;(Summary!$C$11-'Construction Schedule'!$H$17),CO5&lt;=Summary!$C$11),LOOKUP(CO5-(Summary!$C$11-'Construction Schedule'!$H$17),'Construction Schedule'!$J$5:$BM$5,'Construction Schedule'!$J$17:$BM$17),0%)</f>
        <v>0</v>
      </c>
      <c r="CP26" s="138">
        <f>IF(AND(CP5&gt;(Summary!$C$11-'Construction Schedule'!$H$17),CP5&lt;=Summary!$C$11),LOOKUP(CP5-(Summary!$C$11-'Construction Schedule'!$H$17),'Construction Schedule'!$J$5:$BM$5,'Construction Schedule'!$J$17:$BM$17),0%)</f>
        <v>0</v>
      </c>
      <c r="CQ26" s="138">
        <f>IF(AND(CQ5&gt;(Summary!$C$11-'Construction Schedule'!$H$17),CQ5&lt;=Summary!$C$11),LOOKUP(CQ5-(Summary!$C$11-'Construction Schedule'!$H$17),'Construction Schedule'!$J$5:$BM$5,'Construction Schedule'!$J$17:$BM$17),0%)</f>
        <v>0</v>
      </c>
      <c r="CR26" s="138">
        <f>IF(AND(CR5&gt;(Summary!$C$11-'Construction Schedule'!$H$17),CR5&lt;=Summary!$C$11),LOOKUP(CR5-(Summary!$C$11-'Construction Schedule'!$H$17),'Construction Schedule'!$J$5:$BM$5,'Construction Schedule'!$J$17:$BM$17),0%)</f>
        <v>0</v>
      </c>
      <c r="CS26" s="138">
        <f>IF(AND(CS5&gt;(Summary!$C$11-'Construction Schedule'!$H$17),CS5&lt;=Summary!$C$11),LOOKUP(CS5-(Summary!$C$11-'Construction Schedule'!$H$17),'Construction Schedule'!$J$5:$BM$5,'Construction Schedule'!$J$17:$BM$17),0%)</f>
        <v>0</v>
      </c>
      <c r="CT26" s="138">
        <f>IF(AND(CT5&gt;(Summary!$C$11-'Construction Schedule'!$H$17),CT5&lt;=Summary!$C$11),LOOKUP(CT5-(Summary!$C$11-'Construction Schedule'!$H$17),'Construction Schedule'!$J$5:$BM$5,'Construction Schedule'!$J$17:$BM$17),0%)</f>
        <v>0</v>
      </c>
      <c r="CU26" s="138">
        <f>IF(AND(CU5&gt;(Summary!$C$11-'Construction Schedule'!$H$17),CU5&lt;=Summary!$C$11),LOOKUP(CU5-(Summary!$C$11-'Construction Schedule'!$H$17),'Construction Schedule'!$J$5:$BM$5,'Construction Schedule'!$J$17:$BM$17),0%)</f>
        <v>0</v>
      </c>
      <c r="CV26" s="138">
        <f>IF(AND(CV5&gt;(Summary!$C$11-'Construction Schedule'!$H$17),CV5&lt;=Summary!$C$11),LOOKUP(CV5-(Summary!$C$11-'Construction Schedule'!$H$17),'Construction Schedule'!$J$5:$BM$5,'Construction Schedule'!$J$17:$BM$17),0%)</f>
        <v>0</v>
      </c>
      <c r="CW26" s="138">
        <f>IF(AND(CW5&gt;(Summary!$C$11-'Construction Schedule'!$H$17),CW5&lt;=Summary!$C$11),LOOKUP(CW5-(Summary!$C$11-'Construction Schedule'!$H$17),'Construction Schedule'!$J$5:$BM$5,'Construction Schedule'!$J$17:$BM$17),0%)</f>
        <v>0</v>
      </c>
      <c r="CX26" s="138">
        <f>IF(AND(CX5&gt;(Summary!$C$11-'Construction Schedule'!$H$17),CX5&lt;=Summary!$C$11),LOOKUP(CX5-(Summary!$C$11-'Construction Schedule'!$H$17),'Construction Schedule'!$J$5:$BM$5,'Construction Schedule'!$J$17:$BM$17),0%)</f>
        <v>0</v>
      </c>
      <c r="CY26" s="138">
        <f>IF(AND(CY5&gt;(Summary!$C$11-'Construction Schedule'!$H$17),CY5&lt;=Summary!$C$11),LOOKUP(CY5-(Summary!$C$11-'Construction Schedule'!$H$17),'Construction Schedule'!$J$5:$BM$5,'Construction Schedule'!$J$17:$BM$17),0%)</f>
        <v>0</v>
      </c>
      <c r="CZ26" s="138">
        <f>IF(AND(CZ5&gt;(Summary!$C$11-'Construction Schedule'!$H$17),CZ5&lt;=Summary!$C$11),LOOKUP(CZ5-(Summary!$C$11-'Construction Schedule'!$H$17),'Construction Schedule'!$J$5:$BM$5,'Construction Schedule'!$J$17:$BM$17),0%)</f>
        <v>0</v>
      </c>
      <c r="DA26" s="138">
        <f>IF(AND(DA5&gt;(Summary!$C$11-'Construction Schedule'!$H$17),DA5&lt;=Summary!$C$11),LOOKUP(DA5-(Summary!$C$11-'Construction Schedule'!$H$17),'Construction Schedule'!$J$5:$BM$5,'Construction Schedule'!$J$17:$BM$17),0%)</f>
        <v>0</v>
      </c>
      <c r="DB26" s="138">
        <f>IF(AND(DB5&gt;(Summary!$C$11-'Construction Schedule'!$H$17),DB5&lt;=Summary!$C$11),LOOKUP(DB5-(Summary!$C$11-'Construction Schedule'!$H$17),'Construction Schedule'!$J$5:$BM$5,'Construction Schedule'!$J$17:$BM$17),0%)</f>
        <v>0</v>
      </c>
      <c r="DC26" s="138">
        <f>IF(AND(DC5&gt;(Summary!$C$11-'Construction Schedule'!$H$17),DC5&lt;=Summary!$C$11),LOOKUP(DC5-(Summary!$C$11-'Construction Schedule'!$H$17),'Construction Schedule'!$J$5:$BM$5,'Construction Schedule'!$J$17:$BM$17),0%)</f>
        <v>0</v>
      </c>
      <c r="DD26" s="138">
        <f>IF(AND(DD5&gt;(Summary!$C$11-'Construction Schedule'!$H$17),DD5&lt;=Summary!$C$11),LOOKUP(DD5-(Summary!$C$11-'Construction Schedule'!$H$17),'Construction Schedule'!$J$5:$BM$5,'Construction Schedule'!$J$17:$BM$17),0%)</f>
        <v>0</v>
      </c>
      <c r="DE26" s="243">
        <f>IF(AND(DE5&gt;(Summary!$C$11-'Construction Schedule'!$H$17),DE5&lt;=Summary!$C$11),LOOKUP(DE5-(Summary!$C$11-'Construction Schedule'!$H$17),'Construction Schedule'!$J$5:$BM$5,'Construction Schedule'!$J$17:$BM$17),0%)</f>
        <v>0</v>
      </c>
    </row>
    <row r="27" spans="1:109" outlineLevel="1">
      <c r="B27" s="357" t="s">
        <v>181</v>
      </c>
      <c r="E27" s="169">
        <f ca="1">Summary!K22</f>
        <v>7371860.9385830183</v>
      </c>
      <c r="I27" s="138">
        <v>0</v>
      </c>
      <c r="J27" s="138">
        <v>0</v>
      </c>
      <c r="K27" s="138">
        <v>0</v>
      </c>
      <c r="L27" s="138">
        <v>0</v>
      </c>
      <c r="M27" s="138">
        <v>0</v>
      </c>
      <c r="N27" s="138">
        <v>0</v>
      </c>
      <c r="O27" s="138">
        <v>0</v>
      </c>
      <c r="P27" s="138">
        <v>0</v>
      </c>
      <c r="Q27" s="138">
        <v>0</v>
      </c>
      <c r="R27" s="138">
        <v>0</v>
      </c>
      <c r="S27" s="138">
        <v>0</v>
      </c>
      <c r="T27" s="138">
        <v>0</v>
      </c>
      <c r="U27" s="138">
        <v>0</v>
      </c>
      <c r="V27" s="138">
        <v>0</v>
      </c>
      <c r="W27" s="138">
        <v>0</v>
      </c>
      <c r="X27" s="138">
        <v>0</v>
      </c>
      <c r="Y27" s="138">
        <v>0</v>
      </c>
      <c r="Z27" s="138">
        <v>0</v>
      </c>
      <c r="AA27" s="138">
        <v>0</v>
      </c>
      <c r="AB27" s="138">
        <v>0</v>
      </c>
      <c r="AC27" s="138">
        <v>0</v>
      </c>
      <c r="AD27" s="138">
        <v>0</v>
      </c>
      <c r="AE27" s="138">
        <v>0</v>
      </c>
      <c r="AF27" s="138">
        <v>0</v>
      </c>
      <c r="AG27" s="138">
        <v>0</v>
      </c>
      <c r="AH27" s="138">
        <v>0</v>
      </c>
      <c r="AI27" s="138">
        <v>0</v>
      </c>
      <c r="AJ27" s="138">
        <v>0</v>
      </c>
      <c r="AK27" s="138">
        <v>0</v>
      </c>
      <c r="AL27" s="138">
        <v>0</v>
      </c>
      <c r="AM27" s="138">
        <v>0</v>
      </c>
      <c r="AN27" s="138">
        <v>0</v>
      </c>
      <c r="AO27" s="138">
        <v>0</v>
      </c>
      <c r="AP27" s="138">
        <v>0</v>
      </c>
      <c r="AQ27" s="138">
        <v>0</v>
      </c>
      <c r="AR27" s="138">
        <v>0</v>
      </c>
      <c r="AS27" s="138">
        <v>0</v>
      </c>
      <c r="AT27" s="138">
        <v>0</v>
      </c>
      <c r="AU27" s="138">
        <v>0</v>
      </c>
      <c r="AV27" s="138">
        <v>0</v>
      </c>
      <c r="AW27" s="138">
        <v>0</v>
      </c>
      <c r="AX27" s="138">
        <v>0</v>
      </c>
      <c r="AY27" s="138">
        <v>0</v>
      </c>
      <c r="AZ27" s="138">
        <v>0</v>
      </c>
      <c r="BA27" s="138">
        <v>0</v>
      </c>
      <c r="BB27" s="138">
        <v>0</v>
      </c>
      <c r="BC27" s="138">
        <v>0</v>
      </c>
      <c r="BD27" s="138">
        <v>0</v>
      </c>
      <c r="BE27" s="138">
        <v>0</v>
      </c>
      <c r="BF27" s="138">
        <v>0</v>
      </c>
      <c r="BG27" s="138">
        <v>0</v>
      </c>
      <c r="BH27" s="138">
        <v>0</v>
      </c>
      <c r="BI27" s="138">
        <v>0</v>
      </c>
      <c r="BJ27" s="138">
        <v>0</v>
      </c>
      <c r="BK27" s="138">
        <v>0</v>
      </c>
      <c r="BL27" s="138">
        <v>0</v>
      </c>
      <c r="BM27" s="138">
        <v>0</v>
      </c>
      <c r="BN27" s="138">
        <v>0</v>
      </c>
      <c r="BO27" s="138">
        <v>0</v>
      </c>
      <c r="BP27" s="138">
        <v>0</v>
      </c>
      <c r="BQ27" s="138">
        <v>0</v>
      </c>
      <c r="BR27" s="138">
        <v>0</v>
      </c>
      <c r="BS27" s="138">
        <v>0</v>
      </c>
      <c r="BT27" s="138">
        <v>0</v>
      </c>
      <c r="BU27" s="138">
        <v>0</v>
      </c>
      <c r="BV27" s="138">
        <v>0</v>
      </c>
      <c r="BW27" s="138">
        <v>0</v>
      </c>
      <c r="BX27" s="138">
        <v>0</v>
      </c>
      <c r="BY27" s="138">
        <v>0</v>
      </c>
      <c r="BZ27" s="138">
        <v>0</v>
      </c>
      <c r="CA27" s="138">
        <v>0</v>
      </c>
      <c r="CB27" s="138">
        <v>0</v>
      </c>
      <c r="CC27" s="138">
        <v>0</v>
      </c>
      <c r="CD27" s="138">
        <v>0</v>
      </c>
      <c r="CE27" s="138">
        <v>0</v>
      </c>
      <c r="CF27" s="138">
        <v>0</v>
      </c>
      <c r="CG27" s="138">
        <v>0</v>
      </c>
      <c r="CH27" s="138">
        <v>0</v>
      </c>
      <c r="CI27" s="138">
        <v>0</v>
      </c>
      <c r="CJ27" s="138">
        <v>0</v>
      </c>
      <c r="CK27" s="138">
        <v>0</v>
      </c>
      <c r="CL27" s="138">
        <v>0</v>
      </c>
      <c r="CM27" s="138">
        <v>0</v>
      </c>
      <c r="CN27" s="138">
        <v>0</v>
      </c>
      <c r="CO27" s="138">
        <v>0</v>
      </c>
      <c r="CP27" s="138">
        <v>0</v>
      </c>
      <c r="CQ27" s="138">
        <v>0</v>
      </c>
      <c r="CR27" s="138">
        <v>0</v>
      </c>
      <c r="CS27" s="138">
        <v>0</v>
      </c>
      <c r="CT27" s="138">
        <v>0</v>
      </c>
      <c r="CU27" s="138">
        <v>0</v>
      </c>
      <c r="CV27" s="138">
        <v>0</v>
      </c>
      <c r="CW27" s="138">
        <v>0</v>
      </c>
      <c r="CX27" s="138">
        <v>0</v>
      </c>
      <c r="CY27" s="138">
        <v>0</v>
      </c>
      <c r="CZ27" s="138">
        <v>0</v>
      </c>
      <c r="DA27" s="138">
        <v>0</v>
      </c>
      <c r="DB27" s="138">
        <v>0</v>
      </c>
      <c r="DC27" s="138">
        <v>0</v>
      </c>
      <c r="DD27" s="138">
        <v>0</v>
      </c>
      <c r="DE27" s="243">
        <v>0</v>
      </c>
    </row>
    <row r="28" spans="1:109" outlineLevel="1">
      <c r="B28" s="357" t="s">
        <v>182</v>
      </c>
      <c r="E28" s="169">
        <f>Summary!K23</f>
        <v>1482849.74</v>
      </c>
      <c r="I28" s="138">
        <f t="shared" ref="I28:AN28" si="138">I9</f>
        <v>0</v>
      </c>
      <c r="J28" s="138">
        <f t="shared" si="138"/>
        <v>8.9554909575832145E-4</v>
      </c>
      <c r="K28" s="138">
        <f t="shared" si="138"/>
        <v>1.0734290421002515E-3</v>
      </c>
      <c r="L28" s="138">
        <f t="shared" si="138"/>
        <v>1.2806001366453777E-3</v>
      </c>
      <c r="M28" s="138">
        <f t="shared" si="138"/>
        <v>1.5205825692749132E-3</v>
      </c>
      <c r="N28" s="138">
        <f t="shared" si="138"/>
        <v>1.7970606433347451E-3</v>
      </c>
      <c r="O28" s="138">
        <f t="shared" si="138"/>
        <v>2.1138380906003821E-3</v>
      </c>
      <c r="P28" s="138">
        <f t="shared" si="138"/>
        <v>2.4747821061317154E-3</v>
      </c>
      <c r="Q28" s="138">
        <f t="shared" si="138"/>
        <v>2.8837557680342777E-3</v>
      </c>
      <c r="R28" s="138">
        <f t="shared" si="138"/>
        <v>3.3445388607418985E-3</v>
      </c>
      <c r="S28" s="138">
        <f t="shared" si="138"/>
        <v>3.8607375353975531E-3</v>
      </c>
      <c r="T28" s="138">
        <f t="shared" si="138"/>
        <v>4.4356837089287067E-3</v>
      </c>
      <c r="U28" s="138">
        <f t="shared" si="138"/>
        <v>5.0723256120922544E-3</v>
      </c>
      <c r="V28" s="138">
        <f t="shared" si="138"/>
        <v>5.7731114296112477E-3</v>
      </c>
      <c r="W28" s="138">
        <f t="shared" si="138"/>
        <v>6.5398685122134946E-3</v>
      </c>
      <c r="X28" s="138">
        <f t="shared" si="138"/>
        <v>7.3736811572638105E-3</v>
      </c>
      <c r="Y28" s="138">
        <f t="shared" si="138"/>
        <v>8.2747704255963037E-3</v>
      </c>
      <c r="Z28" s="138">
        <f t="shared" si="138"/>
        <v>9.2423798594956051E-3</v>
      </c>
      <c r="AA28" s="138">
        <f t="shared" si="138"/>
        <v>1.0274671262808344E-2</v>
      </c>
      <c r="AB28" s="138">
        <f t="shared" si="138"/>
        <v>1.1368634872516306E-2</v>
      </c>
      <c r="AC28" s="138">
        <f t="shared" si="138"/>
        <v>1.2520018268380952E-2</v>
      </c>
      <c r="AD28" s="138">
        <f t="shared" si="138"/>
        <v>1.3723278214710382E-2</v>
      </c>
      <c r="AE28" s="138">
        <f t="shared" si="138"/>
        <v>1.4971559293334318E-2</v>
      </c>
      <c r="AF28" s="138">
        <f t="shared" si="138"/>
        <v>1.6256702664512183E-2</v>
      </c>
      <c r="AG28" s="138">
        <f t="shared" si="138"/>
        <v>1.7569287586426296E-2</v>
      </c>
      <c r="AH28" s="138">
        <f t="shared" si="138"/>
        <v>1.889870744718446E-2</v>
      </c>
      <c r="AI28" s="138">
        <f t="shared" si="138"/>
        <v>2.0233281038517882E-2</v>
      </c>
      <c r="AJ28" s="138">
        <f t="shared" si="138"/>
        <v>2.1560398659526678E-2</v>
      </c>
      <c r="AK28" s="138">
        <f t="shared" si="138"/>
        <v>2.2866701422185391E-2</v>
      </c>
      <c r="AL28" s="138">
        <f t="shared" si="138"/>
        <v>2.4138290885081567E-2</v>
      </c>
      <c r="AM28" s="138">
        <f t="shared" si="138"/>
        <v>2.5360964920173507E-2</v>
      </c>
      <c r="AN28" s="138">
        <f t="shared" si="138"/>
        <v>2.6520474573896766E-2</v>
      </c>
      <c r="AO28" s="138">
        <f t="shared" ref="AO28:CB28" si="139">AO9</f>
        <v>2.7602795673207038E-2</v>
      </c>
      <c r="AP28" s="138">
        <f t="shared" si="139"/>
        <v>2.8594408100510629E-2</v>
      </c>
      <c r="AQ28" s="138">
        <f t="shared" si="139"/>
        <v>2.9482575064311123E-2</v>
      </c>
      <c r="AR28" s="138">
        <f t="shared" si="139"/>
        <v>3.0255614361512379E-2</v>
      </c>
      <c r="AS28" s="138">
        <f t="shared" si="139"/>
        <v>3.0903153588346943E-2</v>
      </c>
      <c r="AT28" s="138">
        <f t="shared" si="139"/>
        <v>3.1416361522675275E-2</v>
      </c>
      <c r="AU28" s="138">
        <f t="shared" si="139"/>
        <v>3.1788148469734559E-2</v>
      </c>
      <c r="AV28" s="138">
        <f t="shared" si="139"/>
        <v>3.2013329220694976E-2</v>
      </c>
      <c r="AW28" s="138">
        <f t="shared" si="139"/>
        <v>3.2088743388972024E-2</v>
      </c>
      <c r="AX28" s="138">
        <f t="shared" si="139"/>
        <v>3.2013329220694976E-2</v>
      </c>
      <c r="AY28" s="138">
        <f t="shared" si="139"/>
        <v>3.1788148469734566E-2</v>
      </c>
      <c r="AZ28" s="138">
        <f t="shared" si="139"/>
        <v>3.1416361522675282E-2</v>
      </c>
      <c r="BA28" s="138">
        <f t="shared" si="139"/>
        <v>3.0903153588346947E-2</v>
      </c>
      <c r="BB28" s="138">
        <f t="shared" si="139"/>
        <v>3.0255614361512386E-2</v>
      </c>
      <c r="BC28" s="138">
        <f t="shared" si="139"/>
        <v>2.9482575064311126E-2</v>
      </c>
      <c r="BD28" s="138">
        <f t="shared" si="139"/>
        <v>2.8594408100510633E-2</v>
      </c>
      <c r="BE28" s="138">
        <f t="shared" si="139"/>
        <v>2.7602795673207059E-2</v>
      </c>
      <c r="BF28" s="138">
        <f t="shared" si="139"/>
        <v>2.6520474573896773E-2</v>
      </c>
      <c r="BG28" s="138">
        <f t="shared" si="139"/>
        <v>2.5360964920173517E-2</v>
      </c>
      <c r="BH28" s="138">
        <f t="shared" si="139"/>
        <v>2.4138290885081581E-2</v>
      </c>
      <c r="BI28" s="138">
        <f t="shared" si="139"/>
        <v>2.2866701422185401E-2</v>
      </c>
      <c r="BJ28" s="138">
        <f t="shared" si="139"/>
        <v>2.1560398659526688E-2</v>
      </c>
      <c r="BK28" s="138">
        <f t="shared" si="139"/>
        <v>2.0233281038517896E-2</v>
      </c>
      <c r="BL28" s="138">
        <f t="shared" si="139"/>
        <v>1.8898707447184474E-2</v>
      </c>
      <c r="BM28" s="138">
        <f t="shared" si="139"/>
        <v>0</v>
      </c>
      <c r="BN28" s="138">
        <f t="shared" si="139"/>
        <v>0</v>
      </c>
      <c r="BO28" s="138">
        <f t="shared" si="139"/>
        <v>0</v>
      </c>
      <c r="BP28" s="138">
        <f t="shared" si="139"/>
        <v>0</v>
      </c>
      <c r="BQ28" s="138">
        <f t="shared" si="139"/>
        <v>0</v>
      </c>
      <c r="BR28" s="138">
        <f t="shared" si="139"/>
        <v>0</v>
      </c>
      <c r="BS28" s="138">
        <f t="shared" si="139"/>
        <v>0</v>
      </c>
      <c r="BT28" s="138">
        <f t="shared" si="139"/>
        <v>0</v>
      </c>
      <c r="BU28" s="138">
        <f t="shared" si="139"/>
        <v>0</v>
      </c>
      <c r="BV28" s="138">
        <f t="shared" si="139"/>
        <v>0</v>
      </c>
      <c r="BW28" s="138">
        <f t="shared" si="139"/>
        <v>0</v>
      </c>
      <c r="BX28" s="138">
        <f t="shared" si="139"/>
        <v>0</v>
      </c>
      <c r="BY28" s="138">
        <f t="shared" si="139"/>
        <v>0</v>
      </c>
      <c r="BZ28" s="138">
        <f t="shared" si="139"/>
        <v>0</v>
      </c>
      <c r="CA28" s="138">
        <f t="shared" si="139"/>
        <v>0</v>
      </c>
      <c r="CB28" s="138">
        <f t="shared" si="139"/>
        <v>0</v>
      </c>
      <c r="CC28" s="138">
        <f t="shared" ref="CC28:DE28" si="140">CC9</f>
        <v>0</v>
      </c>
      <c r="CD28" s="138">
        <f t="shared" si="140"/>
        <v>0</v>
      </c>
      <c r="CE28" s="138">
        <f t="shared" si="140"/>
        <v>0</v>
      </c>
      <c r="CF28" s="138">
        <f t="shared" si="140"/>
        <v>0</v>
      </c>
      <c r="CG28" s="138">
        <f t="shared" si="140"/>
        <v>0</v>
      </c>
      <c r="CH28" s="138">
        <f t="shared" si="140"/>
        <v>0</v>
      </c>
      <c r="CI28" s="138">
        <f t="shared" si="140"/>
        <v>0</v>
      </c>
      <c r="CJ28" s="138">
        <f t="shared" si="140"/>
        <v>0</v>
      </c>
      <c r="CK28" s="138">
        <f t="shared" si="140"/>
        <v>0</v>
      </c>
      <c r="CL28" s="138">
        <f t="shared" si="140"/>
        <v>0</v>
      </c>
      <c r="CM28" s="138">
        <f t="shared" si="140"/>
        <v>0</v>
      </c>
      <c r="CN28" s="138">
        <f t="shared" si="140"/>
        <v>0</v>
      </c>
      <c r="CO28" s="138">
        <f t="shared" si="140"/>
        <v>0</v>
      </c>
      <c r="CP28" s="138">
        <f t="shared" si="140"/>
        <v>0</v>
      </c>
      <c r="CQ28" s="138">
        <f t="shared" si="140"/>
        <v>0</v>
      </c>
      <c r="CR28" s="138">
        <f t="shared" si="140"/>
        <v>0</v>
      </c>
      <c r="CS28" s="138">
        <f t="shared" si="140"/>
        <v>0</v>
      </c>
      <c r="CT28" s="138">
        <f t="shared" si="140"/>
        <v>0</v>
      </c>
      <c r="CU28" s="138">
        <f t="shared" si="140"/>
        <v>0</v>
      </c>
      <c r="CV28" s="138">
        <f t="shared" si="140"/>
        <v>0</v>
      </c>
      <c r="CW28" s="138">
        <f t="shared" si="140"/>
        <v>0</v>
      </c>
      <c r="CX28" s="138">
        <f t="shared" si="140"/>
        <v>0</v>
      </c>
      <c r="CY28" s="138">
        <f t="shared" si="140"/>
        <v>0</v>
      </c>
      <c r="CZ28" s="138">
        <f t="shared" si="140"/>
        <v>0</v>
      </c>
      <c r="DA28" s="138">
        <f t="shared" si="140"/>
        <v>0</v>
      </c>
      <c r="DB28" s="138">
        <f t="shared" si="140"/>
        <v>0</v>
      </c>
      <c r="DC28" s="138">
        <f t="shared" si="140"/>
        <v>0</v>
      </c>
      <c r="DD28" s="138">
        <f t="shared" si="140"/>
        <v>0</v>
      </c>
      <c r="DE28" s="243">
        <f t="shared" si="140"/>
        <v>0</v>
      </c>
    </row>
    <row r="29" spans="1:109" outlineLevel="1">
      <c r="B29" s="357" t="s">
        <v>183</v>
      </c>
      <c r="E29" s="169">
        <f>Summary!K24</f>
        <v>3555879</v>
      </c>
      <c r="I29" s="138">
        <v>0</v>
      </c>
      <c r="J29" s="138">
        <v>0</v>
      </c>
      <c r="K29" s="138">
        <v>0</v>
      </c>
      <c r="L29" s="138">
        <v>0</v>
      </c>
      <c r="M29" s="138">
        <v>0</v>
      </c>
      <c r="N29" s="138">
        <v>0</v>
      </c>
      <c r="O29" s="138">
        <v>0</v>
      </c>
      <c r="P29" s="138">
        <v>0</v>
      </c>
      <c r="Q29" s="138">
        <v>0</v>
      </c>
      <c r="R29" s="138">
        <v>0</v>
      </c>
      <c r="S29" s="138">
        <v>0</v>
      </c>
      <c r="T29" s="138">
        <v>0</v>
      </c>
      <c r="U29" s="138">
        <v>0</v>
      </c>
      <c r="V29" s="138">
        <v>0</v>
      </c>
      <c r="W29" s="138">
        <v>0</v>
      </c>
      <c r="X29" s="138">
        <v>0</v>
      </c>
      <c r="Y29" s="138">
        <v>0</v>
      </c>
      <c r="Z29" s="138">
        <v>0</v>
      </c>
      <c r="AA29" s="138">
        <v>0</v>
      </c>
      <c r="AB29" s="138">
        <v>0</v>
      </c>
      <c r="AC29" s="138">
        <v>0</v>
      </c>
      <c r="AD29" s="138">
        <v>0</v>
      </c>
      <c r="AE29" s="138">
        <v>0</v>
      </c>
      <c r="AF29" s="138">
        <v>0</v>
      </c>
      <c r="AG29" s="138">
        <v>0</v>
      </c>
      <c r="AH29" s="138">
        <v>0</v>
      </c>
      <c r="AI29" s="138">
        <v>0</v>
      </c>
      <c r="AJ29" s="138">
        <v>0</v>
      </c>
      <c r="AK29" s="138">
        <v>0</v>
      </c>
      <c r="AL29" s="138">
        <v>0</v>
      </c>
      <c r="AM29" s="138">
        <v>0</v>
      </c>
      <c r="AN29" s="138">
        <v>0</v>
      </c>
      <c r="AO29" s="138">
        <v>0</v>
      </c>
      <c r="AP29" s="138">
        <v>0</v>
      </c>
      <c r="AQ29" s="138">
        <v>0</v>
      </c>
      <c r="AR29" s="138">
        <v>0</v>
      </c>
      <c r="AS29" s="138">
        <v>0</v>
      </c>
      <c r="AT29" s="138">
        <v>0</v>
      </c>
      <c r="AU29" s="138">
        <v>0</v>
      </c>
      <c r="AV29" s="138">
        <v>0</v>
      </c>
      <c r="AW29" s="138">
        <v>0</v>
      </c>
      <c r="AX29" s="138">
        <v>0</v>
      </c>
      <c r="AY29" s="138">
        <v>0</v>
      </c>
      <c r="AZ29" s="138">
        <v>0</v>
      </c>
      <c r="BA29" s="138">
        <v>0</v>
      </c>
      <c r="BB29" s="138">
        <v>0</v>
      </c>
      <c r="BC29" s="138">
        <v>0</v>
      </c>
      <c r="BD29" s="138">
        <v>0</v>
      </c>
      <c r="BE29" s="138">
        <v>0</v>
      </c>
      <c r="BF29" s="138">
        <v>0</v>
      </c>
      <c r="BG29" s="138">
        <v>0</v>
      </c>
      <c r="BH29" s="138">
        <v>0</v>
      </c>
      <c r="BI29" s="138">
        <v>0</v>
      </c>
      <c r="BJ29" s="138">
        <v>0</v>
      </c>
      <c r="BK29" s="138">
        <v>0</v>
      </c>
      <c r="BL29" s="138">
        <v>0</v>
      </c>
      <c r="BM29" s="138">
        <v>0</v>
      </c>
      <c r="BN29" s="138">
        <v>0</v>
      </c>
      <c r="BO29" s="138">
        <v>0</v>
      </c>
      <c r="BP29" s="138">
        <v>0</v>
      </c>
      <c r="BQ29" s="138">
        <v>0</v>
      </c>
      <c r="BR29" s="138">
        <v>0</v>
      </c>
      <c r="BS29" s="138">
        <v>0</v>
      </c>
      <c r="BT29" s="138">
        <v>0</v>
      </c>
      <c r="BU29" s="138">
        <v>0</v>
      </c>
      <c r="BV29" s="138">
        <v>0</v>
      </c>
      <c r="BW29" s="138">
        <v>0</v>
      </c>
      <c r="BX29" s="138">
        <v>0</v>
      </c>
      <c r="BY29" s="138">
        <v>0</v>
      </c>
      <c r="BZ29" s="138">
        <v>0</v>
      </c>
      <c r="CA29" s="138">
        <v>0</v>
      </c>
      <c r="CB29" s="138">
        <v>0</v>
      </c>
      <c r="CC29" s="138">
        <v>0</v>
      </c>
      <c r="CD29" s="138">
        <v>0</v>
      </c>
      <c r="CE29" s="138">
        <v>0</v>
      </c>
      <c r="CF29" s="138">
        <v>0</v>
      </c>
      <c r="CG29" s="138">
        <v>0</v>
      </c>
      <c r="CH29" s="138">
        <v>0</v>
      </c>
      <c r="CI29" s="138">
        <v>0</v>
      </c>
      <c r="CJ29" s="138">
        <v>0</v>
      </c>
      <c r="CK29" s="138">
        <v>0</v>
      </c>
      <c r="CL29" s="138">
        <v>0</v>
      </c>
      <c r="CM29" s="138">
        <v>0</v>
      </c>
      <c r="CN29" s="138">
        <v>0</v>
      </c>
      <c r="CO29" s="138">
        <v>0</v>
      </c>
      <c r="CP29" s="138">
        <v>0</v>
      </c>
      <c r="CQ29" s="138">
        <v>0</v>
      </c>
      <c r="CR29" s="138">
        <v>0</v>
      </c>
      <c r="CS29" s="138">
        <v>0</v>
      </c>
      <c r="CT29" s="138">
        <v>0</v>
      </c>
      <c r="CU29" s="138">
        <v>0</v>
      </c>
      <c r="CV29" s="138">
        <v>0</v>
      </c>
      <c r="CW29" s="138">
        <v>0</v>
      </c>
      <c r="CX29" s="138">
        <v>0</v>
      </c>
      <c r="CY29" s="138">
        <v>0</v>
      </c>
      <c r="CZ29" s="138">
        <v>0</v>
      </c>
      <c r="DA29" s="138">
        <v>0</v>
      </c>
      <c r="DB29" s="138">
        <v>0</v>
      </c>
      <c r="DC29" s="138">
        <v>0</v>
      </c>
      <c r="DD29" s="138">
        <v>0</v>
      </c>
      <c r="DE29" s="243">
        <v>0</v>
      </c>
    </row>
    <row r="30" spans="1:109" outlineLevel="1">
      <c r="B30" s="357" t="s">
        <v>277</v>
      </c>
      <c r="E30" s="169">
        <f>Summary!K25</f>
        <v>140000</v>
      </c>
      <c r="I30" s="138">
        <f>IF(AND(I5=37,Summary!$C$11=48),100%,0)</f>
        <v>0</v>
      </c>
      <c r="J30" s="138">
        <f>IF(AND(J5=37,Summary!$C$11=48),100%,0)</f>
        <v>0</v>
      </c>
      <c r="K30" s="138">
        <f>IF(AND(K5=37,Summary!$C$11=48),100%,0)</f>
        <v>0</v>
      </c>
      <c r="L30" s="138">
        <f>IF(AND(L5=37,Summary!$C$11=48),100%,0)</f>
        <v>0</v>
      </c>
      <c r="M30" s="138">
        <f>IF(AND(M5=37,Summary!$C$11=48),100%,0)</f>
        <v>0</v>
      </c>
      <c r="N30" s="138">
        <f>IF(AND(N5=37,Summary!$C$11=48),100%,0)</f>
        <v>0</v>
      </c>
      <c r="O30" s="138">
        <f>IF(AND(O5=37,Summary!$C$11=48),100%,0)</f>
        <v>0</v>
      </c>
      <c r="P30" s="138">
        <f>IF(AND(P5=37,Summary!$C$11=48),100%,0)</f>
        <v>0</v>
      </c>
      <c r="Q30" s="138">
        <f>IF(AND(Q5=37,Summary!$C$11=48),100%,0)</f>
        <v>0</v>
      </c>
      <c r="R30" s="138">
        <f>IF(AND(R5=37,Summary!$C$11=48),100%,0)</f>
        <v>0</v>
      </c>
      <c r="S30" s="138">
        <f>IF(AND(S5=37,Summary!$C$11=48),100%,0)</f>
        <v>0</v>
      </c>
      <c r="T30" s="138">
        <f>IF(AND(T5=37,Summary!$C$11=48),100%,0)</f>
        <v>0</v>
      </c>
      <c r="U30" s="138">
        <f>IF(AND(U5=37,Summary!$C$11=48),100%,0)</f>
        <v>0</v>
      </c>
      <c r="V30" s="138">
        <f>IF(AND(V5=37,Summary!$C$11=48),100%,0)</f>
        <v>0</v>
      </c>
      <c r="W30" s="138">
        <f>IF(AND(W5=37,Summary!$C$11=48),100%,0)</f>
        <v>0</v>
      </c>
      <c r="X30" s="138">
        <f>IF(AND(X5=37,Summary!$C$11=48),100%,0)</f>
        <v>0</v>
      </c>
      <c r="Y30" s="138">
        <f>IF(AND(Y5=37,Summary!$C$11=48),100%,0)</f>
        <v>0</v>
      </c>
      <c r="Z30" s="138">
        <f>IF(AND(Z5=37,Summary!$C$11=48),100%,0)</f>
        <v>0</v>
      </c>
      <c r="AA30" s="138">
        <f>IF(AND(AA5=37,Summary!$C$11=48),100%,0)</f>
        <v>0</v>
      </c>
      <c r="AB30" s="138">
        <f>IF(AND(AB5=37,Summary!$C$11=48),100%,0)</f>
        <v>0</v>
      </c>
      <c r="AC30" s="138">
        <f>IF(AND(AC5=37,Summary!$C$11=48),100%,0)</f>
        <v>0</v>
      </c>
      <c r="AD30" s="138">
        <f>IF(AND(AD5=37,Summary!$C$11=48),100%,0)</f>
        <v>0</v>
      </c>
      <c r="AE30" s="138">
        <f>IF(AND(AE5=37,Summary!$C$11=48),100%,0)</f>
        <v>0</v>
      </c>
      <c r="AF30" s="138">
        <f>IF(AND(AF5=37,Summary!$C$11=48),100%,0)</f>
        <v>0</v>
      </c>
      <c r="AG30" s="138">
        <f>IF(AND(AG5=37,Summary!$C$11=48),100%,0)</f>
        <v>0</v>
      </c>
      <c r="AH30" s="138">
        <f>IF(AND(AH5=37,Summary!$C$11=48),100%,0)</f>
        <v>0</v>
      </c>
      <c r="AI30" s="138">
        <f>IF(AND(AI5=37,Summary!$C$11=48),100%,0)</f>
        <v>0</v>
      </c>
      <c r="AJ30" s="138">
        <f>IF(AND(AJ5=37,Summary!$C$11=48),100%,0)</f>
        <v>0</v>
      </c>
      <c r="AK30" s="138">
        <f>IF(AND(AK5=37,Summary!$C$11=48),100%,0)</f>
        <v>0</v>
      </c>
      <c r="AL30" s="138">
        <f>IF(AND(AL5=37,Summary!$C$11=48),100%,0)</f>
        <v>0</v>
      </c>
      <c r="AM30" s="138">
        <f>IF(AND(AM5=37,Summary!$C$11=48),100%,0)</f>
        <v>0</v>
      </c>
      <c r="AN30" s="138">
        <f>IF(AND(AN5=37,Summary!$C$11=48),100%,0)</f>
        <v>0</v>
      </c>
      <c r="AO30" s="138">
        <f>IF(AND(AO5=37,Summary!$C$11=48),100%,0)</f>
        <v>0</v>
      </c>
      <c r="AP30" s="138">
        <f>IF(AND(AP5=37,Summary!$C$11=48),100%,0)</f>
        <v>0</v>
      </c>
      <c r="AQ30" s="138">
        <f>IF(AND(AQ5=37,Summary!$C$11=48),100%,0)</f>
        <v>0</v>
      </c>
      <c r="AR30" s="138">
        <f>IF(AND(AR5=37,Summary!$C$11=48),100%,0)</f>
        <v>0</v>
      </c>
      <c r="AS30" s="138">
        <f>IF(AND(AS5=37,Summary!$C$11=48),100%,0)</f>
        <v>0</v>
      </c>
      <c r="AT30" s="138">
        <f>IF(AND(AT5=37,Summary!$C$11=48),100%,0)</f>
        <v>0</v>
      </c>
      <c r="AU30" s="138">
        <f>IF(AND(AU5=37,Summary!$C$11=48),100%,0)</f>
        <v>0</v>
      </c>
      <c r="AV30" s="138">
        <f>IF(AND(AV5=37,Summary!$C$11=48),100%,0)</f>
        <v>0</v>
      </c>
      <c r="AW30" s="138">
        <f>IF(AND(AW5=37,Summary!$C$11=48),100%,0)</f>
        <v>0</v>
      </c>
      <c r="AX30" s="138">
        <f>IF(AND(AX5=37,Summary!$C$11=48),100%,0)</f>
        <v>0</v>
      </c>
      <c r="AY30" s="138">
        <f>IF(AND(AY5=37,Summary!$C$11=48),100%,0)</f>
        <v>0</v>
      </c>
      <c r="AZ30" s="138">
        <f>IF(AND(AZ5=37,Summary!$C$11=48),100%,0)</f>
        <v>0</v>
      </c>
      <c r="BA30" s="138">
        <f>IF(AND(BA5=37,Summary!$C$11=48),100%,0)</f>
        <v>0</v>
      </c>
      <c r="BB30" s="138">
        <f>IF(AND(BB5=37,Summary!$C$11=48),100%,0)</f>
        <v>0</v>
      </c>
      <c r="BC30" s="138">
        <f>IF(AND(BC5=37,Summary!$C$11=48),100%,0)</f>
        <v>0</v>
      </c>
      <c r="BD30" s="138">
        <f>IF(AND(BD5=37,Summary!$C$11=48),100%,0)</f>
        <v>0</v>
      </c>
      <c r="BE30" s="138">
        <f>IF(AND(BE5=37,Summary!$C$11=48),100%,0)</f>
        <v>0</v>
      </c>
      <c r="BF30" s="138">
        <f>IF(AND(BF5=37,Summary!$C$11=48),100%,0)</f>
        <v>0</v>
      </c>
      <c r="BG30" s="138">
        <f>IF(AND(BG5=37,Summary!$C$11=48),100%,0)</f>
        <v>0</v>
      </c>
      <c r="BH30" s="138">
        <f>IF(AND(BH5=37,Summary!$C$11=48),100%,0)</f>
        <v>0</v>
      </c>
      <c r="BI30" s="138">
        <f>IF(AND(BI5=37,Summary!$C$11=48),100%,0)</f>
        <v>0</v>
      </c>
      <c r="BJ30" s="138">
        <f>IF(AND(BJ5=37,Summary!$C$11=48),100%,0)</f>
        <v>0</v>
      </c>
      <c r="BK30" s="138">
        <f>IF(AND(BK5=37,Summary!$C$11=48),100%,0)</f>
        <v>0</v>
      </c>
      <c r="BL30" s="138">
        <f>IF(AND(BL5=37,Summary!$C$11=48),100%,0)</f>
        <v>0</v>
      </c>
      <c r="BM30" s="138">
        <f>IF(AND(BM5=37,Summary!$C$11=48),100%,0)</f>
        <v>0</v>
      </c>
      <c r="BN30" s="138">
        <f>IF(AND(BN5=37,Summary!$C$11=48),100%,0)</f>
        <v>0</v>
      </c>
      <c r="BO30" s="138">
        <f>IF(AND(BO5=37,Summary!$C$11=48),100%,0)</f>
        <v>0</v>
      </c>
      <c r="BP30" s="138">
        <f>IF(AND(BP5=37,Summary!$C$11=48),100%,0)</f>
        <v>0</v>
      </c>
      <c r="BQ30" s="138">
        <f>IF(AND(BQ5=37,Summary!$C$11=48),100%,0)</f>
        <v>0</v>
      </c>
      <c r="BR30" s="138">
        <f>IF(AND(BR5=37,Summary!$C$11=48),100%,0)</f>
        <v>0</v>
      </c>
      <c r="BS30" s="138">
        <f>IF(AND(BS5=37,Summary!$C$11=48),100%,0)</f>
        <v>0</v>
      </c>
      <c r="BT30" s="138">
        <f>IF(AND(BT5=37,Summary!$C$11=48),100%,0)</f>
        <v>0</v>
      </c>
      <c r="BU30" s="138">
        <f>IF(AND(BU5=37,Summary!$C$11=48),100%,0)</f>
        <v>0</v>
      </c>
      <c r="BV30" s="138">
        <f>IF(AND(BV5=37,Summary!$C$11=48),100%,0)</f>
        <v>0</v>
      </c>
      <c r="BW30" s="138">
        <f>IF(AND(BW5=37,Summary!$C$11=48),100%,0)</f>
        <v>0</v>
      </c>
      <c r="BX30" s="138">
        <f>IF(AND(BX5=37,Summary!$C$11=48),100%,0)</f>
        <v>0</v>
      </c>
      <c r="BY30" s="138">
        <f>IF(AND(BY5=37,Summary!$C$11=48),100%,0)</f>
        <v>0</v>
      </c>
      <c r="BZ30" s="138">
        <f>IF(AND(BZ5=37,Summary!$C$11=48),100%,0)</f>
        <v>0</v>
      </c>
      <c r="CA30" s="138">
        <f>IF(AND(CA5=37,Summary!$C$11=48),100%,0)</f>
        <v>0</v>
      </c>
      <c r="CB30" s="138">
        <f>IF(AND(CB5=37,Summary!$C$11=48),100%,0)</f>
        <v>0</v>
      </c>
      <c r="CC30" s="138">
        <f>IF(AND(CC5=37,Summary!$C$11=48),100%,0)</f>
        <v>0</v>
      </c>
      <c r="CD30" s="138">
        <f>IF(AND(CD5=37,Summary!$C$11=48),100%,0)</f>
        <v>0</v>
      </c>
      <c r="CE30" s="138">
        <f>IF(AND(CE5=37,Summary!$C$11=48),100%,0)</f>
        <v>0</v>
      </c>
      <c r="CF30" s="138">
        <f>IF(AND(CF5=37,Summary!$C$11=48),100%,0)</f>
        <v>0</v>
      </c>
      <c r="CG30" s="138">
        <f>IF(AND(CG5=37,Summary!$C$11=48),100%,0)</f>
        <v>0</v>
      </c>
      <c r="CH30" s="138">
        <f>IF(AND(CH5=37,Summary!$C$11=48),100%,0)</f>
        <v>0</v>
      </c>
      <c r="CI30" s="138">
        <f>IF(AND(CI5=37,Summary!$C$11=48),100%,0)</f>
        <v>0</v>
      </c>
      <c r="CJ30" s="138">
        <f>IF(AND(CJ5=37,Summary!$C$11=48),100%,0)</f>
        <v>0</v>
      </c>
      <c r="CK30" s="138">
        <f>IF(AND(CK5=37,Summary!$C$11=48),100%,0)</f>
        <v>0</v>
      </c>
      <c r="CL30" s="138">
        <f>IF(AND(CL5=37,Summary!$C$11=48),100%,0)</f>
        <v>0</v>
      </c>
      <c r="CM30" s="138">
        <f>IF(AND(CM5=37,Summary!$C$11=48),100%,0)</f>
        <v>0</v>
      </c>
      <c r="CN30" s="138">
        <f>IF(AND(CN5=37,Summary!$C$11=48),100%,0)</f>
        <v>0</v>
      </c>
      <c r="CO30" s="138">
        <f>IF(AND(CO5=37,Summary!$C$11=48),100%,0)</f>
        <v>0</v>
      </c>
      <c r="CP30" s="138">
        <f>IF(AND(CP5=37,Summary!$C$11=48),100%,0)</f>
        <v>0</v>
      </c>
      <c r="CQ30" s="138">
        <f>IF(AND(CQ5=37,Summary!$C$11=48),100%,0)</f>
        <v>0</v>
      </c>
      <c r="CR30" s="138">
        <f>IF(AND(CR5=37,Summary!$C$11=48),100%,0)</f>
        <v>0</v>
      </c>
      <c r="CS30" s="138">
        <f>IF(AND(CS5=37,Summary!$C$11=48),100%,0)</f>
        <v>0</v>
      </c>
      <c r="CT30" s="138">
        <f>IF(AND(CT5=37,Summary!$C$11=48),100%,0)</f>
        <v>0</v>
      </c>
      <c r="CU30" s="138">
        <f>IF(AND(CU5=37,Summary!$C$11=48),100%,0)</f>
        <v>0</v>
      </c>
      <c r="CV30" s="138">
        <f>IF(AND(CV5=37,Summary!$C$11=48),100%,0)</f>
        <v>0</v>
      </c>
      <c r="CW30" s="138">
        <f>IF(AND(CW5=37,Summary!$C$11=48),100%,0)</f>
        <v>0</v>
      </c>
      <c r="CX30" s="138">
        <f>IF(AND(CX5=37,Summary!$C$11=48),100%,0)</f>
        <v>0</v>
      </c>
      <c r="CY30" s="138">
        <f>IF(AND(CY5=37,Summary!$C$11=48),100%,0)</f>
        <v>0</v>
      </c>
      <c r="CZ30" s="138">
        <f>IF(AND(CZ5=37,Summary!$C$11=48),100%,0)</f>
        <v>0</v>
      </c>
      <c r="DA30" s="138">
        <f>IF(AND(DA5=37,Summary!$C$11=48),100%,0)</f>
        <v>0</v>
      </c>
      <c r="DB30" s="138">
        <f>IF(AND(DB5=37,Summary!$C$11=48),100%,0)</f>
        <v>0</v>
      </c>
      <c r="DC30" s="138">
        <f>IF(AND(DC5=37,Summary!$C$11=48),100%,0)</f>
        <v>0</v>
      </c>
      <c r="DD30" s="138">
        <f>IF(AND(DD5=37,Summary!$C$11=48),100%,0)</f>
        <v>0</v>
      </c>
      <c r="DE30" s="243">
        <f>IF(AND(DE5=37,Summary!$C$11=48),100%,0)</f>
        <v>0</v>
      </c>
    </row>
    <row r="31" spans="1:109" outlineLevel="1">
      <c r="B31" s="357" t="s">
        <v>278</v>
      </c>
      <c r="E31" s="169">
        <f>Summary!K26</f>
        <v>0</v>
      </c>
      <c r="I31" s="138">
        <v>1</v>
      </c>
      <c r="J31" s="138">
        <v>0</v>
      </c>
      <c r="K31" s="138">
        <v>0</v>
      </c>
      <c r="L31" s="138">
        <v>0</v>
      </c>
      <c r="M31" s="138">
        <v>0</v>
      </c>
      <c r="N31" s="138">
        <v>0</v>
      </c>
      <c r="O31" s="138">
        <v>0</v>
      </c>
      <c r="P31" s="138">
        <v>0</v>
      </c>
      <c r="Q31" s="138">
        <v>0</v>
      </c>
      <c r="R31" s="138">
        <v>0</v>
      </c>
      <c r="S31" s="138">
        <v>0</v>
      </c>
      <c r="T31" s="138">
        <v>0</v>
      </c>
      <c r="U31" s="138">
        <v>0</v>
      </c>
      <c r="V31" s="138">
        <v>0</v>
      </c>
      <c r="W31" s="138">
        <v>0</v>
      </c>
      <c r="X31" s="138">
        <v>0</v>
      </c>
      <c r="Y31" s="138">
        <v>0</v>
      </c>
      <c r="Z31" s="138">
        <v>0</v>
      </c>
      <c r="AA31" s="138">
        <v>0</v>
      </c>
      <c r="AB31" s="138">
        <v>0</v>
      </c>
      <c r="AC31" s="138">
        <v>0</v>
      </c>
      <c r="AD31" s="138">
        <v>0</v>
      </c>
      <c r="AE31" s="138">
        <v>0</v>
      </c>
      <c r="AF31" s="138">
        <v>0</v>
      </c>
      <c r="AG31" s="138">
        <v>0</v>
      </c>
      <c r="AH31" s="138">
        <v>0</v>
      </c>
      <c r="AI31" s="138">
        <v>0</v>
      </c>
      <c r="AJ31" s="138">
        <v>0</v>
      </c>
      <c r="AK31" s="138">
        <v>0</v>
      </c>
      <c r="AL31" s="138">
        <v>0</v>
      </c>
      <c r="AM31" s="138">
        <v>0</v>
      </c>
      <c r="AN31" s="138">
        <v>0</v>
      </c>
      <c r="AO31" s="138">
        <v>0</v>
      </c>
      <c r="AP31" s="138">
        <v>0</v>
      </c>
      <c r="AQ31" s="138">
        <v>0</v>
      </c>
      <c r="AR31" s="138">
        <v>0</v>
      </c>
      <c r="AS31" s="138">
        <v>0</v>
      </c>
      <c r="AT31" s="138">
        <v>0</v>
      </c>
      <c r="AU31" s="138">
        <v>0</v>
      </c>
      <c r="AV31" s="138">
        <v>0</v>
      </c>
      <c r="AW31" s="138">
        <v>0</v>
      </c>
      <c r="AX31" s="138">
        <v>0</v>
      </c>
      <c r="AY31" s="138">
        <v>0</v>
      </c>
      <c r="AZ31" s="138">
        <v>0</v>
      </c>
      <c r="BA31" s="138">
        <v>0</v>
      </c>
      <c r="BB31" s="138">
        <v>0</v>
      </c>
      <c r="BC31" s="138">
        <v>0</v>
      </c>
      <c r="BD31" s="138">
        <v>0</v>
      </c>
      <c r="BE31" s="138">
        <v>0</v>
      </c>
      <c r="BF31" s="138">
        <v>0</v>
      </c>
      <c r="BG31" s="138">
        <v>0</v>
      </c>
      <c r="BH31" s="138">
        <v>0</v>
      </c>
      <c r="BI31" s="138">
        <v>0</v>
      </c>
      <c r="BJ31" s="138">
        <v>0</v>
      </c>
      <c r="BK31" s="138">
        <v>0</v>
      </c>
      <c r="BL31" s="138">
        <v>0</v>
      </c>
      <c r="BM31" s="138">
        <v>0</v>
      </c>
      <c r="BN31" s="138">
        <v>0</v>
      </c>
      <c r="BO31" s="138">
        <v>0</v>
      </c>
      <c r="BP31" s="138">
        <v>0</v>
      </c>
      <c r="BQ31" s="138">
        <v>0</v>
      </c>
      <c r="BR31" s="138">
        <v>0</v>
      </c>
      <c r="BS31" s="138">
        <v>0</v>
      </c>
      <c r="BT31" s="138">
        <v>0</v>
      </c>
      <c r="BU31" s="138">
        <v>0</v>
      </c>
      <c r="BV31" s="138">
        <v>0</v>
      </c>
      <c r="BW31" s="138">
        <v>0</v>
      </c>
      <c r="BX31" s="138">
        <v>0</v>
      </c>
      <c r="BY31" s="138">
        <v>0</v>
      </c>
      <c r="BZ31" s="138">
        <v>0</v>
      </c>
      <c r="CA31" s="138">
        <v>0</v>
      </c>
      <c r="CB31" s="138">
        <v>0</v>
      </c>
      <c r="CC31" s="138">
        <v>0</v>
      </c>
      <c r="CD31" s="138">
        <v>0</v>
      </c>
      <c r="CE31" s="138">
        <v>0</v>
      </c>
      <c r="CF31" s="138">
        <v>0</v>
      </c>
      <c r="CG31" s="138">
        <v>0</v>
      </c>
      <c r="CH31" s="138">
        <v>0</v>
      </c>
      <c r="CI31" s="138">
        <v>0</v>
      </c>
      <c r="CJ31" s="138">
        <v>0</v>
      </c>
      <c r="CK31" s="138">
        <v>0</v>
      </c>
      <c r="CL31" s="138">
        <v>0</v>
      </c>
      <c r="CM31" s="138">
        <v>0</v>
      </c>
      <c r="CN31" s="138">
        <v>0</v>
      </c>
      <c r="CO31" s="138">
        <v>0</v>
      </c>
      <c r="CP31" s="138">
        <v>0</v>
      </c>
      <c r="CQ31" s="138">
        <v>0</v>
      </c>
      <c r="CR31" s="138">
        <v>0</v>
      </c>
      <c r="CS31" s="138">
        <v>0</v>
      </c>
      <c r="CT31" s="138">
        <v>0</v>
      </c>
      <c r="CU31" s="138">
        <v>0</v>
      </c>
      <c r="CV31" s="138">
        <v>0</v>
      </c>
      <c r="CW31" s="138">
        <v>0</v>
      </c>
      <c r="CX31" s="138">
        <v>0</v>
      </c>
      <c r="CY31" s="138">
        <v>0</v>
      </c>
      <c r="CZ31" s="138">
        <v>0</v>
      </c>
      <c r="DA31" s="138">
        <v>0</v>
      </c>
      <c r="DB31" s="138">
        <v>0</v>
      </c>
      <c r="DC31" s="138">
        <v>0</v>
      </c>
      <c r="DD31" s="138">
        <v>0</v>
      </c>
      <c r="DE31" s="243">
        <v>0</v>
      </c>
    </row>
    <row r="32" spans="1:109" outlineLevel="1">
      <c r="B32" s="357" t="s">
        <v>204</v>
      </c>
      <c r="E32" s="169">
        <f>Summary!K27</f>
        <v>783906.11</v>
      </c>
      <c r="I32" s="138">
        <v>1</v>
      </c>
      <c r="J32" s="138">
        <v>0</v>
      </c>
      <c r="K32" s="138">
        <v>0</v>
      </c>
      <c r="L32" s="138">
        <v>0</v>
      </c>
      <c r="M32" s="138">
        <v>0</v>
      </c>
      <c r="N32" s="138">
        <v>0</v>
      </c>
      <c r="O32" s="138">
        <v>0</v>
      </c>
      <c r="P32" s="138">
        <v>0</v>
      </c>
      <c r="Q32" s="138">
        <v>0</v>
      </c>
      <c r="R32" s="138">
        <v>0</v>
      </c>
      <c r="S32" s="138">
        <v>0</v>
      </c>
      <c r="T32" s="138">
        <v>0</v>
      </c>
      <c r="U32" s="138">
        <v>0</v>
      </c>
      <c r="V32" s="138">
        <v>0</v>
      </c>
      <c r="W32" s="138">
        <v>0</v>
      </c>
      <c r="X32" s="138">
        <v>0</v>
      </c>
      <c r="Y32" s="138">
        <v>0</v>
      </c>
      <c r="Z32" s="138">
        <v>0</v>
      </c>
      <c r="AA32" s="138">
        <v>0</v>
      </c>
      <c r="AB32" s="138">
        <v>0</v>
      </c>
      <c r="AC32" s="138">
        <v>0</v>
      </c>
      <c r="AD32" s="138">
        <v>0</v>
      </c>
      <c r="AE32" s="138">
        <v>0</v>
      </c>
      <c r="AF32" s="138">
        <v>0</v>
      </c>
      <c r="AG32" s="138">
        <v>0</v>
      </c>
      <c r="AH32" s="138">
        <v>0</v>
      </c>
      <c r="AI32" s="138">
        <v>0</v>
      </c>
      <c r="AJ32" s="138">
        <v>0</v>
      </c>
      <c r="AK32" s="138">
        <v>0</v>
      </c>
      <c r="AL32" s="138">
        <v>0</v>
      </c>
      <c r="AM32" s="138">
        <v>0</v>
      </c>
      <c r="AN32" s="138">
        <v>0</v>
      </c>
      <c r="AO32" s="138">
        <v>0</v>
      </c>
      <c r="AP32" s="138">
        <v>0</v>
      </c>
      <c r="AQ32" s="138">
        <v>0</v>
      </c>
      <c r="AR32" s="138">
        <v>0</v>
      </c>
      <c r="AS32" s="138">
        <v>0</v>
      </c>
      <c r="AT32" s="138">
        <v>0</v>
      </c>
      <c r="AU32" s="138">
        <v>0</v>
      </c>
      <c r="AV32" s="138">
        <v>0</v>
      </c>
      <c r="AW32" s="138">
        <v>0</v>
      </c>
      <c r="AX32" s="138">
        <v>0</v>
      </c>
      <c r="AY32" s="138">
        <v>0</v>
      </c>
      <c r="AZ32" s="138">
        <v>0</v>
      </c>
      <c r="BA32" s="138">
        <v>0</v>
      </c>
      <c r="BB32" s="138">
        <v>0</v>
      </c>
      <c r="BC32" s="138">
        <v>0</v>
      </c>
      <c r="BD32" s="138">
        <v>0</v>
      </c>
      <c r="BE32" s="138">
        <v>0</v>
      </c>
      <c r="BF32" s="138">
        <v>0</v>
      </c>
      <c r="BG32" s="138">
        <v>0</v>
      </c>
      <c r="BH32" s="138">
        <v>0</v>
      </c>
      <c r="BI32" s="138">
        <v>0</v>
      </c>
      <c r="BJ32" s="138">
        <v>0</v>
      </c>
      <c r="BK32" s="138">
        <v>0</v>
      </c>
      <c r="BL32" s="138">
        <v>0</v>
      </c>
      <c r="BM32" s="138">
        <v>0</v>
      </c>
      <c r="BN32" s="138">
        <v>0</v>
      </c>
      <c r="BO32" s="138">
        <v>0</v>
      </c>
      <c r="BP32" s="138">
        <v>0</v>
      </c>
      <c r="BQ32" s="138">
        <v>0</v>
      </c>
      <c r="BR32" s="138">
        <v>0</v>
      </c>
      <c r="BS32" s="138">
        <v>0</v>
      </c>
      <c r="BT32" s="138">
        <v>0</v>
      </c>
      <c r="BU32" s="138">
        <v>0</v>
      </c>
      <c r="BV32" s="138">
        <v>0</v>
      </c>
      <c r="BW32" s="138">
        <v>0</v>
      </c>
      <c r="BX32" s="138">
        <v>0</v>
      </c>
      <c r="BY32" s="138">
        <v>0</v>
      </c>
      <c r="BZ32" s="138">
        <v>0</v>
      </c>
      <c r="CA32" s="138">
        <v>0</v>
      </c>
      <c r="CB32" s="138">
        <v>0</v>
      </c>
      <c r="CC32" s="138">
        <v>0</v>
      </c>
      <c r="CD32" s="138">
        <v>0</v>
      </c>
      <c r="CE32" s="138">
        <v>0</v>
      </c>
      <c r="CF32" s="138">
        <v>0</v>
      </c>
      <c r="CG32" s="138">
        <v>0</v>
      </c>
      <c r="CH32" s="138">
        <v>0</v>
      </c>
      <c r="CI32" s="138">
        <v>0</v>
      </c>
      <c r="CJ32" s="138">
        <v>0</v>
      </c>
      <c r="CK32" s="138">
        <v>0</v>
      </c>
      <c r="CL32" s="138">
        <v>0</v>
      </c>
      <c r="CM32" s="138">
        <v>0</v>
      </c>
      <c r="CN32" s="138">
        <v>0</v>
      </c>
      <c r="CO32" s="138">
        <v>0</v>
      </c>
      <c r="CP32" s="138">
        <v>0</v>
      </c>
      <c r="CQ32" s="138">
        <v>0</v>
      </c>
      <c r="CR32" s="138">
        <v>0</v>
      </c>
      <c r="CS32" s="138">
        <v>0</v>
      </c>
      <c r="CT32" s="138">
        <v>0</v>
      </c>
      <c r="CU32" s="138">
        <v>0</v>
      </c>
      <c r="CV32" s="138">
        <v>0</v>
      </c>
      <c r="CW32" s="138">
        <v>0</v>
      </c>
      <c r="CX32" s="138">
        <v>0</v>
      </c>
      <c r="CY32" s="138">
        <v>0</v>
      </c>
      <c r="CZ32" s="138">
        <v>0</v>
      </c>
      <c r="DA32" s="138">
        <v>0</v>
      </c>
      <c r="DB32" s="138">
        <v>0</v>
      </c>
      <c r="DC32" s="138">
        <v>0</v>
      </c>
      <c r="DD32" s="138">
        <v>0</v>
      </c>
      <c r="DE32" s="243">
        <v>0</v>
      </c>
    </row>
    <row r="33" spans="2:109" outlineLevel="1">
      <c r="B33" s="357" t="s">
        <v>184</v>
      </c>
      <c r="E33" s="169">
        <f>Summary!K28</f>
        <v>1652819.16</v>
      </c>
      <c r="I33" s="138">
        <v>1</v>
      </c>
      <c r="J33" s="138">
        <v>0</v>
      </c>
      <c r="K33" s="138">
        <v>0</v>
      </c>
      <c r="L33" s="138">
        <v>0</v>
      </c>
      <c r="M33" s="138">
        <v>0</v>
      </c>
      <c r="N33" s="138">
        <v>0</v>
      </c>
      <c r="O33" s="138">
        <v>0</v>
      </c>
      <c r="P33" s="138">
        <v>0</v>
      </c>
      <c r="Q33" s="138">
        <v>0</v>
      </c>
      <c r="R33" s="138">
        <v>0</v>
      </c>
      <c r="S33" s="138">
        <v>0</v>
      </c>
      <c r="T33" s="138">
        <v>0</v>
      </c>
      <c r="U33" s="138">
        <v>0</v>
      </c>
      <c r="V33" s="138">
        <v>0</v>
      </c>
      <c r="W33" s="138">
        <v>0</v>
      </c>
      <c r="X33" s="138">
        <v>0</v>
      </c>
      <c r="Y33" s="138">
        <v>0</v>
      </c>
      <c r="Z33" s="138">
        <v>0</v>
      </c>
      <c r="AA33" s="138">
        <v>0</v>
      </c>
      <c r="AB33" s="138">
        <v>0</v>
      </c>
      <c r="AC33" s="138">
        <v>0</v>
      </c>
      <c r="AD33" s="138">
        <v>0</v>
      </c>
      <c r="AE33" s="138">
        <v>0</v>
      </c>
      <c r="AF33" s="138">
        <v>0</v>
      </c>
      <c r="AG33" s="138">
        <v>0</v>
      </c>
      <c r="AH33" s="138">
        <v>0</v>
      </c>
      <c r="AI33" s="138">
        <v>0</v>
      </c>
      <c r="AJ33" s="138">
        <v>0</v>
      </c>
      <c r="AK33" s="138">
        <v>0</v>
      </c>
      <c r="AL33" s="138">
        <v>0</v>
      </c>
      <c r="AM33" s="138">
        <v>0</v>
      </c>
      <c r="AN33" s="138">
        <v>0</v>
      </c>
      <c r="AO33" s="138">
        <v>0</v>
      </c>
      <c r="AP33" s="138">
        <v>0</v>
      </c>
      <c r="AQ33" s="138">
        <v>0</v>
      </c>
      <c r="AR33" s="138">
        <v>0</v>
      </c>
      <c r="AS33" s="138">
        <v>0</v>
      </c>
      <c r="AT33" s="138">
        <v>0</v>
      </c>
      <c r="AU33" s="138">
        <v>0</v>
      </c>
      <c r="AV33" s="138">
        <v>0</v>
      </c>
      <c r="AW33" s="138">
        <v>0</v>
      </c>
      <c r="AX33" s="138">
        <v>0</v>
      </c>
      <c r="AY33" s="138">
        <v>0</v>
      </c>
      <c r="AZ33" s="138">
        <v>0</v>
      </c>
      <c r="BA33" s="138">
        <v>0</v>
      </c>
      <c r="BB33" s="138">
        <v>0</v>
      </c>
      <c r="BC33" s="138">
        <v>0</v>
      </c>
      <c r="BD33" s="138">
        <v>0</v>
      </c>
      <c r="BE33" s="138">
        <v>0</v>
      </c>
      <c r="BF33" s="138">
        <v>0</v>
      </c>
      <c r="BG33" s="138">
        <v>0</v>
      </c>
      <c r="BH33" s="138">
        <v>0</v>
      </c>
      <c r="BI33" s="138">
        <v>0</v>
      </c>
      <c r="BJ33" s="138">
        <v>0</v>
      </c>
      <c r="BK33" s="138">
        <v>0</v>
      </c>
      <c r="BL33" s="138">
        <v>0</v>
      </c>
      <c r="BM33" s="138">
        <v>0</v>
      </c>
      <c r="BN33" s="138">
        <v>0</v>
      </c>
      <c r="BO33" s="138">
        <v>0</v>
      </c>
      <c r="BP33" s="138">
        <v>0</v>
      </c>
      <c r="BQ33" s="138">
        <v>0</v>
      </c>
      <c r="BR33" s="138">
        <v>0</v>
      </c>
      <c r="BS33" s="138">
        <v>0</v>
      </c>
      <c r="BT33" s="138">
        <v>0</v>
      </c>
      <c r="BU33" s="138">
        <v>0</v>
      </c>
      <c r="BV33" s="138">
        <v>0</v>
      </c>
      <c r="BW33" s="138">
        <v>0</v>
      </c>
      <c r="BX33" s="138">
        <v>0</v>
      </c>
      <c r="BY33" s="138">
        <v>0</v>
      </c>
      <c r="BZ33" s="138">
        <v>0</v>
      </c>
      <c r="CA33" s="138">
        <v>0</v>
      </c>
      <c r="CB33" s="138">
        <v>0</v>
      </c>
      <c r="CC33" s="138">
        <v>0</v>
      </c>
      <c r="CD33" s="138">
        <v>0</v>
      </c>
      <c r="CE33" s="138">
        <v>0</v>
      </c>
      <c r="CF33" s="138">
        <v>0</v>
      </c>
      <c r="CG33" s="138">
        <v>0</v>
      </c>
      <c r="CH33" s="138">
        <v>0</v>
      </c>
      <c r="CI33" s="138">
        <v>0</v>
      </c>
      <c r="CJ33" s="138">
        <v>0</v>
      </c>
      <c r="CK33" s="138">
        <v>0</v>
      </c>
      <c r="CL33" s="138">
        <v>0</v>
      </c>
      <c r="CM33" s="138">
        <v>0</v>
      </c>
      <c r="CN33" s="138">
        <v>0</v>
      </c>
      <c r="CO33" s="138">
        <v>0</v>
      </c>
      <c r="CP33" s="138">
        <v>0</v>
      </c>
      <c r="CQ33" s="138">
        <v>0</v>
      </c>
      <c r="CR33" s="138">
        <v>0</v>
      </c>
      <c r="CS33" s="138">
        <v>0</v>
      </c>
      <c r="CT33" s="138">
        <v>0</v>
      </c>
      <c r="CU33" s="138">
        <v>0</v>
      </c>
      <c r="CV33" s="138">
        <v>0</v>
      </c>
      <c r="CW33" s="138">
        <v>0</v>
      </c>
      <c r="CX33" s="138">
        <v>0</v>
      </c>
      <c r="CY33" s="138">
        <v>0</v>
      </c>
      <c r="CZ33" s="138">
        <v>0</v>
      </c>
      <c r="DA33" s="138">
        <v>0</v>
      </c>
      <c r="DB33" s="138">
        <v>0</v>
      </c>
      <c r="DC33" s="138">
        <v>0</v>
      </c>
      <c r="DD33" s="138">
        <v>0</v>
      </c>
      <c r="DE33" s="243">
        <v>0</v>
      </c>
    </row>
    <row r="34" spans="2:109" outlineLevel="1">
      <c r="B34" s="357" t="s">
        <v>185</v>
      </c>
      <c r="E34" s="169">
        <f>Summary!K29</f>
        <v>126419</v>
      </c>
      <c r="I34" s="138">
        <f t="shared" ref="I34:AN34" si="141">I9</f>
        <v>0</v>
      </c>
      <c r="J34" s="138">
        <f t="shared" si="141"/>
        <v>8.9554909575832145E-4</v>
      </c>
      <c r="K34" s="138">
        <f t="shared" si="141"/>
        <v>1.0734290421002515E-3</v>
      </c>
      <c r="L34" s="138">
        <f t="shared" si="141"/>
        <v>1.2806001366453777E-3</v>
      </c>
      <c r="M34" s="138">
        <f t="shared" si="141"/>
        <v>1.5205825692749132E-3</v>
      </c>
      <c r="N34" s="138">
        <f t="shared" si="141"/>
        <v>1.7970606433347451E-3</v>
      </c>
      <c r="O34" s="138">
        <f t="shared" si="141"/>
        <v>2.1138380906003821E-3</v>
      </c>
      <c r="P34" s="138">
        <f t="shared" si="141"/>
        <v>2.4747821061317154E-3</v>
      </c>
      <c r="Q34" s="138">
        <f t="shared" si="141"/>
        <v>2.8837557680342777E-3</v>
      </c>
      <c r="R34" s="138">
        <f t="shared" si="141"/>
        <v>3.3445388607418985E-3</v>
      </c>
      <c r="S34" s="138">
        <f t="shared" si="141"/>
        <v>3.8607375353975531E-3</v>
      </c>
      <c r="T34" s="138">
        <f t="shared" si="141"/>
        <v>4.4356837089287067E-3</v>
      </c>
      <c r="U34" s="138">
        <f t="shared" si="141"/>
        <v>5.0723256120922544E-3</v>
      </c>
      <c r="V34" s="138">
        <f t="shared" si="141"/>
        <v>5.7731114296112477E-3</v>
      </c>
      <c r="W34" s="138">
        <f t="shared" si="141"/>
        <v>6.5398685122134946E-3</v>
      </c>
      <c r="X34" s="138">
        <f t="shared" si="141"/>
        <v>7.3736811572638105E-3</v>
      </c>
      <c r="Y34" s="138">
        <f t="shared" si="141"/>
        <v>8.2747704255963037E-3</v>
      </c>
      <c r="Z34" s="138">
        <f t="shared" si="141"/>
        <v>9.2423798594956051E-3</v>
      </c>
      <c r="AA34" s="138">
        <f t="shared" si="141"/>
        <v>1.0274671262808344E-2</v>
      </c>
      <c r="AB34" s="138">
        <f t="shared" si="141"/>
        <v>1.1368634872516306E-2</v>
      </c>
      <c r="AC34" s="138">
        <f t="shared" si="141"/>
        <v>1.2520018268380952E-2</v>
      </c>
      <c r="AD34" s="138">
        <f t="shared" si="141"/>
        <v>1.3723278214710382E-2</v>
      </c>
      <c r="AE34" s="138">
        <f t="shared" si="141"/>
        <v>1.4971559293334318E-2</v>
      </c>
      <c r="AF34" s="138">
        <f t="shared" si="141"/>
        <v>1.6256702664512183E-2</v>
      </c>
      <c r="AG34" s="138">
        <f t="shared" si="141"/>
        <v>1.7569287586426296E-2</v>
      </c>
      <c r="AH34" s="138">
        <f t="shared" si="141"/>
        <v>1.889870744718446E-2</v>
      </c>
      <c r="AI34" s="138">
        <f t="shared" si="141"/>
        <v>2.0233281038517882E-2</v>
      </c>
      <c r="AJ34" s="138">
        <f t="shared" si="141"/>
        <v>2.1560398659526678E-2</v>
      </c>
      <c r="AK34" s="138">
        <f t="shared" si="141"/>
        <v>2.2866701422185391E-2</v>
      </c>
      <c r="AL34" s="138">
        <f t="shared" si="141"/>
        <v>2.4138290885081567E-2</v>
      </c>
      <c r="AM34" s="138">
        <f t="shared" si="141"/>
        <v>2.5360964920173507E-2</v>
      </c>
      <c r="AN34" s="138">
        <f t="shared" si="141"/>
        <v>2.6520474573896766E-2</v>
      </c>
      <c r="AO34" s="138">
        <f t="shared" ref="AO34:BN34" si="142">AO9</f>
        <v>2.7602795673207038E-2</v>
      </c>
      <c r="AP34" s="138">
        <f t="shared" si="142"/>
        <v>2.8594408100510629E-2</v>
      </c>
      <c r="AQ34" s="138">
        <f t="shared" si="142"/>
        <v>2.9482575064311123E-2</v>
      </c>
      <c r="AR34" s="138">
        <f t="shared" si="142"/>
        <v>3.0255614361512379E-2</v>
      </c>
      <c r="AS34" s="138">
        <f t="shared" si="142"/>
        <v>3.0903153588346943E-2</v>
      </c>
      <c r="AT34" s="138">
        <f t="shared" si="142"/>
        <v>3.1416361522675275E-2</v>
      </c>
      <c r="AU34" s="138">
        <f t="shared" si="142"/>
        <v>3.1788148469734559E-2</v>
      </c>
      <c r="AV34" s="138">
        <f t="shared" si="142"/>
        <v>3.2013329220694976E-2</v>
      </c>
      <c r="AW34" s="138">
        <f t="shared" si="142"/>
        <v>3.2088743388972024E-2</v>
      </c>
      <c r="AX34" s="138">
        <f t="shared" si="142"/>
        <v>3.2013329220694976E-2</v>
      </c>
      <c r="AY34" s="138">
        <f t="shared" si="142"/>
        <v>3.1788148469734566E-2</v>
      </c>
      <c r="AZ34" s="138">
        <f t="shared" si="142"/>
        <v>3.1416361522675282E-2</v>
      </c>
      <c r="BA34" s="138">
        <f t="shared" si="142"/>
        <v>3.0903153588346947E-2</v>
      </c>
      <c r="BB34" s="138">
        <f t="shared" si="142"/>
        <v>3.0255614361512386E-2</v>
      </c>
      <c r="BC34" s="138">
        <f t="shared" si="142"/>
        <v>2.9482575064311126E-2</v>
      </c>
      <c r="BD34" s="138">
        <f t="shared" si="142"/>
        <v>2.8594408100510633E-2</v>
      </c>
      <c r="BE34" s="138">
        <f t="shared" si="142"/>
        <v>2.7602795673207059E-2</v>
      </c>
      <c r="BF34" s="138">
        <f t="shared" si="142"/>
        <v>2.6520474573896773E-2</v>
      </c>
      <c r="BG34" s="138">
        <f t="shared" si="142"/>
        <v>2.5360964920173517E-2</v>
      </c>
      <c r="BH34" s="138">
        <f t="shared" si="142"/>
        <v>2.4138290885081581E-2</v>
      </c>
      <c r="BI34" s="138">
        <f t="shared" si="142"/>
        <v>2.2866701422185401E-2</v>
      </c>
      <c r="BJ34" s="138">
        <f t="shared" si="142"/>
        <v>2.1560398659526688E-2</v>
      </c>
      <c r="BK34" s="138">
        <f t="shared" si="142"/>
        <v>2.0233281038517896E-2</v>
      </c>
      <c r="BL34" s="138">
        <f t="shared" si="142"/>
        <v>1.8898707447184474E-2</v>
      </c>
      <c r="BM34" s="138">
        <f t="shared" si="142"/>
        <v>0</v>
      </c>
      <c r="BN34" s="138">
        <f t="shared" si="142"/>
        <v>0</v>
      </c>
      <c r="BO34" s="138">
        <f t="shared" ref="BO34:CB34" si="143">BO9</f>
        <v>0</v>
      </c>
      <c r="BP34" s="138">
        <f t="shared" si="143"/>
        <v>0</v>
      </c>
      <c r="BQ34" s="138">
        <f t="shared" si="143"/>
        <v>0</v>
      </c>
      <c r="BR34" s="138">
        <f t="shared" si="143"/>
        <v>0</v>
      </c>
      <c r="BS34" s="138">
        <f t="shared" si="143"/>
        <v>0</v>
      </c>
      <c r="BT34" s="138">
        <f t="shared" si="143"/>
        <v>0</v>
      </c>
      <c r="BU34" s="138">
        <f t="shared" si="143"/>
        <v>0</v>
      </c>
      <c r="BV34" s="138">
        <f t="shared" si="143"/>
        <v>0</v>
      </c>
      <c r="BW34" s="138">
        <f t="shared" si="143"/>
        <v>0</v>
      </c>
      <c r="BX34" s="138">
        <f t="shared" si="143"/>
        <v>0</v>
      </c>
      <c r="BY34" s="138">
        <f t="shared" si="143"/>
        <v>0</v>
      </c>
      <c r="BZ34" s="138">
        <f t="shared" si="143"/>
        <v>0</v>
      </c>
      <c r="CA34" s="138">
        <f t="shared" si="143"/>
        <v>0</v>
      </c>
      <c r="CB34" s="138">
        <f t="shared" si="143"/>
        <v>0</v>
      </c>
      <c r="CC34" s="138">
        <f t="shared" ref="CC34:DE34" si="144">CC9</f>
        <v>0</v>
      </c>
      <c r="CD34" s="138">
        <f t="shared" si="144"/>
        <v>0</v>
      </c>
      <c r="CE34" s="138">
        <f t="shared" si="144"/>
        <v>0</v>
      </c>
      <c r="CF34" s="138">
        <f t="shared" si="144"/>
        <v>0</v>
      </c>
      <c r="CG34" s="138">
        <f t="shared" si="144"/>
        <v>0</v>
      </c>
      <c r="CH34" s="138">
        <f t="shared" si="144"/>
        <v>0</v>
      </c>
      <c r="CI34" s="138">
        <f t="shared" si="144"/>
        <v>0</v>
      </c>
      <c r="CJ34" s="138">
        <f t="shared" si="144"/>
        <v>0</v>
      </c>
      <c r="CK34" s="138">
        <f t="shared" si="144"/>
        <v>0</v>
      </c>
      <c r="CL34" s="138">
        <f t="shared" si="144"/>
        <v>0</v>
      </c>
      <c r="CM34" s="138">
        <f t="shared" si="144"/>
        <v>0</v>
      </c>
      <c r="CN34" s="138">
        <f t="shared" si="144"/>
        <v>0</v>
      </c>
      <c r="CO34" s="138">
        <f t="shared" si="144"/>
        <v>0</v>
      </c>
      <c r="CP34" s="138">
        <f t="shared" si="144"/>
        <v>0</v>
      </c>
      <c r="CQ34" s="138">
        <f t="shared" si="144"/>
        <v>0</v>
      </c>
      <c r="CR34" s="138">
        <f t="shared" si="144"/>
        <v>0</v>
      </c>
      <c r="CS34" s="138">
        <f t="shared" si="144"/>
        <v>0</v>
      </c>
      <c r="CT34" s="138">
        <f t="shared" si="144"/>
        <v>0</v>
      </c>
      <c r="CU34" s="138">
        <f t="shared" si="144"/>
        <v>0</v>
      </c>
      <c r="CV34" s="138">
        <f t="shared" si="144"/>
        <v>0</v>
      </c>
      <c r="CW34" s="138">
        <f t="shared" si="144"/>
        <v>0</v>
      </c>
      <c r="CX34" s="138">
        <f t="shared" si="144"/>
        <v>0</v>
      </c>
      <c r="CY34" s="138">
        <f t="shared" si="144"/>
        <v>0</v>
      </c>
      <c r="CZ34" s="138">
        <f t="shared" si="144"/>
        <v>0</v>
      </c>
      <c r="DA34" s="138">
        <f t="shared" si="144"/>
        <v>0</v>
      </c>
      <c r="DB34" s="138">
        <f t="shared" si="144"/>
        <v>0</v>
      </c>
      <c r="DC34" s="138">
        <f t="shared" si="144"/>
        <v>0</v>
      </c>
      <c r="DD34" s="138">
        <f t="shared" si="144"/>
        <v>0</v>
      </c>
      <c r="DE34" s="243">
        <f t="shared" si="144"/>
        <v>0</v>
      </c>
    </row>
    <row r="35" spans="2:109" outlineLevel="1">
      <c r="B35" s="357" t="s">
        <v>186</v>
      </c>
      <c r="E35" s="169">
        <f>Summary!K30</f>
        <v>37950</v>
      </c>
      <c r="I35" s="138">
        <v>1</v>
      </c>
      <c r="J35" s="138">
        <v>0</v>
      </c>
      <c r="K35" s="138">
        <v>0</v>
      </c>
      <c r="L35" s="138">
        <v>0</v>
      </c>
      <c r="M35" s="138">
        <v>0</v>
      </c>
      <c r="N35" s="138">
        <v>0</v>
      </c>
      <c r="O35" s="138">
        <v>0</v>
      </c>
      <c r="P35" s="138">
        <v>0</v>
      </c>
      <c r="Q35" s="138">
        <v>0</v>
      </c>
      <c r="R35" s="138">
        <v>0</v>
      </c>
      <c r="S35" s="138">
        <v>0</v>
      </c>
      <c r="T35" s="138">
        <v>0</v>
      </c>
      <c r="U35" s="138">
        <v>0</v>
      </c>
      <c r="V35" s="138">
        <v>0</v>
      </c>
      <c r="W35" s="138">
        <v>0</v>
      </c>
      <c r="X35" s="138">
        <v>0</v>
      </c>
      <c r="Y35" s="138">
        <v>0</v>
      </c>
      <c r="Z35" s="138">
        <v>0</v>
      </c>
      <c r="AA35" s="138">
        <v>0</v>
      </c>
      <c r="AB35" s="138">
        <v>0</v>
      </c>
      <c r="AC35" s="138">
        <v>0</v>
      </c>
      <c r="AD35" s="138">
        <v>0</v>
      </c>
      <c r="AE35" s="138">
        <v>0</v>
      </c>
      <c r="AF35" s="138">
        <v>0</v>
      </c>
      <c r="AG35" s="138">
        <v>0</v>
      </c>
      <c r="AH35" s="138">
        <v>0</v>
      </c>
      <c r="AI35" s="138">
        <v>0</v>
      </c>
      <c r="AJ35" s="138">
        <v>0</v>
      </c>
      <c r="AK35" s="138">
        <v>0</v>
      </c>
      <c r="AL35" s="138">
        <v>0</v>
      </c>
      <c r="AM35" s="138">
        <v>0</v>
      </c>
      <c r="AN35" s="138">
        <v>0</v>
      </c>
      <c r="AO35" s="138">
        <v>0</v>
      </c>
      <c r="AP35" s="138">
        <v>0</v>
      </c>
      <c r="AQ35" s="138">
        <v>0</v>
      </c>
      <c r="AR35" s="138">
        <v>0</v>
      </c>
      <c r="AS35" s="138">
        <v>0</v>
      </c>
      <c r="AT35" s="138">
        <v>0</v>
      </c>
      <c r="AU35" s="138">
        <v>0</v>
      </c>
      <c r="AV35" s="138">
        <v>0</v>
      </c>
      <c r="AW35" s="138">
        <v>0</v>
      </c>
      <c r="AX35" s="138">
        <v>0</v>
      </c>
      <c r="AY35" s="138">
        <v>0</v>
      </c>
      <c r="AZ35" s="138">
        <v>0</v>
      </c>
      <c r="BA35" s="138">
        <v>0</v>
      </c>
      <c r="BB35" s="138">
        <v>0</v>
      </c>
      <c r="BC35" s="138">
        <v>0</v>
      </c>
      <c r="BD35" s="138">
        <v>0</v>
      </c>
      <c r="BE35" s="138">
        <v>0</v>
      </c>
      <c r="BF35" s="138">
        <v>0</v>
      </c>
      <c r="BG35" s="138">
        <v>0</v>
      </c>
      <c r="BH35" s="138">
        <v>0</v>
      </c>
      <c r="BI35" s="138">
        <v>0</v>
      </c>
      <c r="BJ35" s="138">
        <v>0</v>
      </c>
      <c r="BK35" s="138">
        <v>0</v>
      </c>
      <c r="BL35" s="138">
        <v>0</v>
      </c>
      <c r="BM35" s="138">
        <v>0</v>
      </c>
      <c r="BN35" s="138">
        <v>0</v>
      </c>
      <c r="BO35" s="138">
        <v>0</v>
      </c>
      <c r="BP35" s="138">
        <v>0</v>
      </c>
      <c r="BQ35" s="138">
        <v>0</v>
      </c>
      <c r="BR35" s="138">
        <v>0</v>
      </c>
      <c r="BS35" s="138">
        <v>0</v>
      </c>
      <c r="BT35" s="138">
        <v>0</v>
      </c>
      <c r="BU35" s="138">
        <v>0</v>
      </c>
      <c r="BV35" s="138">
        <v>0</v>
      </c>
      <c r="BW35" s="138">
        <v>0</v>
      </c>
      <c r="BX35" s="138">
        <v>0</v>
      </c>
      <c r="BY35" s="138">
        <v>0</v>
      </c>
      <c r="BZ35" s="138">
        <v>0</v>
      </c>
      <c r="CA35" s="138">
        <v>0</v>
      </c>
      <c r="CB35" s="138">
        <v>0</v>
      </c>
      <c r="CC35" s="138">
        <v>0</v>
      </c>
      <c r="CD35" s="138">
        <v>0</v>
      </c>
      <c r="CE35" s="138">
        <v>0</v>
      </c>
      <c r="CF35" s="138">
        <v>0</v>
      </c>
      <c r="CG35" s="138">
        <v>0</v>
      </c>
      <c r="CH35" s="138">
        <v>0</v>
      </c>
      <c r="CI35" s="138">
        <v>0</v>
      </c>
      <c r="CJ35" s="138">
        <v>0</v>
      </c>
      <c r="CK35" s="138">
        <v>0</v>
      </c>
      <c r="CL35" s="138">
        <v>0</v>
      </c>
      <c r="CM35" s="138">
        <v>0</v>
      </c>
      <c r="CN35" s="138">
        <v>0</v>
      </c>
      <c r="CO35" s="138">
        <v>0</v>
      </c>
      <c r="CP35" s="138">
        <v>0</v>
      </c>
      <c r="CQ35" s="138">
        <v>0</v>
      </c>
      <c r="CR35" s="138">
        <v>0</v>
      </c>
      <c r="CS35" s="138">
        <v>0</v>
      </c>
      <c r="CT35" s="138">
        <v>0</v>
      </c>
      <c r="CU35" s="138">
        <v>0</v>
      </c>
      <c r="CV35" s="138">
        <v>0</v>
      </c>
      <c r="CW35" s="138">
        <v>0</v>
      </c>
      <c r="CX35" s="138">
        <v>0</v>
      </c>
      <c r="CY35" s="138">
        <v>0</v>
      </c>
      <c r="CZ35" s="138">
        <v>0</v>
      </c>
      <c r="DA35" s="138">
        <v>0</v>
      </c>
      <c r="DB35" s="138">
        <v>0</v>
      </c>
      <c r="DC35" s="138">
        <v>0</v>
      </c>
      <c r="DD35" s="138">
        <v>0</v>
      </c>
      <c r="DE35" s="243">
        <v>0</v>
      </c>
    </row>
    <row r="36" spans="2:109" outlineLevel="1">
      <c r="B36" s="357" t="s">
        <v>187</v>
      </c>
      <c r="E36" s="169">
        <f>Summary!K31</f>
        <v>42587.5</v>
      </c>
      <c r="I36" s="138">
        <v>1</v>
      </c>
      <c r="J36" s="138">
        <v>0</v>
      </c>
      <c r="K36" s="138">
        <v>0</v>
      </c>
      <c r="L36" s="138">
        <v>0</v>
      </c>
      <c r="M36" s="138">
        <v>0</v>
      </c>
      <c r="N36" s="138">
        <v>0</v>
      </c>
      <c r="O36" s="138">
        <v>0</v>
      </c>
      <c r="P36" s="138">
        <v>0</v>
      </c>
      <c r="Q36" s="138">
        <v>0</v>
      </c>
      <c r="R36" s="138">
        <v>0</v>
      </c>
      <c r="S36" s="138">
        <v>0</v>
      </c>
      <c r="T36" s="138">
        <v>0</v>
      </c>
      <c r="U36" s="138">
        <v>0</v>
      </c>
      <c r="V36" s="138">
        <v>0</v>
      </c>
      <c r="W36" s="138">
        <v>0</v>
      </c>
      <c r="X36" s="138">
        <v>0</v>
      </c>
      <c r="Y36" s="138">
        <v>0</v>
      </c>
      <c r="Z36" s="138">
        <v>0</v>
      </c>
      <c r="AA36" s="138">
        <v>0</v>
      </c>
      <c r="AB36" s="138">
        <v>0</v>
      </c>
      <c r="AC36" s="138">
        <v>0</v>
      </c>
      <c r="AD36" s="138">
        <v>0</v>
      </c>
      <c r="AE36" s="138">
        <v>0</v>
      </c>
      <c r="AF36" s="138">
        <v>0</v>
      </c>
      <c r="AG36" s="138">
        <v>0</v>
      </c>
      <c r="AH36" s="138">
        <v>0</v>
      </c>
      <c r="AI36" s="138">
        <v>0</v>
      </c>
      <c r="AJ36" s="138">
        <v>0</v>
      </c>
      <c r="AK36" s="138">
        <v>0</v>
      </c>
      <c r="AL36" s="138">
        <v>0</v>
      </c>
      <c r="AM36" s="138">
        <v>0</v>
      </c>
      <c r="AN36" s="138">
        <v>0</v>
      </c>
      <c r="AO36" s="138">
        <v>0</v>
      </c>
      <c r="AP36" s="138">
        <v>0</v>
      </c>
      <c r="AQ36" s="138">
        <v>0</v>
      </c>
      <c r="AR36" s="138">
        <v>0</v>
      </c>
      <c r="AS36" s="138">
        <v>0</v>
      </c>
      <c r="AT36" s="138">
        <v>0</v>
      </c>
      <c r="AU36" s="138">
        <v>0</v>
      </c>
      <c r="AV36" s="138">
        <v>0</v>
      </c>
      <c r="AW36" s="138">
        <v>0</v>
      </c>
      <c r="AX36" s="138">
        <v>0</v>
      </c>
      <c r="AY36" s="138">
        <v>0</v>
      </c>
      <c r="AZ36" s="138">
        <v>0</v>
      </c>
      <c r="BA36" s="138">
        <v>0</v>
      </c>
      <c r="BB36" s="138">
        <v>0</v>
      </c>
      <c r="BC36" s="138">
        <v>0</v>
      </c>
      <c r="BD36" s="138">
        <v>0</v>
      </c>
      <c r="BE36" s="138">
        <v>0</v>
      </c>
      <c r="BF36" s="138">
        <v>0</v>
      </c>
      <c r="BG36" s="138">
        <v>0</v>
      </c>
      <c r="BH36" s="138">
        <v>0</v>
      </c>
      <c r="BI36" s="138">
        <v>0</v>
      </c>
      <c r="BJ36" s="138">
        <v>0</v>
      </c>
      <c r="BK36" s="138">
        <v>0</v>
      </c>
      <c r="BL36" s="138">
        <v>0</v>
      </c>
      <c r="BM36" s="138">
        <v>0</v>
      </c>
      <c r="BN36" s="138">
        <v>0</v>
      </c>
      <c r="BO36" s="138">
        <v>0</v>
      </c>
      <c r="BP36" s="138">
        <v>0</v>
      </c>
      <c r="BQ36" s="138">
        <v>0</v>
      </c>
      <c r="BR36" s="138">
        <v>0</v>
      </c>
      <c r="BS36" s="138">
        <v>0</v>
      </c>
      <c r="BT36" s="138">
        <v>0</v>
      </c>
      <c r="BU36" s="138">
        <v>0</v>
      </c>
      <c r="BV36" s="138">
        <v>0</v>
      </c>
      <c r="BW36" s="138">
        <v>0</v>
      </c>
      <c r="BX36" s="138">
        <v>0</v>
      </c>
      <c r="BY36" s="138">
        <v>0</v>
      </c>
      <c r="BZ36" s="138">
        <v>0</v>
      </c>
      <c r="CA36" s="138">
        <v>0</v>
      </c>
      <c r="CB36" s="138">
        <v>0</v>
      </c>
      <c r="CC36" s="138">
        <v>0</v>
      </c>
      <c r="CD36" s="138">
        <v>0</v>
      </c>
      <c r="CE36" s="138">
        <v>0</v>
      </c>
      <c r="CF36" s="138">
        <v>0</v>
      </c>
      <c r="CG36" s="138">
        <v>0</v>
      </c>
      <c r="CH36" s="138">
        <v>0</v>
      </c>
      <c r="CI36" s="138">
        <v>0</v>
      </c>
      <c r="CJ36" s="138">
        <v>0</v>
      </c>
      <c r="CK36" s="138">
        <v>0</v>
      </c>
      <c r="CL36" s="138">
        <v>0</v>
      </c>
      <c r="CM36" s="138">
        <v>0</v>
      </c>
      <c r="CN36" s="138">
        <v>0</v>
      </c>
      <c r="CO36" s="138">
        <v>0</v>
      </c>
      <c r="CP36" s="138">
        <v>0</v>
      </c>
      <c r="CQ36" s="138">
        <v>0</v>
      </c>
      <c r="CR36" s="138">
        <v>0</v>
      </c>
      <c r="CS36" s="138">
        <v>0</v>
      </c>
      <c r="CT36" s="138">
        <v>0</v>
      </c>
      <c r="CU36" s="138">
        <v>0</v>
      </c>
      <c r="CV36" s="138">
        <v>0</v>
      </c>
      <c r="CW36" s="138">
        <v>0</v>
      </c>
      <c r="CX36" s="138">
        <v>0</v>
      </c>
      <c r="CY36" s="138">
        <v>0</v>
      </c>
      <c r="CZ36" s="138">
        <v>0</v>
      </c>
      <c r="DA36" s="138">
        <v>0</v>
      </c>
      <c r="DB36" s="138">
        <v>0</v>
      </c>
      <c r="DC36" s="138">
        <v>0</v>
      </c>
      <c r="DD36" s="138">
        <v>0</v>
      </c>
      <c r="DE36" s="243">
        <v>0</v>
      </c>
    </row>
    <row r="37" spans="2:109" outlineLevel="1">
      <c r="B37" s="357" t="s">
        <v>188</v>
      </c>
      <c r="E37" s="169">
        <f>Summary!K32</f>
        <v>261124</v>
      </c>
      <c r="I37" s="138">
        <v>1</v>
      </c>
      <c r="J37" s="138">
        <v>0</v>
      </c>
      <c r="K37" s="138">
        <v>0</v>
      </c>
      <c r="L37" s="138">
        <v>0</v>
      </c>
      <c r="M37" s="138">
        <v>0</v>
      </c>
      <c r="N37" s="138">
        <v>0</v>
      </c>
      <c r="O37" s="138">
        <v>0</v>
      </c>
      <c r="P37" s="138">
        <v>0</v>
      </c>
      <c r="Q37" s="138">
        <v>0</v>
      </c>
      <c r="R37" s="138">
        <v>0</v>
      </c>
      <c r="S37" s="138">
        <v>0</v>
      </c>
      <c r="T37" s="138">
        <v>0</v>
      </c>
      <c r="U37" s="138">
        <v>0</v>
      </c>
      <c r="V37" s="138">
        <v>0</v>
      </c>
      <c r="W37" s="138">
        <v>0</v>
      </c>
      <c r="X37" s="138">
        <v>0</v>
      </c>
      <c r="Y37" s="138">
        <v>0</v>
      </c>
      <c r="Z37" s="138">
        <v>0</v>
      </c>
      <c r="AA37" s="138">
        <v>0</v>
      </c>
      <c r="AB37" s="138">
        <v>0</v>
      </c>
      <c r="AC37" s="138">
        <v>0</v>
      </c>
      <c r="AD37" s="138">
        <v>0</v>
      </c>
      <c r="AE37" s="138">
        <v>0</v>
      </c>
      <c r="AF37" s="138">
        <v>0</v>
      </c>
      <c r="AG37" s="138">
        <v>0</v>
      </c>
      <c r="AH37" s="138">
        <v>0</v>
      </c>
      <c r="AI37" s="138">
        <v>0</v>
      </c>
      <c r="AJ37" s="138">
        <v>0</v>
      </c>
      <c r="AK37" s="138">
        <v>0</v>
      </c>
      <c r="AL37" s="138">
        <v>0</v>
      </c>
      <c r="AM37" s="138">
        <v>0</v>
      </c>
      <c r="AN37" s="138">
        <v>0</v>
      </c>
      <c r="AO37" s="138">
        <v>0</v>
      </c>
      <c r="AP37" s="138">
        <v>0</v>
      </c>
      <c r="AQ37" s="138">
        <v>0</v>
      </c>
      <c r="AR37" s="138">
        <v>0</v>
      </c>
      <c r="AS37" s="138">
        <v>0</v>
      </c>
      <c r="AT37" s="138">
        <v>0</v>
      </c>
      <c r="AU37" s="138">
        <v>0</v>
      </c>
      <c r="AV37" s="138">
        <v>0</v>
      </c>
      <c r="AW37" s="138">
        <v>0</v>
      </c>
      <c r="AX37" s="138">
        <v>0</v>
      </c>
      <c r="AY37" s="138">
        <v>0</v>
      </c>
      <c r="AZ37" s="138">
        <v>0</v>
      </c>
      <c r="BA37" s="138">
        <v>0</v>
      </c>
      <c r="BB37" s="138">
        <v>0</v>
      </c>
      <c r="BC37" s="138">
        <v>0</v>
      </c>
      <c r="BD37" s="138">
        <v>0</v>
      </c>
      <c r="BE37" s="138">
        <v>0</v>
      </c>
      <c r="BF37" s="138">
        <v>0</v>
      </c>
      <c r="BG37" s="138">
        <v>0</v>
      </c>
      <c r="BH37" s="138">
        <v>0</v>
      </c>
      <c r="BI37" s="138">
        <v>0</v>
      </c>
      <c r="BJ37" s="138">
        <v>0</v>
      </c>
      <c r="BK37" s="138">
        <v>0</v>
      </c>
      <c r="BL37" s="138">
        <v>0</v>
      </c>
      <c r="BM37" s="138">
        <v>0</v>
      </c>
      <c r="BN37" s="138">
        <v>0</v>
      </c>
      <c r="BO37" s="138">
        <v>0</v>
      </c>
      <c r="BP37" s="138">
        <v>0</v>
      </c>
      <c r="BQ37" s="138">
        <v>0</v>
      </c>
      <c r="BR37" s="138">
        <v>0</v>
      </c>
      <c r="BS37" s="138">
        <v>0</v>
      </c>
      <c r="BT37" s="138">
        <v>0</v>
      </c>
      <c r="BU37" s="138">
        <v>0</v>
      </c>
      <c r="BV37" s="138">
        <v>0</v>
      </c>
      <c r="BW37" s="138">
        <v>0</v>
      </c>
      <c r="BX37" s="138">
        <v>0</v>
      </c>
      <c r="BY37" s="138">
        <v>0</v>
      </c>
      <c r="BZ37" s="138">
        <v>0</v>
      </c>
      <c r="CA37" s="138">
        <v>0</v>
      </c>
      <c r="CB37" s="138">
        <v>0</v>
      </c>
      <c r="CC37" s="138">
        <v>0</v>
      </c>
      <c r="CD37" s="138">
        <v>0</v>
      </c>
      <c r="CE37" s="138">
        <v>0</v>
      </c>
      <c r="CF37" s="138">
        <v>0</v>
      </c>
      <c r="CG37" s="138">
        <v>0</v>
      </c>
      <c r="CH37" s="138">
        <v>0</v>
      </c>
      <c r="CI37" s="138">
        <v>0</v>
      </c>
      <c r="CJ37" s="138">
        <v>0</v>
      </c>
      <c r="CK37" s="138">
        <v>0</v>
      </c>
      <c r="CL37" s="138">
        <v>0</v>
      </c>
      <c r="CM37" s="138">
        <v>0</v>
      </c>
      <c r="CN37" s="138">
        <v>0</v>
      </c>
      <c r="CO37" s="138">
        <v>0</v>
      </c>
      <c r="CP37" s="138">
        <v>0</v>
      </c>
      <c r="CQ37" s="138">
        <v>0</v>
      </c>
      <c r="CR37" s="138">
        <v>0</v>
      </c>
      <c r="CS37" s="138">
        <v>0</v>
      </c>
      <c r="CT37" s="138">
        <v>0</v>
      </c>
      <c r="CU37" s="138">
        <v>0</v>
      </c>
      <c r="CV37" s="138">
        <v>0</v>
      </c>
      <c r="CW37" s="138">
        <v>0</v>
      </c>
      <c r="CX37" s="138">
        <v>0</v>
      </c>
      <c r="CY37" s="138">
        <v>0</v>
      </c>
      <c r="CZ37" s="138">
        <v>0</v>
      </c>
      <c r="DA37" s="138">
        <v>0</v>
      </c>
      <c r="DB37" s="138">
        <v>0</v>
      </c>
      <c r="DC37" s="138">
        <v>0</v>
      </c>
      <c r="DD37" s="138">
        <v>0</v>
      </c>
      <c r="DE37" s="243">
        <v>0</v>
      </c>
    </row>
    <row r="38" spans="2:109" outlineLevel="1">
      <c r="B38" s="357" t="s">
        <v>189</v>
      </c>
      <c r="D38" s="238">
        <v>0</v>
      </c>
      <c r="E38" s="169">
        <f>Summary!K33*D38</f>
        <v>0</v>
      </c>
      <c r="I38" s="138">
        <f t="shared" ref="I38:AN38" si="145">I9</f>
        <v>0</v>
      </c>
      <c r="J38" s="138">
        <f t="shared" si="145"/>
        <v>8.9554909575832145E-4</v>
      </c>
      <c r="K38" s="138">
        <f t="shared" si="145"/>
        <v>1.0734290421002515E-3</v>
      </c>
      <c r="L38" s="138">
        <f t="shared" si="145"/>
        <v>1.2806001366453777E-3</v>
      </c>
      <c r="M38" s="138">
        <f t="shared" si="145"/>
        <v>1.5205825692749132E-3</v>
      </c>
      <c r="N38" s="138">
        <f t="shared" si="145"/>
        <v>1.7970606433347451E-3</v>
      </c>
      <c r="O38" s="138">
        <f t="shared" si="145"/>
        <v>2.1138380906003821E-3</v>
      </c>
      <c r="P38" s="138">
        <f t="shared" si="145"/>
        <v>2.4747821061317154E-3</v>
      </c>
      <c r="Q38" s="138">
        <f t="shared" si="145"/>
        <v>2.8837557680342777E-3</v>
      </c>
      <c r="R38" s="138">
        <f t="shared" si="145"/>
        <v>3.3445388607418985E-3</v>
      </c>
      <c r="S38" s="138">
        <f t="shared" si="145"/>
        <v>3.8607375353975531E-3</v>
      </c>
      <c r="T38" s="138">
        <f t="shared" si="145"/>
        <v>4.4356837089287067E-3</v>
      </c>
      <c r="U38" s="138">
        <f t="shared" si="145"/>
        <v>5.0723256120922544E-3</v>
      </c>
      <c r="V38" s="138">
        <f t="shared" si="145"/>
        <v>5.7731114296112477E-3</v>
      </c>
      <c r="W38" s="138">
        <f t="shared" si="145"/>
        <v>6.5398685122134946E-3</v>
      </c>
      <c r="X38" s="138">
        <f t="shared" si="145"/>
        <v>7.3736811572638105E-3</v>
      </c>
      <c r="Y38" s="138">
        <f t="shared" si="145"/>
        <v>8.2747704255963037E-3</v>
      </c>
      <c r="Z38" s="138">
        <f t="shared" si="145"/>
        <v>9.2423798594956051E-3</v>
      </c>
      <c r="AA38" s="138">
        <f t="shared" si="145"/>
        <v>1.0274671262808344E-2</v>
      </c>
      <c r="AB38" s="138">
        <f t="shared" si="145"/>
        <v>1.1368634872516306E-2</v>
      </c>
      <c r="AC38" s="138">
        <f t="shared" si="145"/>
        <v>1.2520018268380952E-2</v>
      </c>
      <c r="AD38" s="138">
        <f t="shared" si="145"/>
        <v>1.3723278214710382E-2</v>
      </c>
      <c r="AE38" s="138">
        <f t="shared" si="145"/>
        <v>1.4971559293334318E-2</v>
      </c>
      <c r="AF38" s="138">
        <f t="shared" si="145"/>
        <v>1.6256702664512183E-2</v>
      </c>
      <c r="AG38" s="138">
        <f t="shared" si="145"/>
        <v>1.7569287586426296E-2</v>
      </c>
      <c r="AH38" s="138">
        <f t="shared" si="145"/>
        <v>1.889870744718446E-2</v>
      </c>
      <c r="AI38" s="138">
        <f t="shared" si="145"/>
        <v>2.0233281038517882E-2</v>
      </c>
      <c r="AJ38" s="138">
        <f t="shared" si="145"/>
        <v>2.1560398659526678E-2</v>
      </c>
      <c r="AK38" s="138">
        <f t="shared" si="145"/>
        <v>2.2866701422185391E-2</v>
      </c>
      <c r="AL38" s="138">
        <f t="shared" si="145"/>
        <v>2.4138290885081567E-2</v>
      </c>
      <c r="AM38" s="138">
        <f t="shared" si="145"/>
        <v>2.5360964920173507E-2</v>
      </c>
      <c r="AN38" s="138">
        <f t="shared" si="145"/>
        <v>2.6520474573896766E-2</v>
      </c>
      <c r="AO38" s="138">
        <f t="shared" ref="AO38:BN38" si="146">AO9</f>
        <v>2.7602795673207038E-2</v>
      </c>
      <c r="AP38" s="138">
        <f t="shared" si="146"/>
        <v>2.8594408100510629E-2</v>
      </c>
      <c r="AQ38" s="138">
        <f t="shared" si="146"/>
        <v>2.9482575064311123E-2</v>
      </c>
      <c r="AR38" s="138">
        <f t="shared" si="146"/>
        <v>3.0255614361512379E-2</v>
      </c>
      <c r="AS38" s="138">
        <f t="shared" si="146"/>
        <v>3.0903153588346943E-2</v>
      </c>
      <c r="AT38" s="138">
        <f t="shared" si="146"/>
        <v>3.1416361522675275E-2</v>
      </c>
      <c r="AU38" s="138">
        <f t="shared" si="146"/>
        <v>3.1788148469734559E-2</v>
      </c>
      <c r="AV38" s="138">
        <f t="shared" si="146"/>
        <v>3.2013329220694976E-2</v>
      </c>
      <c r="AW38" s="138">
        <f t="shared" si="146"/>
        <v>3.2088743388972024E-2</v>
      </c>
      <c r="AX38" s="138">
        <f t="shared" si="146"/>
        <v>3.2013329220694976E-2</v>
      </c>
      <c r="AY38" s="138">
        <f t="shared" si="146"/>
        <v>3.1788148469734566E-2</v>
      </c>
      <c r="AZ38" s="138">
        <f t="shared" si="146"/>
        <v>3.1416361522675282E-2</v>
      </c>
      <c r="BA38" s="138">
        <f t="shared" si="146"/>
        <v>3.0903153588346947E-2</v>
      </c>
      <c r="BB38" s="138">
        <f t="shared" si="146"/>
        <v>3.0255614361512386E-2</v>
      </c>
      <c r="BC38" s="138">
        <f t="shared" si="146"/>
        <v>2.9482575064311126E-2</v>
      </c>
      <c r="BD38" s="138">
        <f t="shared" si="146"/>
        <v>2.8594408100510633E-2</v>
      </c>
      <c r="BE38" s="138">
        <f t="shared" si="146"/>
        <v>2.7602795673207059E-2</v>
      </c>
      <c r="BF38" s="138">
        <f t="shared" si="146"/>
        <v>2.6520474573896773E-2</v>
      </c>
      <c r="BG38" s="138">
        <f t="shared" si="146"/>
        <v>2.5360964920173517E-2</v>
      </c>
      <c r="BH38" s="138">
        <f t="shared" si="146"/>
        <v>2.4138290885081581E-2</v>
      </c>
      <c r="BI38" s="138">
        <f t="shared" si="146"/>
        <v>2.2866701422185401E-2</v>
      </c>
      <c r="BJ38" s="138">
        <f t="shared" si="146"/>
        <v>2.1560398659526688E-2</v>
      </c>
      <c r="BK38" s="138">
        <f t="shared" si="146"/>
        <v>2.0233281038517896E-2</v>
      </c>
      <c r="BL38" s="138">
        <f t="shared" si="146"/>
        <v>1.8898707447184474E-2</v>
      </c>
      <c r="BM38" s="138">
        <f t="shared" si="146"/>
        <v>0</v>
      </c>
      <c r="BN38" s="138">
        <f t="shared" si="146"/>
        <v>0</v>
      </c>
      <c r="BO38" s="138">
        <f t="shared" ref="BO38:CB38" si="147">BO9</f>
        <v>0</v>
      </c>
      <c r="BP38" s="138">
        <f t="shared" si="147"/>
        <v>0</v>
      </c>
      <c r="BQ38" s="138">
        <f t="shared" si="147"/>
        <v>0</v>
      </c>
      <c r="BR38" s="138">
        <f t="shared" si="147"/>
        <v>0</v>
      </c>
      <c r="BS38" s="138">
        <f t="shared" si="147"/>
        <v>0</v>
      </c>
      <c r="BT38" s="138">
        <f t="shared" si="147"/>
        <v>0</v>
      </c>
      <c r="BU38" s="138">
        <f t="shared" si="147"/>
        <v>0</v>
      </c>
      <c r="BV38" s="138">
        <f t="shared" si="147"/>
        <v>0</v>
      </c>
      <c r="BW38" s="138">
        <f t="shared" si="147"/>
        <v>0</v>
      </c>
      <c r="BX38" s="138">
        <f t="shared" si="147"/>
        <v>0</v>
      </c>
      <c r="BY38" s="138">
        <f t="shared" si="147"/>
        <v>0</v>
      </c>
      <c r="BZ38" s="138">
        <f t="shared" si="147"/>
        <v>0</v>
      </c>
      <c r="CA38" s="138">
        <f t="shared" si="147"/>
        <v>0</v>
      </c>
      <c r="CB38" s="138">
        <f t="shared" si="147"/>
        <v>0</v>
      </c>
      <c r="CC38" s="138">
        <f t="shared" ref="CC38:DE38" si="148">CC9</f>
        <v>0</v>
      </c>
      <c r="CD38" s="138">
        <f t="shared" si="148"/>
        <v>0</v>
      </c>
      <c r="CE38" s="138">
        <f t="shared" si="148"/>
        <v>0</v>
      </c>
      <c r="CF38" s="138">
        <f t="shared" si="148"/>
        <v>0</v>
      </c>
      <c r="CG38" s="138">
        <f t="shared" si="148"/>
        <v>0</v>
      </c>
      <c r="CH38" s="138">
        <f t="shared" si="148"/>
        <v>0</v>
      </c>
      <c r="CI38" s="138">
        <f t="shared" si="148"/>
        <v>0</v>
      </c>
      <c r="CJ38" s="138">
        <f t="shared" si="148"/>
        <v>0</v>
      </c>
      <c r="CK38" s="138">
        <f t="shared" si="148"/>
        <v>0</v>
      </c>
      <c r="CL38" s="138">
        <f t="shared" si="148"/>
        <v>0</v>
      </c>
      <c r="CM38" s="138">
        <f t="shared" si="148"/>
        <v>0</v>
      </c>
      <c r="CN38" s="138">
        <f t="shared" si="148"/>
        <v>0</v>
      </c>
      <c r="CO38" s="138">
        <f t="shared" si="148"/>
        <v>0</v>
      </c>
      <c r="CP38" s="138">
        <f t="shared" si="148"/>
        <v>0</v>
      </c>
      <c r="CQ38" s="138">
        <f t="shared" si="148"/>
        <v>0</v>
      </c>
      <c r="CR38" s="138">
        <f t="shared" si="148"/>
        <v>0</v>
      </c>
      <c r="CS38" s="138">
        <f t="shared" si="148"/>
        <v>0</v>
      </c>
      <c r="CT38" s="138">
        <f t="shared" si="148"/>
        <v>0</v>
      </c>
      <c r="CU38" s="138">
        <f t="shared" si="148"/>
        <v>0</v>
      </c>
      <c r="CV38" s="138">
        <f t="shared" si="148"/>
        <v>0</v>
      </c>
      <c r="CW38" s="138">
        <f t="shared" si="148"/>
        <v>0</v>
      </c>
      <c r="CX38" s="138">
        <f t="shared" si="148"/>
        <v>0</v>
      </c>
      <c r="CY38" s="138">
        <f t="shared" si="148"/>
        <v>0</v>
      </c>
      <c r="CZ38" s="138">
        <f t="shared" si="148"/>
        <v>0</v>
      </c>
      <c r="DA38" s="138">
        <f t="shared" si="148"/>
        <v>0</v>
      </c>
      <c r="DB38" s="138">
        <f t="shared" si="148"/>
        <v>0</v>
      </c>
      <c r="DC38" s="138">
        <f t="shared" si="148"/>
        <v>0</v>
      </c>
      <c r="DD38" s="138">
        <f t="shared" si="148"/>
        <v>0</v>
      </c>
      <c r="DE38" s="243">
        <f t="shared" si="148"/>
        <v>0</v>
      </c>
    </row>
    <row r="39" spans="2:109" outlineLevel="1">
      <c r="B39" s="357" t="s">
        <v>190</v>
      </c>
      <c r="E39" s="169">
        <v>0</v>
      </c>
      <c r="I39" s="138">
        <v>0</v>
      </c>
      <c r="J39" s="138">
        <v>0</v>
      </c>
      <c r="K39" s="138">
        <v>0</v>
      </c>
      <c r="L39" s="138">
        <v>0</v>
      </c>
      <c r="M39" s="138">
        <v>0</v>
      </c>
      <c r="N39" s="138">
        <v>0</v>
      </c>
      <c r="O39" s="138">
        <v>0</v>
      </c>
      <c r="P39" s="138">
        <v>0</v>
      </c>
      <c r="Q39" s="138">
        <v>0</v>
      </c>
      <c r="R39" s="138">
        <v>0</v>
      </c>
      <c r="S39" s="138">
        <v>0</v>
      </c>
      <c r="T39" s="138">
        <v>0</v>
      </c>
      <c r="U39" s="138">
        <v>0</v>
      </c>
      <c r="V39" s="138">
        <v>0</v>
      </c>
      <c r="W39" s="138">
        <v>0</v>
      </c>
      <c r="X39" s="138">
        <v>0</v>
      </c>
      <c r="Y39" s="138">
        <v>0</v>
      </c>
      <c r="Z39" s="138">
        <v>0</v>
      </c>
      <c r="AA39" s="138">
        <v>0</v>
      </c>
      <c r="AB39" s="138">
        <v>0</v>
      </c>
      <c r="AC39" s="138">
        <v>0</v>
      </c>
      <c r="AD39" s="138">
        <v>0</v>
      </c>
      <c r="AE39" s="138">
        <v>0</v>
      </c>
      <c r="AF39" s="138">
        <v>0</v>
      </c>
      <c r="AG39" s="138">
        <v>0</v>
      </c>
      <c r="AH39" s="138">
        <v>0</v>
      </c>
      <c r="AI39" s="138">
        <v>0</v>
      </c>
      <c r="AJ39" s="138">
        <v>0</v>
      </c>
      <c r="AK39" s="138">
        <v>0</v>
      </c>
      <c r="AL39" s="138">
        <v>0</v>
      </c>
      <c r="AM39" s="138">
        <v>0</v>
      </c>
      <c r="AN39" s="138">
        <v>0</v>
      </c>
      <c r="AO39" s="138">
        <v>0</v>
      </c>
      <c r="AP39" s="138">
        <v>0</v>
      </c>
      <c r="AQ39" s="138">
        <v>0</v>
      </c>
      <c r="AR39" s="138">
        <v>0</v>
      </c>
      <c r="AS39" s="138">
        <v>0</v>
      </c>
      <c r="AT39" s="138">
        <v>0</v>
      </c>
      <c r="AU39" s="138">
        <v>0</v>
      </c>
      <c r="AV39" s="138">
        <v>0</v>
      </c>
      <c r="AW39" s="138">
        <v>0</v>
      </c>
      <c r="AX39" s="138">
        <v>0</v>
      </c>
      <c r="AY39" s="138">
        <v>0</v>
      </c>
      <c r="AZ39" s="138">
        <v>0</v>
      </c>
      <c r="BA39" s="138">
        <v>0</v>
      </c>
      <c r="BB39" s="138">
        <v>0</v>
      </c>
      <c r="BC39" s="138">
        <v>0</v>
      </c>
      <c r="BD39" s="138">
        <v>0</v>
      </c>
      <c r="BE39" s="138">
        <v>0</v>
      </c>
      <c r="BF39" s="138">
        <v>0</v>
      </c>
      <c r="BG39" s="138">
        <v>0</v>
      </c>
      <c r="BH39" s="138">
        <v>0</v>
      </c>
      <c r="BI39" s="138">
        <v>0</v>
      </c>
      <c r="BJ39" s="138">
        <v>0</v>
      </c>
      <c r="BK39" s="138">
        <v>0</v>
      </c>
      <c r="BL39" s="138">
        <v>0</v>
      </c>
      <c r="BM39" s="138">
        <v>0</v>
      </c>
      <c r="BN39" s="138">
        <v>0</v>
      </c>
      <c r="BO39" s="138">
        <v>0</v>
      </c>
      <c r="BP39" s="138">
        <v>0</v>
      </c>
      <c r="BQ39" s="138">
        <v>0</v>
      </c>
      <c r="BR39" s="138">
        <v>0</v>
      </c>
      <c r="BS39" s="138">
        <v>0</v>
      </c>
      <c r="BT39" s="138">
        <v>0</v>
      </c>
      <c r="BU39" s="138">
        <v>0</v>
      </c>
      <c r="BV39" s="138">
        <v>0</v>
      </c>
      <c r="BW39" s="138">
        <v>0</v>
      </c>
      <c r="BX39" s="138">
        <v>0</v>
      </c>
      <c r="BY39" s="138">
        <v>0</v>
      </c>
      <c r="BZ39" s="138">
        <v>0</v>
      </c>
      <c r="CA39" s="138">
        <v>0</v>
      </c>
      <c r="CB39" s="138">
        <v>0</v>
      </c>
      <c r="CC39" s="138">
        <v>0</v>
      </c>
      <c r="CD39" s="138">
        <v>0</v>
      </c>
      <c r="CE39" s="138">
        <v>0</v>
      </c>
      <c r="CF39" s="138">
        <v>0</v>
      </c>
      <c r="CG39" s="138">
        <v>0</v>
      </c>
      <c r="CH39" s="138">
        <v>0</v>
      </c>
      <c r="CI39" s="138">
        <v>0</v>
      </c>
      <c r="CJ39" s="138">
        <v>0</v>
      </c>
      <c r="CK39" s="138">
        <v>0</v>
      </c>
      <c r="CL39" s="138">
        <v>0</v>
      </c>
      <c r="CM39" s="138">
        <v>0</v>
      </c>
      <c r="CN39" s="138">
        <v>0</v>
      </c>
      <c r="CO39" s="138">
        <v>0</v>
      </c>
      <c r="CP39" s="138">
        <v>0</v>
      </c>
      <c r="CQ39" s="138">
        <v>0</v>
      </c>
      <c r="CR39" s="138">
        <v>0</v>
      </c>
      <c r="CS39" s="138">
        <v>0</v>
      </c>
      <c r="CT39" s="138">
        <v>0</v>
      </c>
      <c r="CU39" s="138">
        <v>0</v>
      </c>
      <c r="CV39" s="138">
        <v>0</v>
      </c>
      <c r="CW39" s="138">
        <v>0</v>
      </c>
      <c r="CX39" s="138">
        <v>0</v>
      </c>
      <c r="CY39" s="138">
        <v>0</v>
      </c>
      <c r="CZ39" s="138">
        <v>0</v>
      </c>
      <c r="DA39" s="138">
        <v>0</v>
      </c>
      <c r="DB39" s="138">
        <v>0</v>
      </c>
      <c r="DC39" s="138">
        <v>0</v>
      </c>
      <c r="DD39" s="138">
        <v>0</v>
      </c>
      <c r="DE39" s="243">
        <v>0</v>
      </c>
    </row>
    <row r="40" spans="2:109" outlineLevel="1">
      <c r="B40" s="357" t="s">
        <v>191</v>
      </c>
      <c r="E40" s="169">
        <f>Summary!K35</f>
        <v>871245.84</v>
      </c>
      <c r="I40" s="138">
        <v>0</v>
      </c>
      <c r="J40" s="138">
        <v>0</v>
      </c>
      <c r="K40" s="138">
        <v>0</v>
      </c>
      <c r="L40" s="138">
        <v>0</v>
      </c>
      <c r="M40" s="138">
        <v>0</v>
      </c>
      <c r="N40" s="138">
        <v>0</v>
      </c>
      <c r="O40" s="138">
        <v>0</v>
      </c>
      <c r="P40" s="138">
        <v>0</v>
      </c>
      <c r="Q40" s="138">
        <v>0</v>
      </c>
      <c r="R40" s="138">
        <v>0</v>
      </c>
      <c r="S40" s="138">
        <v>0</v>
      </c>
      <c r="T40" s="138">
        <v>0</v>
      </c>
      <c r="U40" s="138">
        <v>0</v>
      </c>
      <c r="V40" s="138">
        <v>0</v>
      </c>
      <c r="W40" s="138">
        <v>0</v>
      </c>
      <c r="X40" s="138">
        <v>0</v>
      </c>
      <c r="Y40" s="138">
        <v>0</v>
      </c>
      <c r="Z40" s="138">
        <v>0</v>
      </c>
      <c r="AA40" s="138">
        <v>0</v>
      </c>
      <c r="AB40" s="138">
        <v>0</v>
      </c>
      <c r="AC40" s="138">
        <v>0</v>
      </c>
      <c r="AD40" s="138">
        <v>0</v>
      </c>
      <c r="AE40" s="138">
        <v>0</v>
      </c>
      <c r="AF40" s="138">
        <v>0</v>
      </c>
      <c r="AG40" s="138">
        <v>0</v>
      </c>
      <c r="AH40" s="138">
        <v>0</v>
      </c>
      <c r="AI40" s="138">
        <v>0</v>
      </c>
      <c r="AJ40" s="138">
        <v>0</v>
      </c>
      <c r="AK40" s="138">
        <v>0</v>
      </c>
      <c r="AL40" s="138">
        <v>0</v>
      </c>
      <c r="AM40" s="138">
        <v>0</v>
      </c>
      <c r="AN40" s="138">
        <v>0</v>
      </c>
      <c r="AO40" s="138">
        <v>0</v>
      </c>
      <c r="AP40" s="138">
        <v>0</v>
      </c>
      <c r="AQ40" s="138">
        <v>0</v>
      </c>
      <c r="AR40" s="138">
        <v>0</v>
      </c>
      <c r="AS40" s="138">
        <v>0</v>
      </c>
      <c r="AT40" s="138">
        <v>0</v>
      </c>
      <c r="AU40" s="138">
        <v>0</v>
      </c>
      <c r="AV40" s="138">
        <v>0</v>
      </c>
      <c r="AW40" s="138">
        <v>0</v>
      </c>
      <c r="AX40" s="138">
        <v>0</v>
      </c>
      <c r="AY40" s="138">
        <v>0</v>
      </c>
      <c r="AZ40" s="138">
        <v>0</v>
      </c>
      <c r="BA40" s="138">
        <v>0</v>
      </c>
      <c r="BB40" s="138">
        <v>0</v>
      </c>
      <c r="BC40" s="138">
        <v>0</v>
      </c>
      <c r="BD40" s="138">
        <v>0</v>
      </c>
      <c r="BE40" s="138">
        <v>0</v>
      </c>
      <c r="BF40" s="138">
        <v>0</v>
      </c>
      <c r="BG40" s="138">
        <v>0</v>
      </c>
      <c r="BH40" s="138">
        <v>0</v>
      </c>
      <c r="BI40" s="138">
        <v>0</v>
      </c>
      <c r="BJ40" s="138">
        <v>0</v>
      </c>
      <c r="BK40" s="138">
        <v>0</v>
      </c>
      <c r="BL40" s="138">
        <v>0</v>
      </c>
      <c r="BM40" s="138">
        <v>0</v>
      </c>
      <c r="BN40" s="138">
        <v>0</v>
      </c>
      <c r="BO40" s="138">
        <v>0</v>
      </c>
      <c r="BP40" s="138">
        <v>0</v>
      </c>
      <c r="BQ40" s="138">
        <v>0</v>
      </c>
      <c r="BR40" s="138">
        <v>0</v>
      </c>
      <c r="BS40" s="138">
        <v>0</v>
      </c>
      <c r="BT40" s="138">
        <v>0</v>
      </c>
      <c r="BU40" s="138">
        <v>0</v>
      </c>
      <c r="BV40" s="138">
        <v>0</v>
      </c>
      <c r="BW40" s="138">
        <v>0</v>
      </c>
      <c r="BX40" s="138">
        <v>0</v>
      </c>
      <c r="BY40" s="138">
        <v>0</v>
      </c>
      <c r="BZ40" s="138">
        <v>0</v>
      </c>
      <c r="CA40" s="138">
        <v>0</v>
      </c>
      <c r="CB40" s="138">
        <v>0</v>
      </c>
      <c r="CC40" s="138">
        <v>0</v>
      </c>
      <c r="CD40" s="138">
        <v>0</v>
      </c>
      <c r="CE40" s="138">
        <v>0</v>
      </c>
      <c r="CF40" s="138">
        <v>0</v>
      </c>
      <c r="CG40" s="138">
        <v>0</v>
      </c>
      <c r="CH40" s="138">
        <v>0</v>
      </c>
      <c r="CI40" s="138">
        <v>0</v>
      </c>
      <c r="CJ40" s="138">
        <v>0</v>
      </c>
      <c r="CK40" s="138">
        <v>0</v>
      </c>
      <c r="CL40" s="138">
        <v>0</v>
      </c>
      <c r="CM40" s="138">
        <v>0</v>
      </c>
      <c r="CN40" s="138">
        <v>0</v>
      </c>
      <c r="CO40" s="138">
        <v>0</v>
      </c>
      <c r="CP40" s="138">
        <v>0</v>
      </c>
      <c r="CQ40" s="138">
        <v>0</v>
      </c>
      <c r="CR40" s="138">
        <v>0</v>
      </c>
      <c r="CS40" s="138">
        <v>0</v>
      </c>
      <c r="CT40" s="138">
        <v>0</v>
      </c>
      <c r="CU40" s="138">
        <v>0</v>
      </c>
      <c r="CV40" s="138">
        <v>0</v>
      </c>
      <c r="CW40" s="138">
        <v>0</v>
      </c>
      <c r="CX40" s="138">
        <v>0</v>
      </c>
      <c r="CY40" s="138">
        <v>0</v>
      </c>
      <c r="CZ40" s="138">
        <v>0</v>
      </c>
      <c r="DA40" s="138">
        <v>0</v>
      </c>
      <c r="DB40" s="138">
        <v>0</v>
      </c>
      <c r="DC40" s="138">
        <v>0</v>
      </c>
      <c r="DD40" s="138">
        <v>0</v>
      </c>
      <c r="DE40" s="243">
        <v>0</v>
      </c>
    </row>
    <row r="41" spans="2:109" outlineLevel="1">
      <c r="B41" s="358" t="s">
        <v>300</v>
      </c>
      <c r="C41" s="251"/>
      <c r="D41" s="251"/>
      <c r="E41" s="347">
        <f ca="1">SUM(E20:E40)</f>
        <v>115853278.62858301</v>
      </c>
      <c r="F41" s="251"/>
      <c r="G41" s="251"/>
      <c r="H41" s="251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  <c r="AA41" s="348"/>
      <c r="AB41" s="348"/>
      <c r="AC41" s="348"/>
      <c r="AD41" s="348"/>
      <c r="AE41" s="348"/>
      <c r="AF41" s="348"/>
      <c r="AG41" s="348"/>
      <c r="AH41" s="348"/>
      <c r="AI41" s="348"/>
      <c r="AJ41" s="348"/>
      <c r="AK41" s="348"/>
      <c r="AL41" s="348"/>
      <c r="AM41" s="348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  <c r="BH41" s="348"/>
      <c r="BI41" s="348"/>
      <c r="BJ41" s="348"/>
      <c r="BK41" s="348"/>
      <c r="BL41" s="348"/>
      <c r="BM41" s="348"/>
      <c r="BN41" s="348"/>
      <c r="BO41" s="251"/>
      <c r="BP41" s="251"/>
      <c r="BQ41" s="251"/>
      <c r="BR41" s="251"/>
      <c r="BS41" s="251"/>
      <c r="BT41" s="251"/>
      <c r="BU41" s="251"/>
      <c r="BV41" s="251"/>
      <c r="BW41" s="251"/>
      <c r="BX41" s="251"/>
      <c r="BY41" s="251"/>
      <c r="BZ41" s="251"/>
      <c r="CA41" s="347"/>
      <c r="CB41" s="347"/>
      <c r="CC41" s="251"/>
      <c r="CD41" s="251"/>
      <c r="CE41" s="251"/>
      <c r="CF41" s="251"/>
      <c r="CG41" s="251"/>
      <c r="CH41" s="251"/>
      <c r="CI41" s="251"/>
      <c r="CJ41" s="251"/>
      <c r="CK41" s="251"/>
      <c r="CL41" s="251"/>
      <c r="CM41" s="251"/>
      <c r="CN41" s="251"/>
      <c r="CO41" s="251"/>
      <c r="CP41" s="251"/>
      <c r="CQ41" s="251"/>
      <c r="CR41" s="251"/>
      <c r="CS41" s="251"/>
      <c r="CT41" s="251"/>
      <c r="CU41" s="251"/>
      <c r="CV41" s="251"/>
      <c r="CW41" s="251"/>
      <c r="CX41" s="251"/>
      <c r="CY41" s="251"/>
      <c r="CZ41" s="251"/>
      <c r="DA41" s="251"/>
      <c r="DB41" s="251"/>
      <c r="DC41" s="251"/>
      <c r="DD41" s="251"/>
      <c r="DE41" s="418"/>
    </row>
    <row r="42" spans="2:109">
      <c r="B42" s="357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DE42" s="114"/>
    </row>
    <row r="43" spans="2:109">
      <c r="B43" s="359" t="s">
        <v>293</v>
      </c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DE43" s="114"/>
    </row>
    <row r="44" spans="2:109">
      <c r="B44" s="357" t="s">
        <v>299</v>
      </c>
      <c r="E44" s="270">
        <f>SUM(I44:BN44)</f>
        <v>28716134.84</v>
      </c>
      <c r="F44" s="270"/>
      <c r="I44" s="270">
        <f t="shared" ref="I44:AN44" si="149">I20*$E$20</f>
        <v>28716134.84</v>
      </c>
      <c r="J44" s="270">
        <f t="shared" si="149"/>
        <v>0</v>
      </c>
      <c r="K44" s="270">
        <f t="shared" si="149"/>
        <v>0</v>
      </c>
      <c r="L44" s="270">
        <f t="shared" si="149"/>
        <v>0</v>
      </c>
      <c r="M44" s="270">
        <f t="shared" si="149"/>
        <v>0</v>
      </c>
      <c r="N44" s="270">
        <f t="shared" si="149"/>
        <v>0</v>
      </c>
      <c r="O44" s="270">
        <f t="shared" si="149"/>
        <v>0</v>
      </c>
      <c r="P44" s="270">
        <f t="shared" si="149"/>
        <v>0</v>
      </c>
      <c r="Q44" s="270">
        <f t="shared" si="149"/>
        <v>0</v>
      </c>
      <c r="R44" s="270">
        <f t="shared" si="149"/>
        <v>0</v>
      </c>
      <c r="S44" s="270">
        <f t="shared" si="149"/>
        <v>0</v>
      </c>
      <c r="T44" s="270">
        <f t="shared" si="149"/>
        <v>0</v>
      </c>
      <c r="U44" s="270">
        <f t="shared" si="149"/>
        <v>0</v>
      </c>
      <c r="V44" s="270">
        <f t="shared" si="149"/>
        <v>0</v>
      </c>
      <c r="W44" s="270">
        <f t="shared" si="149"/>
        <v>0</v>
      </c>
      <c r="X44" s="270">
        <f t="shared" si="149"/>
        <v>0</v>
      </c>
      <c r="Y44" s="270">
        <f t="shared" si="149"/>
        <v>0</v>
      </c>
      <c r="Z44" s="270">
        <f t="shared" si="149"/>
        <v>0</v>
      </c>
      <c r="AA44" s="270">
        <f t="shared" si="149"/>
        <v>0</v>
      </c>
      <c r="AB44" s="270">
        <f t="shared" si="149"/>
        <v>0</v>
      </c>
      <c r="AC44" s="270">
        <f t="shared" si="149"/>
        <v>0</v>
      </c>
      <c r="AD44" s="270">
        <f t="shared" si="149"/>
        <v>0</v>
      </c>
      <c r="AE44" s="270">
        <f t="shared" si="149"/>
        <v>0</v>
      </c>
      <c r="AF44" s="270">
        <f t="shared" si="149"/>
        <v>0</v>
      </c>
      <c r="AG44" s="270">
        <f t="shared" si="149"/>
        <v>0</v>
      </c>
      <c r="AH44" s="270">
        <f t="shared" si="149"/>
        <v>0</v>
      </c>
      <c r="AI44" s="270">
        <f t="shared" si="149"/>
        <v>0</v>
      </c>
      <c r="AJ44" s="270">
        <f t="shared" si="149"/>
        <v>0</v>
      </c>
      <c r="AK44" s="270">
        <f t="shared" si="149"/>
        <v>0</v>
      </c>
      <c r="AL44" s="270">
        <f t="shared" si="149"/>
        <v>0</v>
      </c>
      <c r="AM44" s="270">
        <f t="shared" si="149"/>
        <v>0</v>
      </c>
      <c r="AN44" s="270">
        <f t="shared" si="149"/>
        <v>0</v>
      </c>
      <c r="AO44" s="270">
        <f t="shared" ref="AO44:BN44" si="150">AO20*$E$20</f>
        <v>0</v>
      </c>
      <c r="AP44" s="270">
        <f t="shared" si="150"/>
        <v>0</v>
      </c>
      <c r="AQ44" s="270">
        <f t="shared" si="150"/>
        <v>0</v>
      </c>
      <c r="AR44" s="270">
        <f t="shared" si="150"/>
        <v>0</v>
      </c>
      <c r="AS44" s="270">
        <f t="shared" si="150"/>
        <v>0</v>
      </c>
      <c r="AT44" s="270">
        <f t="shared" si="150"/>
        <v>0</v>
      </c>
      <c r="AU44" s="270">
        <f t="shared" si="150"/>
        <v>0</v>
      </c>
      <c r="AV44" s="270">
        <f t="shared" si="150"/>
        <v>0</v>
      </c>
      <c r="AW44" s="270">
        <f t="shared" si="150"/>
        <v>0</v>
      </c>
      <c r="AX44" s="270">
        <f t="shared" si="150"/>
        <v>0</v>
      </c>
      <c r="AY44" s="270">
        <f t="shared" si="150"/>
        <v>0</v>
      </c>
      <c r="AZ44" s="270">
        <f t="shared" si="150"/>
        <v>0</v>
      </c>
      <c r="BA44" s="270">
        <f t="shared" si="150"/>
        <v>0</v>
      </c>
      <c r="BB44" s="270">
        <f t="shared" si="150"/>
        <v>0</v>
      </c>
      <c r="BC44" s="270">
        <f t="shared" si="150"/>
        <v>0</v>
      </c>
      <c r="BD44" s="270">
        <f t="shared" si="150"/>
        <v>0</v>
      </c>
      <c r="BE44" s="270">
        <f t="shared" si="150"/>
        <v>0</v>
      </c>
      <c r="BF44" s="270">
        <f t="shared" si="150"/>
        <v>0</v>
      </c>
      <c r="BG44" s="270">
        <f t="shared" si="150"/>
        <v>0</v>
      </c>
      <c r="BH44" s="270">
        <f t="shared" si="150"/>
        <v>0</v>
      </c>
      <c r="BI44" s="270">
        <f t="shared" si="150"/>
        <v>0</v>
      </c>
      <c r="BJ44" s="270">
        <f t="shared" si="150"/>
        <v>0</v>
      </c>
      <c r="BK44" s="270">
        <f t="shared" si="150"/>
        <v>0</v>
      </c>
      <c r="BL44" s="270">
        <f t="shared" si="150"/>
        <v>0</v>
      </c>
      <c r="BM44" s="270">
        <f t="shared" si="150"/>
        <v>0</v>
      </c>
      <c r="BN44" s="270">
        <f t="shared" si="150"/>
        <v>0</v>
      </c>
      <c r="BO44" s="270">
        <f t="shared" ref="BO44:DE44" si="151">BO20*$E$20</f>
        <v>0</v>
      </c>
      <c r="BP44" s="270">
        <f t="shared" si="151"/>
        <v>0</v>
      </c>
      <c r="BQ44" s="270">
        <f t="shared" si="151"/>
        <v>0</v>
      </c>
      <c r="BR44" s="270">
        <f t="shared" si="151"/>
        <v>0</v>
      </c>
      <c r="BS44" s="270">
        <f t="shared" si="151"/>
        <v>0</v>
      </c>
      <c r="BT44" s="270">
        <f t="shared" si="151"/>
        <v>0</v>
      </c>
      <c r="BU44" s="270">
        <f t="shared" si="151"/>
        <v>0</v>
      </c>
      <c r="BV44" s="270">
        <f t="shared" si="151"/>
        <v>0</v>
      </c>
      <c r="BW44" s="270">
        <f t="shared" si="151"/>
        <v>0</v>
      </c>
      <c r="BX44" s="270">
        <f t="shared" si="151"/>
        <v>0</v>
      </c>
      <c r="BY44" s="270">
        <f t="shared" si="151"/>
        <v>0</v>
      </c>
      <c r="BZ44" s="270">
        <f t="shared" si="151"/>
        <v>0</v>
      </c>
      <c r="CA44" s="270">
        <f t="shared" si="151"/>
        <v>0</v>
      </c>
      <c r="CB44" s="270">
        <f t="shared" si="151"/>
        <v>0</v>
      </c>
      <c r="CC44" s="270">
        <f t="shared" si="151"/>
        <v>0</v>
      </c>
      <c r="CD44" s="270">
        <f t="shared" si="151"/>
        <v>0</v>
      </c>
      <c r="CE44" s="270">
        <f t="shared" si="151"/>
        <v>0</v>
      </c>
      <c r="CF44" s="270">
        <f t="shared" si="151"/>
        <v>0</v>
      </c>
      <c r="CG44" s="270">
        <f t="shared" si="151"/>
        <v>0</v>
      </c>
      <c r="CH44" s="270">
        <f t="shared" si="151"/>
        <v>0</v>
      </c>
      <c r="CI44" s="270">
        <f t="shared" si="151"/>
        <v>0</v>
      </c>
      <c r="CJ44" s="270">
        <f t="shared" si="151"/>
        <v>0</v>
      </c>
      <c r="CK44" s="270">
        <f t="shared" si="151"/>
        <v>0</v>
      </c>
      <c r="CL44" s="270">
        <f t="shared" si="151"/>
        <v>0</v>
      </c>
      <c r="CM44" s="270">
        <f t="shared" si="151"/>
        <v>0</v>
      </c>
      <c r="CN44" s="270">
        <f t="shared" si="151"/>
        <v>0</v>
      </c>
      <c r="CO44" s="270">
        <f t="shared" si="151"/>
        <v>0</v>
      </c>
      <c r="CP44" s="270">
        <f t="shared" si="151"/>
        <v>0</v>
      </c>
      <c r="CQ44" s="270">
        <f t="shared" si="151"/>
        <v>0</v>
      </c>
      <c r="CR44" s="270">
        <f t="shared" si="151"/>
        <v>0</v>
      </c>
      <c r="CS44" s="270">
        <f t="shared" si="151"/>
        <v>0</v>
      </c>
      <c r="CT44" s="270">
        <f t="shared" si="151"/>
        <v>0</v>
      </c>
      <c r="CU44" s="270">
        <f t="shared" si="151"/>
        <v>0</v>
      </c>
      <c r="CV44" s="270">
        <f t="shared" si="151"/>
        <v>0</v>
      </c>
      <c r="CW44" s="270">
        <f t="shared" si="151"/>
        <v>0</v>
      </c>
      <c r="CX44" s="270">
        <f t="shared" si="151"/>
        <v>0</v>
      </c>
      <c r="CY44" s="270">
        <f t="shared" si="151"/>
        <v>0</v>
      </c>
      <c r="CZ44" s="270">
        <f t="shared" si="151"/>
        <v>0</v>
      </c>
      <c r="DA44" s="270">
        <f t="shared" si="151"/>
        <v>0</v>
      </c>
      <c r="DB44" s="270">
        <f t="shared" si="151"/>
        <v>0</v>
      </c>
      <c r="DC44" s="270">
        <f t="shared" si="151"/>
        <v>0</v>
      </c>
      <c r="DD44" s="270">
        <f t="shared" si="151"/>
        <v>0</v>
      </c>
      <c r="DE44" s="140">
        <f t="shared" si="151"/>
        <v>0</v>
      </c>
    </row>
    <row r="45" spans="2:109">
      <c r="B45" s="357" t="s">
        <v>177</v>
      </c>
      <c r="E45" s="270">
        <f>SUM(I45:BN45)</f>
        <v>62472087.000000015</v>
      </c>
      <c r="F45" s="169"/>
      <c r="I45" s="270">
        <f>I21*$E$21</f>
        <v>0</v>
      </c>
      <c r="J45" s="270">
        <f t="shared" ref="J45:BN45" si="152">J21*$E$21</f>
        <v>55946.82102298519</v>
      </c>
      <c r="K45" s="270">
        <f t="shared" si="152"/>
        <v>67059.352506413576</v>
      </c>
      <c r="L45" s="270">
        <f t="shared" si="152"/>
        <v>80001.763148721933</v>
      </c>
      <c r="M45" s="270">
        <f t="shared" si="152"/>
        <v>94993.966558425906</v>
      </c>
      <c r="N45" s="270">
        <f t="shared" si="152"/>
        <v>112266.12885468417</v>
      </c>
      <c r="O45" s="270">
        <f t="shared" si="152"/>
        <v>132055.87709990094</v>
      </c>
      <c r="P45" s="270">
        <f t="shared" si="152"/>
        <v>154604.80304030376</v>
      </c>
      <c r="Q45" s="270">
        <f t="shared" si="152"/>
        <v>180154.24122738923</v>
      </c>
      <c r="R45" s="270">
        <f t="shared" si="152"/>
        <v>208940.32268314876</v>
      </c>
      <c r="S45" s="270">
        <f t="shared" si="152"/>
        <v>241188.33119552152</v>
      </c>
      <c r="T45" s="270">
        <f t="shared" si="152"/>
        <v>277106.41856867686</v>
      </c>
      <c r="U45" s="270">
        <f t="shared" si="152"/>
        <v>316878.76693095558</v>
      </c>
      <c r="V45" s="270">
        <f t="shared" si="152"/>
        <v>360658.31949136825</v>
      </c>
      <c r="W45" s="270">
        <f t="shared" si="152"/>
        <v>408559.23466356198</v>
      </c>
      <c r="X45" s="270">
        <f t="shared" si="152"/>
        <v>460649.25076684548</v>
      </c>
      <c r="Y45" s="270">
        <f t="shared" si="152"/>
        <v>516942.17793287931</v>
      </c>
      <c r="Z45" s="270">
        <f t="shared" si="152"/>
        <v>577390.75866945717</v>
      </c>
      <c r="AA45" s="270">
        <f t="shared" si="152"/>
        <v>641880.15702656272</v>
      </c>
      <c r="AB45" s="270">
        <f t="shared" si="152"/>
        <v>710222.34682707256</v>
      </c>
      <c r="AC45" s="270">
        <f t="shared" si="152"/>
        <v>782151.6705038842</v>
      </c>
      <c r="AD45" s="270">
        <f t="shared" si="152"/>
        <v>857321.83055459161</v>
      </c>
      <c r="AE45" s="270">
        <f t="shared" si="152"/>
        <v>935304.55469884002</v>
      </c>
      <c r="AF45" s="270">
        <f t="shared" si="152"/>
        <v>1015590.1431905369</v>
      </c>
      <c r="AG45" s="270">
        <f t="shared" si="152"/>
        <v>1097590.0626272436</v>
      </c>
      <c r="AH45" s="270">
        <f t="shared" si="152"/>
        <v>1180641.6958280555</v>
      </c>
      <c r="AI45" s="270">
        <f t="shared" si="152"/>
        <v>1264015.2933337395</v>
      </c>
      <c r="AJ45" s="270">
        <f t="shared" si="152"/>
        <v>1346923.100812634</v>
      </c>
      <c r="AK45" s="270">
        <f t="shared" si="152"/>
        <v>1428530.5606497894</v>
      </c>
      <c r="AL45" s="270">
        <f t="shared" si="152"/>
        <v>1507969.4082041227</v>
      </c>
      <c r="AM45" s="270">
        <f t="shared" si="152"/>
        <v>1584352.4068970273</v>
      </c>
      <c r="AN45" s="270">
        <f t="shared" si="152"/>
        <v>1656789.3948617666</v>
      </c>
      <c r="AO45" s="270">
        <f t="shared" si="152"/>
        <v>1724404.2527398136</v>
      </c>
      <c r="AP45" s="270">
        <f t="shared" si="152"/>
        <v>1786352.3505686049</v>
      </c>
      <c r="AQ45" s="270">
        <f t="shared" si="152"/>
        <v>1841837.994401675</v>
      </c>
      <c r="AR45" s="270">
        <f t="shared" si="152"/>
        <v>1890131.3726308509</v>
      </c>
      <c r="AS45" s="270">
        <f t="shared" si="152"/>
        <v>1930584.4995455723</v>
      </c>
      <c r="AT45" s="270">
        <f t="shared" si="152"/>
        <v>1962645.6702680222</v>
      </c>
      <c r="AU45" s="270">
        <f t="shared" si="152"/>
        <v>1985871.9767701742</v>
      </c>
      <c r="AV45" s="270">
        <f t="shared" si="152"/>
        <v>1999939.4882348988</v>
      </c>
      <c r="AW45" s="270">
        <f t="shared" si="152"/>
        <v>2004650.7687165351</v>
      </c>
      <c r="AX45" s="270">
        <f t="shared" si="152"/>
        <v>1999939.4882348988</v>
      </c>
      <c r="AY45" s="270">
        <f t="shared" si="152"/>
        <v>1985871.9767701747</v>
      </c>
      <c r="AZ45" s="270">
        <f t="shared" si="152"/>
        <v>1962645.6702680227</v>
      </c>
      <c r="BA45" s="270">
        <f t="shared" si="152"/>
        <v>1930584.4995455726</v>
      </c>
      <c r="BB45" s="270">
        <f t="shared" si="152"/>
        <v>1890131.3726308513</v>
      </c>
      <c r="BC45" s="270">
        <f t="shared" si="152"/>
        <v>1841837.9944016752</v>
      </c>
      <c r="BD45" s="270">
        <f t="shared" si="152"/>
        <v>1786352.3505686049</v>
      </c>
      <c r="BE45" s="270">
        <f t="shared" si="152"/>
        <v>1724404.252739815</v>
      </c>
      <c r="BF45" s="270">
        <f t="shared" si="152"/>
        <v>1656789.3948617671</v>
      </c>
      <c r="BG45" s="270">
        <f t="shared" si="152"/>
        <v>1584352.406897028</v>
      </c>
      <c r="BH45" s="270">
        <f t="shared" si="152"/>
        <v>1507969.4082041236</v>
      </c>
      <c r="BI45" s="270">
        <f t="shared" si="152"/>
        <v>1428530.5606497901</v>
      </c>
      <c r="BJ45" s="270">
        <f t="shared" si="152"/>
        <v>1346923.1008126347</v>
      </c>
      <c r="BK45" s="270">
        <f t="shared" si="152"/>
        <v>1264015.2933337404</v>
      </c>
      <c r="BL45" s="270">
        <f t="shared" si="152"/>
        <v>1180641.6958280564</v>
      </c>
      <c r="BM45" s="270">
        <f t="shared" si="152"/>
        <v>0</v>
      </c>
      <c r="BN45" s="270">
        <f t="shared" si="152"/>
        <v>0</v>
      </c>
      <c r="BO45" s="270">
        <f t="shared" ref="BO45:CB45" si="153">BO21*$E$21</f>
        <v>0</v>
      </c>
      <c r="BP45" s="270">
        <f t="shared" si="153"/>
        <v>0</v>
      </c>
      <c r="BQ45" s="270">
        <f t="shared" si="153"/>
        <v>0</v>
      </c>
      <c r="BR45" s="270">
        <f t="shared" si="153"/>
        <v>0</v>
      </c>
      <c r="BS45" s="270">
        <f t="shared" si="153"/>
        <v>0</v>
      </c>
      <c r="BT45" s="270">
        <f t="shared" si="153"/>
        <v>0</v>
      </c>
      <c r="BU45" s="270">
        <f t="shared" si="153"/>
        <v>0</v>
      </c>
      <c r="BV45" s="270">
        <f t="shared" si="153"/>
        <v>0</v>
      </c>
      <c r="BW45" s="270">
        <f t="shared" si="153"/>
        <v>0</v>
      </c>
      <c r="BX45" s="270">
        <f t="shared" si="153"/>
        <v>0</v>
      </c>
      <c r="BY45" s="270">
        <f t="shared" si="153"/>
        <v>0</v>
      </c>
      <c r="BZ45" s="270">
        <f t="shared" si="153"/>
        <v>0</v>
      </c>
      <c r="CA45" s="270">
        <f t="shared" si="153"/>
        <v>0</v>
      </c>
      <c r="CB45" s="270">
        <f t="shared" si="153"/>
        <v>0</v>
      </c>
      <c r="CC45" s="270">
        <f t="shared" ref="CC45:DE45" si="154">CC21*$E$21</f>
        <v>0</v>
      </c>
      <c r="CD45" s="270">
        <f t="shared" si="154"/>
        <v>0</v>
      </c>
      <c r="CE45" s="270">
        <f t="shared" si="154"/>
        <v>0</v>
      </c>
      <c r="CF45" s="270">
        <f t="shared" si="154"/>
        <v>0</v>
      </c>
      <c r="CG45" s="270">
        <f t="shared" si="154"/>
        <v>0</v>
      </c>
      <c r="CH45" s="270">
        <f t="shared" si="154"/>
        <v>0</v>
      </c>
      <c r="CI45" s="270">
        <f t="shared" si="154"/>
        <v>0</v>
      </c>
      <c r="CJ45" s="270">
        <f t="shared" si="154"/>
        <v>0</v>
      </c>
      <c r="CK45" s="270">
        <f t="shared" si="154"/>
        <v>0</v>
      </c>
      <c r="CL45" s="270">
        <f t="shared" si="154"/>
        <v>0</v>
      </c>
      <c r="CM45" s="270">
        <f t="shared" si="154"/>
        <v>0</v>
      </c>
      <c r="CN45" s="270">
        <f t="shared" si="154"/>
        <v>0</v>
      </c>
      <c r="CO45" s="270">
        <f t="shared" si="154"/>
        <v>0</v>
      </c>
      <c r="CP45" s="270">
        <f t="shared" si="154"/>
        <v>0</v>
      </c>
      <c r="CQ45" s="270">
        <f t="shared" si="154"/>
        <v>0</v>
      </c>
      <c r="CR45" s="270">
        <f t="shared" si="154"/>
        <v>0</v>
      </c>
      <c r="CS45" s="270">
        <f t="shared" si="154"/>
        <v>0</v>
      </c>
      <c r="CT45" s="270">
        <f t="shared" si="154"/>
        <v>0</v>
      </c>
      <c r="CU45" s="270">
        <f t="shared" si="154"/>
        <v>0</v>
      </c>
      <c r="CV45" s="270">
        <f t="shared" si="154"/>
        <v>0</v>
      </c>
      <c r="CW45" s="270">
        <f t="shared" si="154"/>
        <v>0</v>
      </c>
      <c r="CX45" s="270">
        <f t="shared" si="154"/>
        <v>0</v>
      </c>
      <c r="CY45" s="270">
        <f t="shared" si="154"/>
        <v>0</v>
      </c>
      <c r="CZ45" s="270">
        <f t="shared" si="154"/>
        <v>0</v>
      </c>
      <c r="DA45" s="270">
        <f t="shared" si="154"/>
        <v>0</v>
      </c>
      <c r="DB45" s="270">
        <f t="shared" si="154"/>
        <v>0</v>
      </c>
      <c r="DC45" s="270">
        <f t="shared" si="154"/>
        <v>0</v>
      </c>
      <c r="DD45" s="270">
        <f t="shared" si="154"/>
        <v>0</v>
      </c>
      <c r="DE45" s="140">
        <f t="shared" si="154"/>
        <v>0</v>
      </c>
    </row>
    <row r="46" spans="2:109">
      <c r="B46" s="357" t="s">
        <v>178</v>
      </c>
      <c r="E46" s="270">
        <f t="shared" ref="E46:E48" si="155">SUM(I46:BN46)</f>
        <v>2717323.5000000009</v>
      </c>
      <c r="F46" s="270"/>
      <c r="I46" s="270">
        <f t="shared" ref="I46:AN46" si="156">I22*$E$22</f>
        <v>0</v>
      </c>
      <c r="J46" s="270">
        <f t="shared" si="156"/>
        <v>2433.4966033078372</v>
      </c>
      <c r="K46" s="270">
        <f t="shared" si="156"/>
        <v>2916.8539616815028</v>
      </c>
      <c r="L46" s="270">
        <f t="shared" si="156"/>
        <v>3479.8048454096961</v>
      </c>
      <c r="M46" s="270">
        <f t="shared" si="156"/>
        <v>4131.9147491810991</v>
      </c>
      <c r="N46" s="270">
        <f t="shared" si="156"/>
        <v>4883.1951170586217</v>
      </c>
      <c r="O46" s="270">
        <f t="shared" si="156"/>
        <v>5743.9819187835474</v>
      </c>
      <c r="P46" s="270">
        <f t="shared" si="156"/>
        <v>6724.7835743712048</v>
      </c>
      <c r="Q46" s="270">
        <f t="shared" si="156"/>
        <v>7836.0973167400916</v>
      </c>
      <c r="R46" s="270">
        <f t="shared" si="156"/>
        <v>9088.1940429571878</v>
      </c>
      <c r="S46" s="270">
        <f t="shared" si="156"/>
        <v>10490.872832267853</v>
      </c>
      <c r="T46" s="270">
        <f t="shared" si="156"/>
        <v>12053.187580839134</v>
      </c>
      <c r="U46" s="270">
        <f t="shared" si="156"/>
        <v>13783.149585390167</v>
      </c>
      <c r="V46" s="270">
        <f t="shared" si="156"/>
        <v>15687.41135580124</v>
      </c>
      <c r="W46" s="270">
        <f t="shared" si="156"/>
        <v>17770.938395147765</v>
      </c>
      <c r="X46" s="270">
        <f t="shared" si="156"/>
        <v>20036.677090140147</v>
      </c>
      <c r="Y46" s="270">
        <f t="shared" si="156"/>
        <v>22485.228134577839</v>
      </c>
      <c r="Z46" s="270">
        <f t="shared" si="156"/>
        <v>25114.535988134106</v>
      </c>
      <c r="AA46" s="270">
        <f t="shared" si="156"/>
        <v>27919.605677203788</v>
      </c>
      <c r="AB46" s="270">
        <f t="shared" si="156"/>
        <v>30892.258702008065</v>
      </c>
      <c r="AC46" s="270">
        <f t="shared" si="156"/>
        <v>34020.939861100866</v>
      </c>
      <c r="AD46" s="270">
        <f t="shared" si="156"/>
        <v>37290.586389870565</v>
      </c>
      <c r="AE46" s="270">
        <f t="shared" si="156"/>
        <v>40682.569899420734</v>
      </c>
      <c r="AF46" s="270">
        <f t="shared" si="156"/>
        <v>44174.720182791571</v>
      </c>
      <c r="AG46" s="270">
        <f t="shared" si="156"/>
        <v>47741.438036854452</v>
      </c>
      <c r="AH46" s="270">
        <f t="shared" si="156"/>
        <v>51353.901865859341</v>
      </c>
      <c r="AI46" s="270">
        <f t="shared" si="156"/>
        <v>54980.370048069046</v>
      </c>
      <c r="AJ46" s="270">
        <f t="shared" si="156"/>
        <v>58586.577946900339</v>
      </c>
      <c r="AK46" s="270">
        <f t="shared" si="156"/>
        <v>62136.225141987779</v>
      </c>
      <c r="AL46" s="270">
        <f t="shared" si="156"/>
        <v>65591.545071867935</v>
      </c>
      <c r="AM46" s="270">
        <f t="shared" si="156"/>
        <v>68913.945960263096</v>
      </c>
      <c r="AN46" s="270">
        <f t="shared" si="156"/>
        <v>72064.708790802164</v>
      </c>
      <c r="AO46" s="270">
        <f t="shared" ref="AO46:BN46" si="157">AO22*$E$22</f>
        <v>75005.725348503809</v>
      </c>
      <c r="AP46" s="270">
        <f t="shared" si="157"/>
        <v>77700.25710010789</v>
      </c>
      <c r="AQ46" s="270">
        <f t="shared" si="157"/>
        <v>80113.694062766619</v>
      </c>
      <c r="AR46" s="270">
        <f t="shared" si="157"/>
        <v>82214.291911475084</v>
      </c>
      <c r="AS46" s="270">
        <f t="shared" si="157"/>
        <v>83973.865469724478</v>
      </c>
      <c r="AT46" s="270">
        <f t="shared" si="157"/>
        <v>85368.417450061301</v>
      </c>
      <c r="AU46" s="270">
        <f t="shared" si="157"/>
        <v>86378.682858298751</v>
      </c>
      <c r="AV46" s="270">
        <f t="shared" si="157"/>
        <v>86990.571804631152</v>
      </c>
      <c r="AW46" s="270">
        <f t="shared" si="157"/>
        <v>87195.496496323321</v>
      </c>
      <c r="AX46" s="270">
        <f t="shared" si="157"/>
        <v>86990.571804631152</v>
      </c>
      <c r="AY46" s="270">
        <f t="shared" si="157"/>
        <v>86378.68285829878</v>
      </c>
      <c r="AZ46" s="270">
        <f t="shared" si="157"/>
        <v>85368.41745006133</v>
      </c>
      <c r="BA46" s="270">
        <f t="shared" si="157"/>
        <v>83973.865469724478</v>
      </c>
      <c r="BB46" s="270">
        <f t="shared" si="157"/>
        <v>82214.291911475098</v>
      </c>
      <c r="BC46" s="270">
        <f t="shared" si="157"/>
        <v>80113.694062766634</v>
      </c>
      <c r="BD46" s="270">
        <f t="shared" si="157"/>
        <v>77700.257100107905</v>
      </c>
      <c r="BE46" s="270">
        <f t="shared" si="157"/>
        <v>75005.725348503867</v>
      </c>
      <c r="BF46" s="169">
        <f>BF22*$E$22</f>
        <v>72064.708790802193</v>
      </c>
      <c r="BG46" s="270">
        <f t="shared" si="157"/>
        <v>68913.945960263125</v>
      </c>
      <c r="BH46" s="270">
        <f t="shared" si="157"/>
        <v>65591.545071867979</v>
      </c>
      <c r="BI46" s="270">
        <f t="shared" si="157"/>
        <v>62136.225141987808</v>
      </c>
      <c r="BJ46" s="270">
        <f t="shared" si="157"/>
        <v>58586.577946900368</v>
      </c>
      <c r="BK46" s="270">
        <f t="shared" si="157"/>
        <v>54980.370048069082</v>
      </c>
      <c r="BL46" s="270">
        <f t="shared" si="157"/>
        <v>51353.901865859378</v>
      </c>
      <c r="BM46" s="270">
        <f t="shared" si="157"/>
        <v>0</v>
      </c>
      <c r="BN46" s="270">
        <f t="shared" si="157"/>
        <v>0</v>
      </c>
      <c r="BO46" s="270">
        <f t="shared" ref="BO46:CB46" si="158">BO22*$E$22</f>
        <v>0</v>
      </c>
      <c r="BP46" s="270">
        <f t="shared" si="158"/>
        <v>0</v>
      </c>
      <c r="BQ46" s="270">
        <f t="shared" si="158"/>
        <v>0</v>
      </c>
      <c r="BR46" s="270">
        <f t="shared" si="158"/>
        <v>0</v>
      </c>
      <c r="BS46" s="270">
        <f t="shared" si="158"/>
        <v>0</v>
      </c>
      <c r="BT46" s="270">
        <f t="shared" si="158"/>
        <v>0</v>
      </c>
      <c r="BU46" s="270">
        <f t="shared" si="158"/>
        <v>0</v>
      </c>
      <c r="BV46" s="270">
        <f t="shared" si="158"/>
        <v>0</v>
      </c>
      <c r="BW46" s="270">
        <f t="shared" si="158"/>
        <v>0</v>
      </c>
      <c r="BX46" s="270">
        <f t="shared" si="158"/>
        <v>0</v>
      </c>
      <c r="BY46" s="270">
        <f t="shared" si="158"/>
        <v>0</v>
      </c>
      <c r="BZ46" s="270">
        <f t="shared" si="158"/>
        <v>0</v>
      </c>
      <c r="CA46" s="270">
        <f t="shared" si="158"/>
        <v>0</v>
      </c>
      <c r="CB46" s="270">
        <f t="shared" si="158"/>
        <v>0</v>
      </c>
      <c r="CC46" s="270">
        <f t="shared" ref="CC46:DE46" si="159">CC22*$E$22</f>
        <v>0</v>
      </c>
      <c r="CD46" s="270">
        <f t="shared" si="159"/>
        <v>0</v>
      </c>
      <c r="CE46" s="270">
        <f t="shared" si="159"/>
        <v>0</v>
      </c>
      <c r="CF46" s="270">
        <f t="shared" si="159"/>
        <v>0</v>
      </c>
      <c r="CG46" s="270">
        <f t="shared" si="159"/>
        <v>0</v>
      </c>
      <c r="CH46" s="270">
        <f t="shared" si="159"/>
        <v>0</v>
      </c>
      <c r="CI46" s="270">
        <f t="shared" si="159"/>
        <v>0</v>
      </c>
      <c r="CJ46" s="270">
        <f t="shared" si="159"/>
        <v>0</v>
      </c>
      <c r="CK46" s="270">
        <f t="shared" si="159"/>
        <v>0</v>
      </c>
      <c r="CL46" s="270">
        <f t="shared" si="159"/>
        <v>0</v>
      </c>
      <c r="CM46" s="270">
        <f t="shared" si="159"/>
        <v>0</v>
      </c>
      <c r="CN46" s="270">
        <f t="shared" si="159"/>
        <v>0</v>
      </c>
      <c r="CO46" s="270">
        <f t="shared" si="159"/>
        <v>0</v>
      </c>
      <c r="CP46" s="270">
        <f t="shared" si="159"/>
        <v>0</v>
      </c>
      <c r="CQ46" s="270">
        <f t="shared" si="159"/>
        <v>0</v>
      </c>
      <c r="CR46" s="270">
        <f t="shared" si="159"/>
        <v>0</v>
      </c>
      <c r="CS46" s="270">
        <f t="shared" si="159"/>
        <v>0</v>
      </c>
      <c r="CT46" s="270">
        <f t="shared" si="159"/>
        <v>0</v>
      </c>
      <c r="CU46" s="270">
        <f t="shared" si="159"/>
        <v>0</v>
      </c>
      <c r="CV46" s="270">
        <f t="shared" si="159"/>
        <v>0</v>
      </c>
      <c r="CW46" s="270">
        <f t="shared" si="159"/>
        <v>0</v>
      </c>
      <c r="CX46" s="270">
        <f t="shared" si="159"/>
        <v>0</v>
      </c>
      <c r="CY46" s="270">
        <f t="shared" si="159"/>
        <v>0</v>
      </c>
      <c r="CZ46" s="270">
        <f t="shared" si="159"/>
        <v>0</v>
      </c>
      <c r="DA46" s="270">
        <f t="shared" si="159"/>
        <v>0</v>
      </c>
      <c r="DB46" s="270">
        <f t="shared" si="159"/>
        <v>0</v>
      </c>
      <c r="DC46" s="270">
        <f t="shared" si="159"/>
        <v>0</v>
      </c>
      <c r="DD46" s="270">
        <f t="shared" si="159"/>
        <v>0</v>
      </c>
      <c r="DE46" s="140">
        <f t="shared" si="159"/>
        <v>0</v>
      </c>
    </row>
    <row r="47" spans="2:109">
      <c r="B47" s="357" t="s">
        <v>179</v>
      </c>
      <c r="E47" s="270">
        <f t="shared" si="155"/>
        <v>3454212.9999999995</v>
      </c>
      <c r="F47" s="270"/>
      <c r="I47" s="270">
        <f t="shared" ref="I47:AN47" si="160">I23*$E$23</f>
        <v>0</v>
      </c>
      <c r="J47" s="270">
        <f t="shared" si="160"/>
        <v>3093.4173287066387</v>
      </c>
      <c r="K47" s="270">
        <f t="shared" si="160"/>
        <v>3707.8525518002361</v>
      </c>
      <c r="L47" s="270">
        <f t="shared" si="160"/>
        <v>4423.4656398022398</v>
      </c>
      <c r="M47" s="270">
        <f t="shared" si="160"/>
        <v>5252.4160783628058</v>
      </c>
      <c r="N47" s="270">
        <f t="shared" si="160"/>
        <v>6207.4302359952399</v>
      </c>
      <c r="O47" s="270">
        <f t="shared" si="160"/>
        <v>7301.6470124470179</v>
      </c>
      <c r="P47" s="270">
        <f t="shared" si="160"/>
        <v>8548.4245231675504</v>
      </c>
      <c r="Q47" s="270">
        <f t="shared" si="160"/>
        <v>9961.106662768987</v>
      </c>
      <c r="R47" s="270">
        <f t="shared" si="160"/>
        <v>11552.749611779856</v>
      </c>
      <c r="S47" s="270">
        <f t="shared" si="160"/>
        <v>13335.809784358187</v>
      </c>
      <c r="T47" s="270">
        <f t="shared" si="160"/>
        <v>15321.796331269754</v>
      </c>
      <c r="U47" s="270">
        <f t="shared" si="160"/>
        <v>17520.893069522022</v>
      </c>
      <c r="V47" s="270">
        <f t="shared" si="160"/>
        <v>19941.556550611756</v>
      </c>
      <c r="W47" s="270">
        <f t="shared" si="160"/>
        <v>22590.098833178512</v>
      </c>
      <c r="X47" s="270">
        <f t="shared" si="160"/>
        <v>25470.2653112757</v>
      </c>
      <c r="Y47" s="270">
        <f t="shared" si="160"/>
        <v>28582.819576110283</v>
      </c>
      <c r="Z47" s="270">
        <f t="shared" si="160"/>
        <v>31925.148661607891</v>
      </c>
      <c r="AA47" s="270">
        <f t="shared" si="160"/>
        <v>35490.903046718995</v>
      </c>
      <c r="AB47" s="270">
        <f t="shared" si="160"/>
        <v>39269.686368899165</v>
      </c>
      <c r="AC47" s="270">
        <f t="shared" si="160"/>
        <v>43246.809862878974</v>
      </c>
      <c r="AD47" s="270">
        <f t="shared" si="160"/>
        <v>47403.12601186939</v>
      </c>
      <c r="AE47" s="270">
        <f t="shared" si="160"/>
        <v>51714.95474130621</v>
      </c>
      <c r="AF47" s="270">
        <f t="shared" si="160"/>
        <v>56154.113680892617</v>
      </c>
      <c r="AG47" s="270">
        <f t="shared" si="160"/>
        <v>60688.061581772337</v>
      </c>
      <c r="AH47" s="270">
        <f t="shared" si="160"/>
        <v>65280.160947261378</v>
      </c>
      <c r="AI47" s="270">
        <f t="shared" si="160"/>
        <v>69890.062395901972</v>
      </c>
      <c r="AJ47" s="270">
        <f t="shared" si="160"/>
        <v>74474.209334919622</v>
      </c>
      <c r="AK47" s="270">
        <f t="shared" si="160"/>
        <v>78986.45731963127</v>
      </c>
      <c r="AL47" s="270">
        <f t="shared" si="160"/>
        <v>83378.798173030256</v>
      </c>
      <c r="AM47" s="270">
        <f t="shared" si="160"/>
        <v>87602.174719807284</v>
      </c>
      <c r="AN47" s="270">
        <f t="shared" si="160"/>
        <v>91607.368039323672</v>
      </c>
      <c r="AO47" s="270">
        <f t="shared" ref="AO47:BN47" si="161">AO23*$E$23</f>
        <v>95345.935650735497</v>
      </c>
      <c r="AP47" s="270">
        <f t="shared" si="161"/>
        <v>98771.176188089128</v>
      </c>
      <c r="AQ47" s="270">
        <f t="shared" si="161"/>
        <v>101839.09406061932</v>
      </c>
      <c r="AR47" s="270">
        <f t="shared" si="161"/>
        <v>104509.33645052277</v>
      </c>
      <c r="AS47" s="270">
        <f t="shared" si="161"/>
        <v>106746.07486586466</v>
      </c>
      <c r="AT47" s="270">
        <f t="shared" si="161"/>
        <v>108518.80438432473</v>
      </c>
      <c r="AU47" s="270">
        <f t="shared" si="161"/>
        <v>109803.03569008721</v>
      </c>
      <c r="AV47" s="270">
        <f t="shared" si="161"/>
        <v>110580.85796740446</v>
      </c>
      <c r="AW47" s="270">
        <f t="shared" si="161"/>
        <v>110841.35456785122</v>
      </c>
      <c r="AX47" s="270">
        <f t="shared" si="161"/>
        <v>110580.85796740446</v>
      </c>
      <c r="AY47" s="270">
        <f t="shared" si="161"/>
        <v>109803.03569008724</v>
      </c>
      <c r="AZ47" s="270">
        <f t="shared" si="161"/>
        <v>108518.80438432476</v>
      </c>
      <c r="BA47" s="270">
        <f t="shared" si="161"/>
        <v>106746.07486586468</v>
      </c>
      <c r="BB47" s="270">
        <f t="shared" si="161"/>
        <v>104509.33645052278</v>
      </c>
      <c r="BC47" s="270">
        <f t="shared" si="161"/>
        <v>101839.09406061933</v>
      </c>
      <c r="BD47" s="270">
        <f t="shared" si="161"/>
        <v>98771.176188089128</v>
      </c>
      <c r="BE47" s="270">
        <f t="shared" si="161"/>
        <v>95345.93565073557</v>
      </c>
      <c r="BF47" s="270">
        <f t="shared" si="161"/>
        <v>91607.368039323686</v>
      </c>
      <c r="BG47" s="270">
        <f t="shared" si="161"/>
        <v>87602.174719807328</v>
      </c>
      <c r="BH47" s="270">
        <f t="shared" si="161"/>
        <v>83378.7981730303</v>
      </c>
      <c r="BI47" s="270">
        <f t="shared" si="161"/>
        <v>78986.457319631299</v>
      </c>
      <c r="BJ47" s="270">
        <f t="shared" si="161"/>
        <v>74474.209334919666</v>
      </c>
      <c r="BK47" s="270">
        <f t="shared" si="161"/>
        <v>69890.062395902016</v>
      </c>
      <c r="BL47" s="270">
        <f t="shared" si="161"/>
        <v>65280.160947261422</v>
      </c>
      <c r="BM47" s="270">
        <f t="shared" si="161"/>
        <v>0</v>
      </c>
      <c r="BN47" s="270">
        <f t="shared" si="161"/>
        <v>0</v>
      </c>
      <c r="BO47" s="270">
        <f t="shared" ref="BO47:CB47" si="162">BO23*$E$23</f>
        <v>0</v>
      </c>
      <c r="BP47" s="270">
        <f t="shared" si="162"/>
        <v>0</v>
      </c>
      <c r="BQ47" s="270">
        <f t="shared" si="162"/>
        <v>0</v>
      </c>
      <c r="BR47" s="270">
        <f t="shared" si="162"/>
        <v>0</v>
      </c>
      <c r="BS47" s="270">
        <f t="shared" si="162"/>
        <v>0</v>
      </c>
      <c r="BT47" s="270">
        <f t="shared" si="162"/>
        <v>0</v>
      </c>
      <c r="BU47" s="270">
        <f t="shared" si="162"/>
        <v>0</v>
      </c>
      <c r="BV47" s="270">
        <f t="shared" si="162"/>
        <v>0</v>
      </c>
      <c r="BW47" s="270">
        <f t="shared" si="162"/>
        <v>0</v>
      </c>
      <c r="BX47" s="270">
        <f t="shared" si="162"/>
        <v>0</v>
      </c>
      <c r="BY47" s="270">
        <f t="shared" si="162"/>
        <v>0</v>
      </c>
      <c r="BZ47" s="270">
        <f t="shared" si="162"/>
        <v>0</v>
      </c>
      <c r="CA47" s="270">
        <f t="shared" si="162"/>
        <v>0</v>
      </c>
      <c r="CB47" s="270">
        <f t="shared" si="162"/>
        <v>0</v>
      </c>
      <c r="CC47" s="270">
        <f t="shared" ref="CC47:DE47" si="163">CC23*$E$23</f>
        <v>0</v>
      </c>
      <c r="CD47" s="270">
        <f t="shared" si="163"/>
        <v>0</v>
      </c>
      <c r="CE47" s="270">
        <f t="shared" si="163"/>
        <v>0</v>
      </c>
      <c r="CF47" s="270">
        <f t="shared" si="163"/>
        <v>0</v>
      </c>
      <c r="CG47" s="270">
        <f t="shared" si="163"/>
        <v>0</v>
      </c>
      <c r="CH47" s="270">
        <f t="shared" si="163"/>
        <v>0</v>
      </c>
      <c r="CI47" s="270">
        <f t="shared" si="163"/>
        <v>0</v>
      </c>
      <c r="CJ47" s="270">
        <f t="shared" si="163"/>
        <v>0</v>
      </c>
      <c r="CK47" s="270">
        <f t="shared" si="163"/>
        <v>0</v>
      </c>
      <c r="CL47" s="270">
        <f t="shared" si="163"/>
        <v>0</v>
      </c>
      <c r="CM47" s="270">
        <f t="shared" si="163"/>
        <v>0</v>
      </c>
      <c r="CN47" s="270">
        <f t="shared" si="163"/>
        <v>0</v>
      </c>
      <c r="CO47" s="270">
        <f t="shared" si="163"/>
        <v>0</v>
      </c>
      <c r="CP47" s="270">
        <f t="shared" si="163"/>
        <v>0</v>
      </c>
      <c r="CQ47" s="270">
        <f t="shared" si="163"/>
        <v>0</v>
      </c>
      <c r="CR47" s="270">
        <f t="shared" si="163"/>
        <v>0</v>
      </c>
      <c r="CS47" s="270">
        <f t="shared" si="163"/>
        <v>0</v>
      </c>
      <c r="CT47" s="270">
        <f t="shared" si="163"/>
        <v>0</v>
      </c>
      <c r="CU47" s="270">
        <f t="shared" si="163"/>
        <v>0</v>
      </c>
      <c r="CV47" s="270">
        <f t="shared" si="163"/>
        <v>0</v>
      </c>
      <c r="CW47" s="270">
        <f t="shared" si="163"/>
        <v>0</v>
      </c>
      <c r="CX47" s="270">
        <f t="shared" si="163"/>
        <v>0</v>
      </c>
      <c r="CY47" s="270">
        <f t="shared" si="163"/>
        <v>0</v>
      </c>
      <c r="CZ47" s="270">
        <f t="shared" si="163"/>
        <v>0</v>
      </c>
      <c r="DA47" s="270">
        <f t="shared" si="163"/>
        <v>0</v>
      </c>
      <c r="DB47" s="270">
        <f t="shared" si="163"/>
        <v>0</v>
      </c>
      <c r="DC47" s="270">
        <f t="shared" si="163"/>
        <v>0</v>
      </c>
      <c r="DD47" s="270">
        <f t="shared" si="163"/>
        <v>0</v>
      </c>
      <c r="DE47" s="140">
        <f t="shared" si="163"/>
        <v>0</v>
      </c>
    </row>
    <row r="48" spans="2:109">
      <c r="B48" s="357" t="s">
        <v>280</v>
      </c>
      <c r="E48" s="270">
        <f t="shared" si="155"/>
        <v>1702000</v>
      </c>
      <c r="F48" s="270"/>
      <c r="I48" s="270">
        <f t="shared" ref="I48:AN48" si="164">I24*$E$24</f>
        <v>0</v>
      </c>
      <c r="J48" s="270">
        <f t="shared" si="164"/>
        <v>0</v>
      </c>
      <c r="K48" s="270">
        <f t="shared" si="164"/>
        <v>0</v>
      </c>
      <c r="L48" s="270">
        <f t="shared" si="164"/>
        <v>0</v>
      </c>
      <c r="M48" s="270">
        <f t="shared" si="164"/>
        <v>0</v>
      </c>
      <c r="N48" s="270">
        <f t="shared" si="164"/>
        <v>0</v>
      </c>
      <c r="O48" s="270">
        <f t="shared" si="164"/>
        <v>0</v>
      </c>
      <c r="P48" s="270">
        <f t="shared" si="164"/>
        <v>0</v>
      </c>
      <c r="Q48" s="270">
        <f t="shared" si="164"/>
        <v>0</v>
      </c>
      <c r="R48" s="270">
        <f t="shared" si="164"/>
        <v>0</v>
      </c>
      <c r="S48" s="270">
        <f t="shared" si="164"/>
        <v>0</v>
      </c>
      <c r="T48" s="270">
        <f t="shared" si="164"/>
        <v>0</v>
      </c>
      <c r="U48" s="270">
        <f t="shared" si="164"/>
        <v>0</v>
      </c>
      <c r="V48" s="270">
        <f t="shared" si="164"/>
        <v>0</v>
      </c>
      <c r="W48" s="270">
        <f t="shared" si="164"/>
        <v>0</v>
      </c>
      <c r="X48" s="270">
        <f t="shared" si="164"/>
        <v>0</v>
      </c>
      <c r="Y48" s="270">
        <f t="shared" si="164"/>
        <v>0</v>
      </c>
      <c r="Z48" s="270">
        <f t="shared" si="164"/>
        <v>0</v>
      </c>
      <c r="AA48" s="270">
        <f t="shared" si="164"/>
        <v>0</v>
      </c>
      <c r="AB48" s="270">
        <f t="shared" si="164"/>
        <v>0</v>
      </c>
      <c r="AC48" s="270">
        <f t="shared" si="164"/>
        <v>0</v>
      </c>
      <c r="AD48" s="270">
        <f t="shared" si="164"/>
        <v>0</v>
      </c>
      <c r="AE48" s="270">
        <f t="shared" si="164"/>
        <v>0</v>
      </c>
      <c r="AF48" s="270">
        <f t="shared" si="164"/>
        <v>0</v>
      </c>
      <c r="AG48" s="270">
        <f t="shared" si="164"/>
        <v>0</v>
      </c>
      <c r="AH48" s="270">
        <f t="shared" si="164"/>
        <v>0</v>
      </c>
      <c r="AI48" s="270">
        <f t="shared" si="164"/>
        <v>0</v>
      </c>
      <c r="AJ48" s="270">
        <f t="shared" si="164"/>
        <v>0</v>
      </c>
      <c r="AK48" s="270">
        <f t="shared" si="164"/>
        <v>0</v>
      </c>
      <c r="AL48" s="270">
        <f t="shared" si="164"/>
        <v>0</v>
      </c>
      <c r="AM48" s="270">
        <f t="shared" si="164"/>
        <v>0</v>
      </c>
      <c r="AN48" s="270">
        <f t="shared" si="164"/>
        <v>0</v>
      </c>
      <c r="AO48" s="270">
        <f t="shared" ref="AO48:BN48" si="165">AO24*$E$24</f>
        <v>0</v>
      </c>
      <c r="AP48" s="270">
        <f t="shared" si="165"/>
        <v>0</v>
      </c>
      <c r="AQ48" s="270">
        <f t="shared" si="165"/>
        <v>0</v>
      </c>
      <c r="AR48" s="270">
        <f t="shared" si="165"/>
        <v>0</v>
      </c>
      <c r="AS48" s="270">
        <f t="shared" si="165"/>
        <v>0</v>
      </c>
      <c r="AT48" s="270">
        <f t="shared" si="165"/>
        <v>0</v>
      </c>
      <c r="AU48" s="270">
        <f t="shared" si="165"/>
        <v>0</v>
      </c>
      <c r="AV48" s="270">
        <f t="shared" si="165"/>
        <v>0</v>
      </c>
      <c r="AW48" s="270">
        <f t="shared" si="165"/>
        <v>0</v>
      </c>
      <c r="AX48" s="270">
        <f t="shared" si="165"/>
        <v>47768.987814550666</v>
      </c>
      <c r="AY48" s="270">
        <f t="shared" si="165"/>
        <v>69824.467220331047</v>
      </c>
      <c r="AZ48" s="270">
        <f t="shared" si="165"/>
        <v>95805.907774672814</v>
      </c>
      <c r="BA48" s="270">
        <f t="shared" si="165"/>
        <v>123395.69771216653</v>
      </c>
      <c r="BB48" s="270">
        <f t="shared" si="165"/>
        <v>149186.94260132266</v>
      </c>
      <c r="BC48" s="270">
        <f t="shared" si="165"/>
        <v>169310.80616052262</v>
      </c>
      <c r="BD48" s="270">
        <f t="shared" si="165"/>
        <v>180368.88040170199</v>
      </c>
      <c r="BE48" s="270">
        <f t="shared" si="165"/>
        <v>180368.88040170193</v>
      </c>
      <c r="BF48" s="270">
        <f t="shared" si="165"/>
        <v>169310.80616052262</v>
      </c>
      <c r="BG48" s="270">
        <f t="shared" si="165"/>
        <v>149186.94260132263</v>
      </c>
      <c r="BH48" s="270">
        <f t="shared" si="165"/>
        <v>123395.69771216651</v>
      </c>
      <c r="BI48" s="270">
        <f t="shared" si="165"/>
        <v>95805.907774672814</v>
      </c>
      <c r="BJ48" s="270">
        <f t="shared" si="165"/>
        <v>69824.467220331004</v>
      </c>
      <c r="BK48" s="270">
        <f t="shared" si="165"/>
        <v>47768.987814550645</v>
      </c>
      <c r="BL48" s="270">
        <f t="shared" si="165"/>
        <v>30676.620629463447</v>
      </c>
      <c r="BM48" s="270">
        <f t="shared" si="165"/>
        <v>0</v>
      </c>
      <c r="BN48" s="270">
        <f t="shared" si="165"/>
        <v>0</v>
      </c>
      <c r="BO48" s="270">
        <f t="shared" ref="BO48:CB48" si="166">BO24*$E$24</f>
        <v>0</v>
      </c>
      <c r="BP48" s="270">
        <f t="shared" si="166"/>
        <v>0</v>
      </c>
      <c r="BQ48" s="270">
        <f t="shared" si="166"/>
        <v>0</v>
      </c>
      <c r="BR48" s="270">
        <f t="shared" si="166"/>
        <v>0</v>
      </c>
      <c r="BS48" s="270">
        <f t="shared" si="166"/>
        <v>0</v>
      </c>
      <c r="BT48" s="270">
        <f t="shared" si="166"/>
        <v>0</v>
      </c>
      <c r="BU48" s="270">
        <f t="shared" si="166"/>
        <v>0</v>
      </c>
      <c r="BV48" s="270">
        <f t="shared" si="166"/>
        <v>0</v>
      </c>
      <c r="BW48" s="270">
        <f t="shared" si="166"/>
        <v>0</v>
      </c>
      <c r="BX48" s="270">
        <f t="shared" si="166"/>
        <v>0</v>
      </c>
      <c r="BY48" s="270">
        <f t="shared" si="166"/>
        <v>0</v>
      </c>
      <c r="BZ48" s="270">
        <f t="shared" si="166"/>
        <v>0</v>
      </c>
      <c r="CA48" s="270">
        <f t="shared" si="166"/>
        <v>0</v>
      </c>
      <c r="CB48" s="270">
        <f t="shared" si="166"/>
        <v>0</v>
      </c>
      <c r="CC48" s="270">
        <f t="shared" ref="CC48:DE48" si="167">CC24*$E$24</f>
        <v>0</v>
      </c>
      <c r="CD48" s="270">
        <f t="shared" si="167"/>
        <v>0</v>
      </c>
      <c r="CE48" s="270">
        <f t="shared" si="167"/>
        <v>0</v>
      </c>
      <c r="CF48" s="270">
        <f t="shared" si="167"/>
        <v>0</v>
      </c>
      <c r="CG48" s="270">
        <f t="shared" si="167"/>
        <v>0</v>
      </c>
      <c r="CH48" s="270">
        <f t="shared" si="167"/>
        <v>0</v>
      </c>
      <c r="CI48" s="270">
        <f t="shared" si="167"/>
        <v>0</v>
      </c>
      <c r="CJ48" s="270">
        <f t="shared" si="167"/>
        <v>0</v>
      </c>
      <c r="CK48" s="270">
        <f t="shared" si="167"/>
        <v>0</v>
      </c>
      <c r="CL48" s="270">
        <f t="shared" si="167"/>
        <v>0</v>
      </c>
      <c r="CM48" s="270">
        <f t="shared" si="167"/>
        <v>0</v>
      </c>
      <c r="CN48" s="270">
        <f t="shared" si="167"/>
        <v>0</v>
      </c>
      <c r="CO48" s="270">
        <f t="shared" si="167"/>
        <v>0</v>
      </c>
      <c r="CP48" s="270">
        <f t="shared" si="167"/>
        <v>0</v>
      </c>
      <c r="CQ48" s="270">
        <f t="shared" si="167"/>
        <v>0</v>
      </c>
      <c r="CR48" s="270">
        <f t="shared" si="167"/>
        <v>0</v>
      </c>
      <c r="CS48" s="270">
        <f t="shared" si="167"/>
        <v>0</v>
      </c>
      <c r="CT48" s="270">
        <f t="shared" si="167"/>
        <v>0</v>
      </c>
      <c r="CU48" s="270">
        <f t="shared" si="167"/>
        <v>0</v>
      </c>
      <c r="CV48" s="270">
        <f t="shared" si="167"/>
        <v>0</v>
      </c>
      <c r="CW48" s="270">
        <f t="shared" si="167"/>
        <v>0</v>
      </c>
      <c r="CX48" s="270">
        <f t="shared" si="167"/>
        <v>0</v>
      </c>
      <c r="CY48" s="270">
        <f t="shared" si="167"/>
        <v>0</v>
      </c>
      <c r="CZ48" s="270">
        <f t="shared" si="167"/>
        <v>0</v>
      </c>
      <c r="DA48" s="270">
        <f t="shared" si="167"/>
        <v>0</v>
      </c>
      <c r="DB48" s="270">
        <f t="shared" si="167"/>
        <v>0</v>
      </c>
      <c r="DC48" s="270">
        <f t="shared" si="167"/>
        <v>0</v>
      </c>
      <c r="DD48" s="270">
        <f t="shared" si="167"/>
        <v>0</v>
      </c>
      <c r="DE48" s="140">
        <f t="shared" si="167"/>
        <v>0</v>
      </c>
    </row>
    <row r="49" spans="2:109">
      <c r="B49" s="357" t="s">
        <v>279</v>
      </c>
      <c r="E49" s="270">
        <f t="shared" ref="E49:E64" si="168">SUM(I49:BN49)</f>
        <v>222329</v>
      </c>
      <c r="F49" s="270"/>
      <c r="I49" s="270">
        <f t="shared" ref="I49:AN49" si="169">I25*$E$25</f>
        <v>222329</v>
      </c>
      <c r="J49" s="270">
        <f t="shared" si="169"/>
        <v>0</v>
      </c>
      <c r="K49" s="270">
        <f t="shared" si="169"/>
        <v>0</v>
      </c>
      <c r="L49" s="270">
        <f t="shared" si="169"/>
        <v>0</v>
      </c>
      <c r="M49" s="270">
        <f t="shared" si="169"/>
        <v>0</v>
      </c>
      <c r="N49" s="270">
        <f t="shared" si="169"/>
        <v>0</v>
      </c>
      <c r="O49" s="270">
        <f t="shared" si="169"/>
        <v>0</v>
      </c>
      <c r="P49" s="270">
        <f t="shared" si="169"/>
        <v>0</v>
      </c>
      <c r="Q49" s="270">
        <f t="shared" si="169"/>
        <v>0</v>
      </c>
      <c r="R49" s="270">
        <f t="shared" si="169"/>
        <v>0</v>
      </c>
      <c r="S49" s="270">
        <f t="shared" si="169"/>
        <v>0</v>
      </c>
      <c r="T49" s="270">
        <f t="shared" si="169"/>
        <v>0</v>
      </c>
      <c r="U49" s="270">
        <f t="shared" si="169"/>
        <v>0</v>
      </c>
      <c r="V49" s="270">
        <f t="shared" si="169"/>
        <v>0</v>
      </c>
      <c r="W49" s="270">
        <f t="shared" si="169"/>
        <v>0</v>
      </c>
      <c r="X49" s="270">
        <f t="shared" si="169"/>
        <v>0</v>
      </c>
      <c r="Y49" s="270">
        <f t="shared" si="169"/>
        <v>0</v>
      </c>
      <c r="Z49" s="270">
        <f t="shared" si="169"/>
        <v>0</v>
      </c>
      <c r="AA49" s="270">
        <f t="shared" si="169"/>
        <v>0</v>
      </c>
      <c r="AB49" s="270">
        <f t="shared" si="169"/>
        <v>0</v>
      </c>
      <c r="AC49" s="270">
        <f t="shared" si="169"/>
        <v>0</v>
      </c>
      <c r="AD49" s="270">
        <f t="shared" si="169"/>
        <v>0</v>
      </c>
      <c r="AE49" s="270">
        <f t="shared" si="169"/>
        <v>0</v>
      </c>
      <c r="AF49" s="270">
        <f t="shared" si="169"/>
        <v>0</v>
      </c>
      <c r="AG49" s="270">
        <f t="shared" si="169"/>
        <v>0</v>
      </c>
      <c r="AH49" s="270">
        <f t="shared" si="169"/>
        <v>0</v>
      </c>
      <c r="AI49" s="270">
        <f t="shared" si="169"/>
        <v>0</v>
      </c>
      <c r="AJ49" s="270">
        <f t="shared" si="169"/>
        <v>0</v>
      </c>
      <c r="AK49" s="270">
        <f t="shared" si="169"/>
        <v>0</v>
      </c>
      <c r="AL49" s="270">
        <f t="shared" si="169"/>
        <v>0</v>
      </c>
      <c r="AM49" s="270">
        <f t="shared" si="169"/>
        <v>0</v>
      </c>
      <c r="AN49" s="270">
        <f t="shared" si="169"/>
        <v>0</v>
      </c>
      <c r="AO49" s="270">
        <f t="shared" ref="AO49:BN49" si="170">AO25*$E$25</f>
        <v>0</v>
      </c>
      <c r="AP49" s="270">
        <f t="shared" si="170"/>
        <v>0</v>
      </c>
      <c r="AQ49" s="270">
        <f t="shared" si="170"/>
        <v>0</v>
      </c>
      <c r="AR49" s="270">
        <f t="shared" si="170"/>
        <v>0</v>
      </c>
      <c r="AS49" s="270">
        <f t="shared" si="170"/>
        <v>0</v>
      </c>
      <c r="AT49" s="270">
        <f t="shared" si="170"/>
        <v>0</v>
      </c>
      <c r="AU49" s="270">
        <f t="shared" si="170"/>
        <v>0</v>
      </c>
      <c r="AV49" s="270">
        <f t="shared" si="170"/>
        <v>0</v>
      </c>
      <c r="AW49" s="270">
        <f t="shared" si="170"/>
        <v>0</v>
      </c>
      <c r="AX49" s="270">
        <f t="shared" si="170"/>
        <v>0</v>
      </c>
      <c r="AY49" s="270">
        <f t="shared" si="170"/>
        <v>0</v>
      </c>
      <c r="AZ49" s="270">
        <f t="shared" si="170"/>
        <v>0</v>
      </c>
      <c r="BA49" s="270">
        <f t="shared" si="170"/>
        <v>0</v>
      </c>
      <c r="BB49" s="270">
        <f t="shared" si="170"/>
        <v>0</v>
      </c>
      <c r="BC49" s="270">
        <f t="shared" si="170"/>
        <v>0</v>
      </c>
      <c r="BD49" s="270">
        <f t="shared" si="170"/>
        <v>0</v>
      </c>
      <c r="BE49" s="270">
        <f t="shared" si="170"/>
        <v>0</v>
      </c>
      <c r="BF49" s="270">
        <f t="shared" si="170"/>
        <v>0</v>
      </c>
      <c r="BG49" s="270">
        <f t="shared" si="170"/>
        <v>0</v>
      </c>
      <c r="BH49" s="270">
        <f t="shared" si="170"/>
        <v>0</v>
      </c>
      <c r="BI49" s="270">
        <f t="shared" si="170"/>
        <v>0</v>
      </c>
      <c r="BJ49" s="270">
        <f t="shared" si="170"/>
        <v>0</v>
      </c>
      <c r="BK49" s="270">
        <f t="shared" si="170"/>
        <v>0</v>
      </c>
      <c r="BL49" s="270">
        <f t="shared" si="170"/>
        <v>0</v>
      </c>
      <c r="BM49" s="270">
        <f t="shared" si="170"/>
        <v>0</v>
      </c>
      <c r="BN49" s="270">
        <f t="shared" si="170"/>
        <v>0</v>
      </c>
      <c r="BO49" s="270">
        <f t="shared" ref="BO49:CB49" si="171">BO25*$E$25</f>
        <v>0</v>
      </c>
      <c r="BP49" s="270">
        <f t="shared" si="171"/>
        <v>0</v>
      </c>
      <c r="BQ49" s="270">
        <f t="shared" si="171"/>
        <v>0</v>
      </c>
      <c r="BR49" s="270">
        <f t="shared" si="171"/>
        <v>0</v>
      </c>
      <c r="BS49" s="270">
        <f t="shared" si="171"/>
        <v>0</v>
      </c>
      <c r="BT49" s="270">
        <f t="shared" si="171"/>
        <v>0</v>
      </c>
      <c r="BU49" s="270">
        <f t="shared" si="171"/>
        <v>0</v>
      </c>
      <c r="BV49" s="270">
        <f t="shared" si="171"/>
        <v>0</v>
      </c>
      <c r="BW49" s="270">
        <f t="shared" si="171"/>
        <v>0</v>
      </c>
      <c r="BX49" s="270">
        <f t="shared" si="171"/>
        <v>0</v>
      </c>
      <c r="BY49" s="270">
        <f t="shared" si="171"/>
        <v>0</v>
      </c>
      <c r="BZ49" s="270">
        <f t="shared" si="171"/>
        <v>0</v>
      </c>
      <c r="CA49" s="270">
        <f t="shared" si="171"/>
        <v>0</v>
      </c>
      <c r="CB49" s="270">
        <f t="shared" si="171"/>
        <v>0</v>
      </c>
      <c r="CC49" s="270">
        <f t="shared" ref="CC49:DE49" si="172">CC25*$E$25</f>
        <v>0</v>
      </c>
      <c r="CD49" s="270">
        <f t="shared" si="172"/>
        <v>0</v>
      </c>
      <c r="CE49" s="270">
        <f t="shared" si="172"/>
        <v>0</v>
      </c>
      <c r="CF49" s="270">
        <f t="shared" si="172"/>
        <v>0</v>
      </c>
      <c r="CG49" s="270">
        <f t="shared" si="172"/>
        <v>0</v>
      </c>
      <c r="CH49" s="270">
        <f t="shared" si="172"/>
        <v>0</v>
      </c>
      <c r="CI49" s="270">
        <f t="shared" si="172"/>
        <v>0</v>
      </c>
      <c r="CJ49" s="270">
        <f t="shared" si="172"/>
        <v>0</v>
      </c>
      <c r="CK49" s="270">
        <f t="shared" si="172"/>
        <v>0</v>
      </c>
      <c r="CL49" s="270">
        <f t="shared" si="172"/>
        <v>0</v>
      </c>
      <c r="CM49" s="270">
        <f t="shared" si="172"/>
        <v>0</v>
      </c>
      <c r="CN49" s="270">
        <f t="shared" si="172"/>
        <v>0</v>
      </c>
      <c r="CO49" s="270">
        <f t="shared" si="172"/>
        <v>0</v>
      </c>
      <c r="CP49" s="270">
        <f t="shared" si="172"/>
        <v>0</v>
      </c>
      <c r="CQ49" s="270">
        <f t="shared" si="172"/>
        <v>0</v>
      </c>
      <c r="CR49" s="270">
        <f t="shared" si="172"/>
        <v>0</v>
      </c>
      <c r="CS49" s="270">
        <f t="shared" si="172"/>
        <v>0</v>
      </c>
      <c r="CT49" s="270">
        <f t="shared" si="172"/>
        <v>0</v>
      </c>
      <c r="CU49" s="270">
        <f t="shared" si="172"/>
        <v>0</v>
      </c>
      <c r="CV49" s="270">
        <f t="shared" si="172"/>
        <v>0</v>
      </c>
      <c r="CW49" s="270">
        <f t="shared" si="172"/>
        <v>0</v>
      </c>
      <c r="CX49" s="270">
        <f t="shared" si="172"/>
        <v>0</v>
      </c>
      <c r="CY49" s="270">
        <f t="shared" si="172"/>
        <v>0</v>
      </c>
      <c r="CZ49" s="270">
        <f t="shared" si="172"/>
        <v>0</v>
      </c>
      <c r="DA49" s="270">
        <f t="shared" si="172"/>
        <v>0</v>
      </c>
      <c r="DB49" s="270">
        <f t="shared" si="172"/>
        <v>0</v>
      </c>
      <c r="DC49" s="270">
        <f t="shared" si="172"/>
        <v>0</v>
      </c>
      <c r="DD49" s="270">
        <f t="shared" si="172"/>
        <v>0</v>
      </c>
      <c r="DE49" s="140">
        <f t="shared" si="172"/>
        <v>0</v>
      </c>
    </row>
    <row r="50" spans="2:109">
      <c r="B50" s="357" t="s">
        <v>180</v>
      </c>
      <c r="E50" s="270">
        <f t="shared" si="168"/>
        <v>242550</v>
      </c>
      <c r="F50" s="270"/>
      <c r="I50" s="270">
        <f t="shared" ref="I50:AN50" si="173">I26*$E$26</f>
        <v>0</v>
      </c>
      <c r="J50" s="270">
        <f t="shared" si="173"/>
        <v>0</v>
      </c>
      <c r="K50" s="270">
        <f t="shared" si="173"/>
        <v>0</v>
      </c>
      <c r="L50" s="270">
        <f t="shared" si="173"/>
        <v>0</v>
      </c>
      <c r="M50" s="270">
        <f t="shared" si="173"/>
        <v>0</v>
      </c>
      <c r="N50" s="270">
        <f t="shared" si="173"/>
        <v>0</v>
      </c>
      <c r="O50" s="270">
        <f t="shared" si="173"/>
        <v>0</v>
      </c>
      <c r="P50" s="270">
        <f t="shared" si="173"/>
        <v>0</v>
      </c>
      <c r="Q50" s="270">
        <f t="shared" si="173"/>
        <v>0</v>
      </c>
      <c r="R50" s="270">
        <f t="shared" si="173"/>
        <v>0</v>
      </c>
      <c r="S50" s="270">
        <f t="shared" si="173"/>
        <v>0</v>
      </c>
      <c r="T50" s="270">
        <f t="shared" si="173"/>
        <v>0</v>
      </c>
      <c r="U50" s="270">
        <f t="shared" si="173"/>
        <v>0</v>
      </c>
      <c r="V50" s="270">
        <f t="shared" si="173"/>
        <v>0</v>
      </c>
      <c r="W50" s="270">
        <f t="shared" si="173"/>
        <v>0</v>
      </c>
      <c r="X50" s="270">
        <f t="shared" si="173"/>
        <v>0</v>
      </c>
      <c r="Y50" s="270">
        <f t="shared" si="173"/>
        <v>0</v>
      </c>
      <c r="Z50" s="270">
        <f t="shared" si="173"/>
        <v>0</v>
      </c>
      <c r="AA50" s="270">
        <f t="shared" si="173"/>
        <v>0</v>
      </c>
      <c r="AB50" s="270">
        <f t="shared" si="173"/>
        <v>0</v>
      </c>
      <c r="AC50" s="270">
        <f t="shared" si="173"/>
        <v>0</v>
      </c>
      <c r="AD50" s="270">
        <f t="shared" si="173"/>
        <v>0</v>
      </c>
      <c r="AE50" s="270">
        <f t="shared" si="173"/>
        <v>0</v>
      </c>
      <c r="AF50" s="270">
        <f t="shared" si="173"/>
        <v>0</v>
      </c>
      <c r="AG50" s="270">
        <f t="shared" si="173"/>
        <v>0</v>
      </c>
      <c r="AH50" s="270">
        <f t="shared" si="173"/>
        <v>0</v>
      </c>
      <c r="AI50" s="270">
        <f t="shared" si="173"/>
        <v>0</v>
      </c>
      <c r="AJ50" s="270">
        <f t="shared" si="173"/>
        <v>0</v>
      </c>
      <c r="AK50" s="270">
        <f t="shared" si="173"/>
        <v>0</v>
      </c>
      <c r="AL50" s="270">
        <f t="shared" si="173"/>
        <v>0</v>
      </c>
      <c r="AM50" s="270">
        <f t="shared" si="173"/>
        <v>0</v>
      </c>
      <c r="AN50" s="270">
        <f t="shared" si="173"/>
        <v>0</v>
      </c>
      <c r="AO50" s="270">
        <f t="shared" ref="AO50:BN50" si="174">AO26*$E$26</f>
        <v>0</v>
      </c>
      <c r="AP50" s="270">
        <f t="shared" si="174"/>
        <v>0</v>
      </c>
      <c r="AQ50" s="270">
        <f t="shared" si="174"/>
        <v>0</v>
      </c>
      <c r="AR50" s="270">
        <f t="shared" si="174"/>
        <v>0</v>
      </c>
      <c r="AS50" s="270">
        <f t="shared" si="174"/>
        <v>0</v>
      </c>
      <c r="AT50" s="270">
        <f t="shared" si="174"/>
        <v>0</v>
      </c>
      <c r="AU50" s="270">
        <f t="shared" si="174"/>
        <v>0</v>
      </c>
      <c r="AV50" s="270">
        <f t="shared" si="174"/>
        <v>0</v>
      </c>
      <c r="AW50" s="270">
        <f t="shared" si="174"/>
        <v>0</v>
      </c>
      <c r="AX50" s="270">
        <f t="shared" si="174"/>
        <v>6807.5017593532693</v>
      </c>
      <c r="AY50" s="270">
        <f t="shared" si="174"/>
        <v>9950.6019531676229</v>
      </c>
      <c r="AZ50" s="270">
        <f t="shared" si="174"/>
        <v>13653.186210779608</v>
      </c>
      <c r="BA50" s="270">
        <f t="shared" si="174"/>
        <v>17584.974430132781</v>
      </c>
      <c r="BB50" s="270">
        <f t="shared" si="174"/>
        <v>21260.454129230791</v>
      </c>
      <c r="BC50" s="270">
        <f t="shared" si="174"/>
        <v>24128.282041266018</v>
      </c>
      <c r="BD50" s="270">
        <f t="shared" si="174"/>
        <v>25704.155077222571</v>
      </c>
      <c r="BE50" s="270">
        <f t="shared" si="174"/>
        <v>25704.155077222564</v>
      </c>
      <c r="BF50" s="270">
        <f t="shared" si="174"/>
        <v>24128.282041266018</v>
      </c>
      <c r="BG50" s="270">
        <f t="shared" si="174"/>
        <v>21260.454129230788</v>
      </c>
      <c r="BH50" s="270">
        <f t="shared" si="174"/>
        <v>17584.974430132777</v>
      </c>
      <c r="BI50" s="270">
        <f t="shared" si="174"/>
        <v>13653.186210779608</v>
      </c>
      <c r="BJ50" s="270">
        <f t="shared" si="174"/>
        <v>9950.6019531676193</v>
      </c>
      <c r="BK50" s="270">
        <f t="shared" si="174"/>
        <v>6807.5017593532657</v>
      </c>
      <c r="BL50" s="270">
        <f t="shared" si="174"/>
        <v>4371.6887976946882</v>
      </c>
      <c r="BM50" s="270">
        <f t="shared" si="174"/>
        <v>0</v>
      </c>
      <c r="BN50" s="270">
        <f t="shared" si="174"/>
        <v>0</v>
      </c>
      <c r="BO50" s="270">
        <f t="shared" ref="BO50:CB50" si="175">BO26*$E$26</f>
        <v>0</v>
      </c>
      <c r="BP50" s="270">
        <f t="shared" si="175"/>
        <v>0</v>
      </c>
      <c r="BQ50" s="270">
        <f t="shared" si="175"/>
        <v>0</v>
      </c>
      <c r="BR50" s="270">
        <f t="shared" si="175"/>
        <v>0</v>
      </c>
      <c r="BS50" s="270">
        <f t="shared" si="175"/>
        <v>0</v>
      </c>
      <c r="BT50" s="270">
        <f t="shared" si="175"/>
        <v>0</v>
      </c>
      <c r="BU50" s="270">
        <f t="shared" si="175"/>
        <v>0</v>
      </c>
      <c r="BV50" s="270">
        <f t="shared" si="175"/>
        <v>0</v>
      </c>
      <c r="BW50" s="270">
        <f t="shared" si="175"/>
        <v>0</v>
      </c>
      <c r="BX50" s="270">
        <f t="shared" si="175"/>
        <v>0</v>
      </c>
      <c r="BY50" s="270">
        <f t="shared" si="175"/>
        <v>0</v>
      </c>
      <c r="BZ50" s="270">
        <f t="shared" si="175"/>
        <v>0</v>
      </c>
      <c r="CA50" s="270">
        <f t="shared" si="175"/>
        <v>0</v>
      </c>
      <c r="CB50" s="270">
        <f t="shared" si="175"/>
        <v>0</v>
      </c>
      <c r="CC50" s="270">
        <f t="shared" ref="CC50:DE50" si="176">CC26*$E$26</f>
        <v>0</v>
      </c>
      <c r="CD50" s="270">
        <f t="shared" si="176"/>
        <v>0</v>
      </c>
      <c r="CE50" s="270">
        <f t="shared" si="176"/>
        <v>0</v>
      </c>
      <c r="CF50" s="270">
        <f t="shared" si="176"/>
        <v>0</v>
      </c>
      <c r="CG50" s="270">
        <f t="shared" si="176"/>
        <v>0</v>
      </c>
      <c r="CH50" s="270">
        <f t="shared" si="176"/>
        <v>0</v>
      </c>
      <c r="CI50" s="270">
        <f t="shared" si="176"/>
        <v>0</v>
      </c>
      <c r="CJ50" s="270">
        <f t="shared" si="176"/>
        <v>0</v>
      </c>
      <c r="CK50" s="270">
        <f t="shared" si="176"/>
        <v>0</v>
      </c>
      <c r="CL50" s="270">
        <f t="shared" si="176"/>
        <v>0</v>
      </c>
      <c r="CM50" s="270">
        <f t="shared" si="176"/>
        <v>0</v>
      </c>
      <c r="CN50" s="270">
        <f t="shared" si="176"/>
        <v>0</v>
      </c>
      <c r="CO50" s="270">
        <f t="shared" si="176"/>
        <v>0</v>
      </c>
      <c r="CP50" s="270">
        <f t="shared" si="176"/>
        <v>0</v>
      </c>
      <c r="CQ50" s="270">
        <f t="shared" si="176"/>
        <v>0</v>
      </c>
      <c r="CR50" s="270">
        <f t="shared" si="176"/>
        <v>0</v>
      </c>
      <c r="CS50" s="270">
        <f t="shared" si="176"/>
        <v>0</v>
      </c>
      <c r="CT50" s="270">
        <f t="shared" si="176"/>
        <v>0</v>
      </c>
      <c r="CU50" s="270">
        <f t="shared" si="176"/>
        <v>0</v>
      </c>
      <c r="CV50" s="270">
        <f t="shared" si="176"/>
        <v>0</v>
      </c>
      <c r="CW50" s="270">
        <f t="shared" si="176"/>
        <v>0</v>
      </c>
      <c r="CX50" s="270">
        <f t="shared" si="176"/>
        <v>0</v>
      </c>
      <c r="CY50" s="270">
        <f t="shared" si="176"/>
        <v>0</v>
      </c>
      <c r="CZ50" s="270">
        <f t="shared" si="176"/>
        <v>0</v>
      </c>
      <c r="DA50" s="270">
        <f t="shared" si="176"/>
        <v>0</v>
      </c>
      <c r="DB50" s="270">
        <f t="shared" si="176"/>
        <v>0</v>
      </c>
      <c r="DC50" s="270">
        <f t="shared" si="176"/>
        <v>0</v>
      </c>
      <c r="DD50" s="270">
        <f t="shared" si="176"/>
        <v>0</v>
      </c>
      <c r="DE50" s="140">
        <f t="shared" si="176"/>
        <v>0</v>
      </c>
    </row>
    <row r="51" spans="2:109">
      <c r="B51" s="357" t="s">
        <v>181</v>
      </c>
      <c r="E51" s="270">
        <f t="shared" ca="1" si="168"/>
        <v>7371860.9385830183</v>
      </c>
      <c r="F51" s="270"/>
      <c r="I51" s="270">
        <f ca="1">I72*(I8+Summary!$C$17)/12</f>
        <v>70654.5</v>
      </c>
      <c r="J51" s="270">
        <f ca="1">J72*(J8+Summary!$C$17)/12</f>
        <v>69100.5</v>
      </c>
      <c r="K51" s="270">
        <f ca="1">K72*(K8+Summary!$C$17)/12</f>
        <v>67587.333333333328</v>
      </c>
      <c r="L51" s="270">
        <f ca="1">L72*(L8+Summary!$C$17)/12</f>
        <v>65662.333333333328</v>
      </c>
      <c r="M51" s="270">
        <f ca="1">M72*(M8+Summary!$C$17)/12</f>
        <v>63996.333333333336</v>
      </c>
      <c r="N51" s="270">
        <f ca="1">N72*(N8+Summary!$C$17)/12</f>
        <v>64216.833333333321</v>
      </c>
      <c r="O51" s="270">
        <f ca="1">O72*(O8+Summary!$C$17)/12</f>
        <v>63242.666666666664</v>
      </c>
      <c r="P51" s="270">
        <f ca="1">P72*(P8+Summary!$C$17)/12</f>
        <v>62844.833333333336</v>
      </c>
      <c r="Q51" s="270">
        <f ca="1">Q72*(Q8+Summary!$C$17)/12</f>
        <v>54450.666666666664</v>
      </c>
      <c r="R51" s="270">
        <f ca="1">R72*(R8+Summary!$C$17)/12</f>
        <v>51866.5</v>
      </c>
      <c r="S51" s="270">
        <f ca="1">S72*(S8+Summary!$C$17)/12</f>
        <v>46012.166666666664</v>
      </c>
      <c r="T51" s="270">
        <f ca="1">T72*(T8+Summary!$C$17)/12</f>
        <v>45885.116666666669</v>
      </c>
      <c r="U51" s="270">
        <f ca="1">U72*(U8+Summary!$C$17)/12</f>
        <v>45762.5</v>
      </c>
      <c r="V51" s="270">
        <f ca="1">V72*(V8+Summary!$C$17)/12</f>
        <v>45639.066666666673</v>
      </c>
      <c r="W51" s="270">
        <f ca="1">W72*(W8+Summary!$C$17)/12</f>
        <v>45521</v>
      </c>
      <c r="X51" s="270">
        <f ca="1">X72*(X8+Summary!$C$17)/12</f>
        <v>45454.266666666663</v>
      </c>
      <c r="Y51" s="270">
        <f ca="1">Y72*(Y8+Summary!$C$17)/12</f>
        <v>45408.883333333331</v>
      </c>
      <c r="Z51" s="270">
        <f ca="1">Z72*(Z8+Summary!$C$17)/12</f>
        <v>45487.049999999996</v>
      </c>
      <c r="AA51" s="270">
        <f ca="1">AA72*(AA8+Summary!$C$17)/12</f>
        <v>45241.350000000006</v>
      </c>
      <c r="AB51" s="270">
        <f ca="1">AB72*(AB8+Summary!$C$17)/12</f>
        <v>45080.933333333327</v>
      </c>
      <c r="AC51" s="270">
        <f ca="1">AC72*(AC8+Summary!$C$17)/12</f>
        <v>45008.483333333337</v>
      </c>
      <c r="AD51" s="270">
        <f ca="1">AD72*(AD8+Summary!$C$17)/12</f>
        <v>45048.5</v>
      </c>
      <c r="AE51" s="270">
        <f ca="1">AE72*(AE8+Summary!$C$17)/12</f>
        <v>44878.75</v>
      </c>
      <c r="AF51" s="270">
        <f ca="1">AF72*(AF8+Summary!$C$17)/12</f>
        <v>44763.600000000006</v>
      </c>
      <c r="AG51" s="270">
        <f ca="1">AG72*(AG8+Summary!$C$17)/12</f>
        <v>44842.23333333333</v>
      </c>
      <c r="AH51" s="270">
        <f ca="1">AH72*(AH8+Summary!$C$17)/12</f>
        <v>44796.966666666667</v>
      </c>
      <c r="AI51" s="270">
        <f ca="1">AI72*(AI8+Summary!$C$17)/12</f>
        <v>44727.666666666664</v>
      </c>
      <c r="AJ51" s="270">
        <f ca="1">AJ72*(AJ8+Summary!$C$17)/12</f>
        <v>44747.26666666667</v>
      </c>
      <c r="AK51" s="270">
        <f ca="1">AK72*(AK8+Summary!$C$17)/12</f>
        <v>44800</v>
      </c>
      <c r="AL51" s="270">
        <f ca="1">AL72*(AL8+Summary!$C$17)/12</f>
        <v>44959.833333333336</v>
      </c>
      <c r="AM51" s="270">
        <f ca="1">AM72*(AM8+Summary!$C$17)/12</f>
        <v>44988.649999999994</v>
      </c>
      <c r="AN51" s="270">
        <f ca="1">AN72*(AN8+Summary!$C$17)/12</f>
        <v>45532.666666666664</v>
      </c>
      <c r="AO51" s="270">
        <f ca="1">AO72*(AO8+Summary!$C$17)/12</f>
        <v>48383.883333333331</v>
      </c>
      <c r="AP51" s="270">
        <f ca="1">AP72*(AP8+Summary!$C$17)/12</f>
        <v>50761.316666666658</v>
      </c>
      <c r="AQ51" s="270">
        <f ca="1">AQ72*(AQ8+Summary!$C$17)/12</f>
        <v>54644.450000000004</v>
      </c>
      <c r="AR51" s="270">
        <f ca="1">AR72*(AR8+Summary!$C$17)/12</f>
        <v>60711.69999999999</v>
      </c>
      <c r="AS51" s="270">
        <f ca="1">AS72*(AS8+Summary!$C$17)/12</f>
        <v>82668.91207466679</v>
      </c>
      <c r="AT51" s="270">
        <f ca="1">AT72*(AT8+Summary!$C$17)/12</f>
        <v>121497.75614097378</v>
      </c>
      <c r="AU51" s="270">
        <f ca="1">AU72*(AU8+Summary!$C$17)/12</f>
        <v>150415.38297223419</v>
      </c>
      <c r="AV51" s="270">
        <f ca="1">AV72*(AV8+Summary!$C$17)/12</f>
        <v>170202.94401655768</v>
      </c>
      <c r="AW51" s="270">
        <f ca="1">AW72*(AW8+Summary!$C$17)/12</f>
        <v>191449.98374623284</v>
      </c>
      <c r="AX51" s="270">
        <f ca="1">AX72*(AX8+Summary!$C$17)/12</f>
        <v>211030.02304213282</v>
      </c>
      <c r="AY51" s="270">
        <f ca="1">AY72*(AY8+Summary!$C$17)/12</f>
        <v>230280.32231731803</v>
      </c>
      <c r="AZ51" s="270">
        <f ca="1">AZ72*(AZ8+Summary!$C$17)/12</f>
        <v>248678.87908782208</v>
      </c>
      <c r="BA51" s="270">
        <f ca="1">BA72*(BA8+Summary!$C$17)/12</f>
        <v>266210.11536041641</v>
      </c>
      <c r="BB51" s="270">
        <f ca="1">BB72*(BB8+Summary!$C$17)/12</f>
        <v>284239.60584695352</v>
      </c>
      <c r="BC51" s="270">
        <f ca="1">BC72*(BC8+Summary!$C$17)/12</f>
        <v>299623.75967351993</v>
      </c>
      <c r="BD51" s="270">
        <f ca="1">BD72*(BD8+Summary!$C$17)/12</f>
        <v>315494.38036308769</v>
      </c>
      <c r="BE51" s="270">
        <f ca="1">BE72*(BE8+Summary!$C$17)/12</f>
        <v>325784.32232685055</v>
      </c>
      <c r="BF51" s="270">
        <f ca="1">BF72*(BF8+Summary!$C$17)/12</f>
        <v>342034.93260503362</v>
      </c>
      <c r="BG51" s="270">
        <f ca="1">BG72*(BG8+Summary!$C$17)/12</f>
        <v>357683.91191506438</v>
      </c>
      <c r="BH51" s="270">
        <f ca="1">BH72*(BH8+Summary!$C$17)/12</f>
        <v>372652.7198160424</v>
      </c>
      <c r="BI51" s="270">
        <f ca="1">BI72*(BI8+Summary!$C$17)/12</f>
        <v>386899.25935626001</v>
      </c>
      <c r="BJ51" s="270">
        <f ca="1">BJ72*(BJ8+Summary!$C$17)/12</f>
        <v>400414.50317283277</v>
      </c>
      <c r="BK51" s="270">
        <f ca="1">BK72*(BK8+Summary!$C$17)/12</f>
        <v>381503.60850601847</v>
      </c>
      <c r="BL51" s="270">
        <f ca="1">BL72*(BL8+Summary!$C$17)/12</f>
        <v>390384.8162430001</v>
      </c>
      <c r="BM51" s="270">
        <f>BM72*(BM8+Summary!$C$17)/12</f>
        <v>0</v>
      </c>
      <c r="BN51" s="270">
        <f>BN72*(BN8+Summary!$C$17)/12</f>
        <v>0</v>
      </c>
      <c r="BO51" s="270">
        <f>BO72*(BO8+Summary!$C$17)/12</f>
        <v>0</v>
      </c>
      <c r="BP51" s="270">
        <f>BP72*(BP8+Summary!$C$17)/12</f>
        <v>0</v>
      </c>
      <c r="BQ51" s="270">
        <f>BQ72*(BQ8+Summary!$C$17)/12</f>
        <v>0</v>
      </c>
      <c r="BR51" s="270">
        <f>BR72*(BR8+Summary!$C$17)/12</f>
        <v>0</v>
      </c>
      <c r="BS51" s="270">
        <f>BS72*(BS8+Summary!$C$17)/12</f>
        <v>0</v>
      </c>
      <c r="BT51" s="270">
        <f>BT72*(BT8+Summary!$C$17)/12</f>
        <v>0</v>
      </c>
      <c r="BU51" s="270">
        <f>BU72*(BU8+Summary!$C$17)/12</f>
        <v>0</v>
      </c>
      <c r="BV51" s="270">
        <f>BV72*(BV8+Summary!$C$17)/12</f>
        <v>0</v>
      </c>
      <c r="BW51" s="270">
        <f>BW72*(BW8+Summary!$C$17)/12</f>
        <v>0</v>
      </c>
      <c r="BX51" s="270">
        <f>BX72*(BX8+Summary!$C$17)/12</f>
        <v>0</v>
      </c>
      <c r="BY51" s="270">
        <f>BY72*(BY8+Summary!$C$17)/12</f>
        <v>0</v>
      </c>
      <c r="BZ51" s="270">
        <f>BZ72*(BZ8+Summary!$C$17)/12</f>
        <v>0</v>
      </c>
      <c r="CA51" s="270">
        <f>CA72*(CA8+Summary!$C$17)/12</f>
        <v>0</v>
      </c>
      <c r="CB51" s="270">
        <f>CB72*(CB8+Summary!$C$17)/12</f>
        <v>0</v>
      </c>
      <c r="CC51" s="270">
        <f>CC72*(CC8+Summary!$C$17)/12</f>
        <v>0</v>
      </c>
      <c r="CD51" s="270">
        <f>CD72*(CD8+Summary!$C$17)/12</f>
        <v>0</v>
      </c>
      <c r="CE51" s="270">
        <f>CE72*(CE8+Summary!$C$17)/12</f>
        <v>0</v>
      </c>
      <c r="CF51" s="270">
        <f>CF72*(CF8+Summary!$C$17)/12</f>
        <v>0</v>
      </c>
      <c r="CG51" s="270">
        <f>CG72*(CG8+Summary!$C$17)/12</f>
        <v>0</v>
      </c>
      <c r="CH51" s="270">
        <f>CH72*(CH8+Summary!$C$17)/12</f>
        <v>0</v>
      </c>
      <c r="CI51" s="270">
        <f>CI72*(CI8+Summary!$C$17)/12</f>
        <v>0</v>
      </c>
      <c r="CJ51" s="270">
        <f>CJ72*(CJ8+Summary!$C$17)/12</f>
        <v>0</v>
      </c>
      <c r="CK51" s="270">
        <f>CK72*(CK8+Summary!$C$17)/12</f>
        <v>0</v>
      </c>
      <c r="CL51" s="270">
        <f>CL72*(CL8+Summary!$C$17)/12</f>
        <v>0</v>
      </c>
      <c r="CM51" s="270">
        <f>CM72*(CM8+Summary!$C$17)/12</f>
        <v>0</v>
      </c>
      <c r="CN51" s="270">
        <f>CN72*(CN8+Summary!$C$17)/12</f>
        <v>0</v>
      </c>
      <c r="CO51" s="270">
        <f>CO72*(CO8+Summary!$C$17)/12</f>
        <v>0</v>
      </c>
      <c r="CP51" s="270">
        <f>CP72*(CP8+Summary!$C$17)/12</f>
        <v>0</v>
      </c>
      <c r="CQ51" s="270">
        <f>CQ72*(CQ8+Summary!$C$17)/12</f>
        <v>0</v>
      </c>
      <c r="CR51" s="270">
        <f>CR72*(CR8+Summary!$C$17)/12</f>
        <v>0</v>
      </c>
      <c r="CS51" s="270">
        <f>CS72*(CS8+Summary!$C$17)/12</f>
        <v>0</v>
      </c>
      <c r="CT51" s="270">
        <f>CT72*(CT8+Summary!$C$17)/12</f>
        <v>0</v>
      </c>
      <c r="CU51" s="270">
        <f>CU72*(CU8+Summary!$C$17)/12</f>
        <v>0</v>
      </c>
      <c r="CV51" s="270">
        <f>CV72*(CV8+Summary!$C$17)/12</f>
        <v>0</v>
      </c>
      <c r="CW51" s="270">
        <f>CW72*(CW8+Summary!$C$17)/12</f>
        <v>0</v>
      </c>
      <c r="CX51" s="270">
        <f>CX72*(CX8+Summary!$C$17)/12</f>
        <v>0</v>
      </c>
      <c r="CY51" s="270">
        <f>CY72*(CY8+Summary!$C$17)/12</f>
        <v>0</v>
      </c>
      <c r="CZ51" s="270">
        <f>CZ72*(CZ8+Summary!$C$17)/12</f>
        <v>0</v>
      </c>
      <c r="DA51" s="270">
        <f>DA72*(DA8+Summary!$C$17)/12</f>
        <v>0</v>
      </c>
      <c r="DB51" s="270">
        <f>DB72*(DB8+Summary!$C$17)/12</f>
        <v>0</v>
      </c>
      <c r="DC51" s="270">
        <f>DC72*(DC8+Summary!$C$17)/12</f>
        <v>0</v>
      </c>
      <c r="DD51" s="270">
        <f>DD72*(DD8+Summary!$C$17)/12</f>
        <v>0</v>
      </c>
      <c r="DE51" s="140">
        <f>DE72*(DE8+Summary!$C$17)/12</f>
        <v>0</v>
      </c>
    </row>
    <row r="52" spans="2:109">
      <c r="B52" s="357" t="s">
        <v>182</v>
      </c>
      <c r="E52" s="270">
        <f t="shared" si="168"/>
        <v>1482849.7400000002</v>
      </c>
      <c r="F52" s="270"/>
      <c r="I52" s="270">
        <f t="shared" ref="I52:AN52" si="177">I28*$E$28</f>
        <v>0</v>
      </c>
      <c r="J52" s="270">
        <f t="shared" si="177"/>
        <v>1327.964743802462</v>
      </c>
      <c r="K52" s="270">
        <f t="shared" si="177"/>
        <v>1591.7339759868071</v>
      </c>
      <c r="L52" s="270">
        <f t="shared" si="177"/>
        <v>1898.9375796685629</v>
      </c>
      <c r="M52" s="270">
        <f t="shared" si="177"/>
        <v>2254.7954674978369</v>
      </c>
      <c r="N52" s="270">
        <f t="shared" si="177"/>
        <v>2664.7709077331597</v>
      </c>
      <c r="O52" s="270">
        <f t="shared" si="177"/>
        <v>3134.5042630488729</v>
      </c>
      <c r="P52" s="270">
        <f t="shared" si="177"/>
        <v>3669.7300026340668</v>
      </c>
      <c r="Q52" s="270">
        <f t="shared" si="177"/>
        <v>4276.1764908531286</v>
      </c>
      <c r="R52" s="270">
        <f t="shared" si="177"/>
        <v>4959.4485800710208</v>
      </c>
      <c r="S52" s="270">
        <f t="shared" si="177"/>
        <v>5724.8936505725023</v>
      </c>
      <c r="T52" s="270">
        <f t="shared" si="177"/>
        <v>6577.4524345071686</v>
      </c>
      <c r="U52" s="270">
        <f t="shared" si="177"/>
        <v>7521.4967150863404</v>
      </c>
      <c r="V52" s="270">
        <f t="shared" si="177"/>
        <v>8560.6567823900677</v>
      </c>
      <c r="W52" s="270">
        <f t="shared" si="177"/>
        <v>9697.6423229699667</v>
      </c>
      <c r="X52" s="270">
        <f t="shared" si="177"/>
        <v>10934.06118689154</v>
      </c>
      <c r="Y52" s="270">
        <f t="shared" si="177"/>
        <v>12270.241174155168</v>
      </c>
      <c r="Z52" s="270">
        <f t="shared" si="177"/>
        <v>13705.060571634294</v>
      </c>
      <c r="AA52" s="270">
        <f t="shared" si="177"/>
        <v>15235.793610640823</v>
      </c>
      <c r="AB52" s="270">
        <f t="shared" si="177"/>
        <v>16857.977264865738</v>
      </c>
      <c r="AC52" s="270">
        <f t="shared" si="177"/>
        <v>18565.305834063944</v>
      </c>
      <c r="AD52" s="270">
        <f t="shared" si="177"/>
        <v>20349.559532630952</v>
      </c>
      <c r="AE52" s="270">
        <f t="shared" si="177"/>
        <v>22200.572805515378</v>
      </c>
      <c r="AF52" s="270">
        <f t="shared" si="177"/>
        <v>24106.247319329199</v>
      </c>
      <c r="AG52" s="270">
        <f t="shared" si="177"/>
        <v>26052.613529517461</v>
      </c>
      <c r="AH52" s="270">
        <f t="shared" si="177"/>
        <v>28023.943424393539</v>
      </c>
      <c r="AI52" s="270">
        <f t="shared" si="177"/>
        <v>30002.915527313173</v>
      </c>
      <c r="AJ52" s="270">
        <f t="shared" si="177"/>
        <v>31970.831546575482</v>
      </c>
      <c r="AK52" s="270">
        <f t="shared" si="177"/>
        <v>33907.882258545236</v>
      </c>
      <c r="AL52" s="270">
        <f t="shared" si="177"/>
        <v>35793.458362987571</v>
      </c>
      <c r="AM52" s="270">
        <f t="shared" si="177"/>
        <v>37606.500238028406</v>
      </c>
      <c r="AN52" s="270">
        <f t="shared" si="177"/>
        <v>39325.878826579428</v>
      </c>
      <c r="AO52" s="270">
        <f t="shared" ref="AO52:BN52" si="178">AO28*$E$28</f>
        <v>40930.798387288181</v>
      </c>
      <c r="AP52" s="270">
        <f t="shared" si="178"/>
        <v>42401.210617296078</v>
      </c>
      <c r="AQ52" s="270">
        <f t="shared" si="178"/>
        <v>43718.228768644229</v>
      </c>
      <c r="AR52" s="270">
        <f t="shared" si="178"/>
        <v>44864.5298895089</v>
      </c>
      <c r="AS52" s="270">
        <f t="shared" si="178"/>
        <v>45824.733263660331</v>
      </c>
      <c r="AT52" s="270">
        <f t="shared" si="178"/>
        <v>46585.743515645037</v>
      </c>
      <c r="AU52" s="270">
        <f t="shared" si="178"/>
        <v>47137.047693427288</v>
      </c>
      <c r="AV52" s="270">
        <f t="shared" si="178"/>
        <v>47470.95691144195</v>
      </c>
      <c r="AW52" s="270">
        <f t="shared" si="178"/>
        <v>47582.784791263883</v>
      </c>
      <c r="AX52" s="270">
        <f t="shared" si="178"/>
        <v>47470.95691144195</v>
      </c>
      <c r="AY52" s="270">
        <f t="shared" si="178"/>
        <v>47137.047693427296</v>
      </c>
      <c r="AZ52" s="270">
        <f t="shared" si="178"/>
        <v>46585.743515645045</v>
      </c>
      <c r="BA52" s="270">
        <f t="shared" si="178"/>
        <v>45824.733263660339</v>
      </c>
      <c r="BB52" s="270">
        <f t="shared" si="178"/>
        <v>44864.529889508907</v>
      </c>
      <c r="BC52" s="270">
        <f t="shared" si="178"/>
        <v>43718.228768644236</v>
      </c>
      <c r="BD52" s="270">
        <f t="shared" si="178"/>
        <v>42401.210617296085</v>
      </c>
      <c r="BE52" s="270">
        <f t="shared" si="178"/>
        <v>40930.798387288211</v>
      </c>
      <c r="BF52" s="270">
        <f t="shared" si="178"/>
        <v>39325.878826579443</v>
      </c>
      <c r="BG52" s="270">
        <f t="shared" si="178"/>
        <v>37606.50023802842</v>
      </c>
      <c r="BH52" s="270">
        <f t="shared" si="178"/>
        <v>35793.458362987592</v>
      </c>
      <c r="BI52" s="270">
        <f t="shared" si="178"/>
        <v>33907.882258545251</v>
      </c>
      <c r="BJ52" s="270">
        <f t="shared" si="178"/>
        <v>31970.831546575497</v>
      </c>
      <c r="BK52" s="270">
        <f t="shared" si="178"/>
        <v>30002.915527313191</v>
      </c>
      <c r="BL52" s="270">
        <f t="shared" si="178"/>
        <v>28023.943424393561</v>
      </c>
      <c r="BM52" s="270">
        <f t="shared" si="178"/>
        <v>0</v>
      </c>
      <c r="BN52" s="270">
        <f t="shared" si="178"/>
        <v>0</v>
      </c>
      <c r="BO52" s="270">
        <f t="shared" ref="BO52:CB52" si="179">BO28*$E$28</f>
        <v>0</v>
      </c>
      <c r="BP52" s="270">
        <f t="shared" si="179"/>
        <v>0</v>
      </c>
      <c r="BQ52" s="270">
        <f t="shared" si="179"/>
        <v>0</v>
      </c>
      <c r="BR52" s="270">
        <f t="shared" si="179"/>
        <v>0</v>
      </c>
      <c r="BS52" s="270">
        <f t="shared" si="179"/>
        <v>0</v>
      </c>
      <c r="BT52" s="270">
        <f t="shared" si="179"/>
        <v>0</v>
      </c>
      <c r="BU52" s="270">
        <f t="shared" si="179"/>
        <v>0</v>
      </c>
      <c r="BV52" s="270">
        <f t="shared" si="179"/>
        <v>0</v>
      </c>
      <c r="BW52" s="270">
        <f t="shared" si="179"/>
        <v>0</v>
      </c>
      <c r="BX52" s="270">
        <f t="shared" si="179"/>
        <v>0</v>
      </c>
      <c r="BY52" s="270">
        <f t="shared" si="179"/>
        <v>0</v>
      </c>
      <c r="BZ52" s="270">
        <f t="shared" si="179"/>
        <v>0</v>
      </c>
      <c r="CA52" s="270">
        <f t="shared" si="179"/>
        <v>0</v>
      </c>
      <c r="CB52" s="270">
        <f t="shared" si="179"/>
        <v>0</v>
      </c>
      <c r="CC52" s="270">
        <f t="shared" ref="CC52:DE52" si="180">CC28*$E$28</f>
        <v>0</v>
      </c>
      <c r="CD52" s="270">
        <f t="shared" si="180"/>
        <v>0</v>
      </c>
      <c r="CE52" s="270">
        <f t="shared" si="180"/>
        <v>0</v>
      </c>
      <c r="CF52" s="270">
        <f t="shared" si="180"/>
        <v>0</v>
      </c>
      <c r="CG52" s="270">
        <f t="shared" si="180"/>
        <v>0</v>
      </c>
      <c r="CH52" s="270">
        <f t="shared" si="180"/>
        <v>0</v>
      </c>
      <c r="CI52" s="270">
        <f t="shared" si="180"/>
        <v>0</v>
      </c>
      <c r="CJ52" s="270">
        <f t="shared" si="180"/>
        <v>0</v>
      </c>
      <c r="CK52" s="270">
        <f t="shared" si="180"/>
        <v>0</v>
      </c>
      <c r="CL52" s="270">
        <f t="shared" si="180"/>
        <v>0</v>
      </c>
      <c r="CM52" s="270">
        <f t="shared" si="180"/>
        <v>0</v>
      </c>
      <c r="CN52" s="270">
        <f t="shared" si="180"/>
        <v>0</v>
      </c>
      <c r="CO52" s="270">
        <f t="shared" si="180"/>
        <v>0</v>
      </c>
      <c r="CP52" s="270">
        <f t="shared" si="180"/>
        <v>0</v>
      </c>
      <c r="CQ52" s="270">
        <f t="shared" si="180"/>
        <v>0</v>
      </c>
      <c r="CR52" s="270">
        <f t="shared" si="180"/>
        <v>0</v>
      </c>
      <c r="CS52" s="270">
        <f t="shared" si="180"/>
        <v>0</v>
      </c>
      <c r="CT52" s="270">
        <f t="shared" si="180"/>
        <v>0</v>
      </c>
      <c r="CU52" s="270">
        <f t="shared" si="180"/>
        <v>0</v>
      </c>
      <c r="CV52" s="270">
        <f t="shared" si="180"/>
        <v>0</v>
      </c>
      <c r="CW52" s="270">
        <f t="shared" si="180"/>
        <v>0</v>
      </c>
      <c r="CX52" s="270">
        <f t="shared" si="180"/>
        <v>0</v>
      </c>
      <c r="CY52" s="270">
        <f t="shared" si="180"/>
        <v>0</v>
      </c>
      <c r="CZ52" s="270">
        <f t="shared" si="180"/>
        <v>0</v>
      </c>
      <c r="DA52" s="270">
        <f t="shared" si="180"/>
        <v>0</v>
      </c>
      <c r="DB52" s="270">
        <f t="shared" si="180"/>
        <v>0</v>
      </c>
      <c r="DC52" s="270">
        <f t="shared" si="180"/>
        <v>0</v>
      </c>
      <c r="DD52" s="270">
        <f t="shared" si="180"/>
        <v>0</v>
      </c>
      <c r="DE52" s="140">
        <f t="shared" si="180"/>
        <v>0</v>
      </c>
    </row>
    <row r="53" spans="2:109">
      <c r="B53" s="357" t="s">
        <v>183</v>
      </c>
      <c r="E53" s="270">
        <f t="shared" si="168"/>
        <v>3555879</v>
      </c>
      <c r="F53" s="270"/>
      <c r="I53" s="270">
        <v>0</v>
      </c>
      <c r="J53" s="270">
        <f>IF(AND(J5&lt;=Summary!$C$11,MOD('Construction Schedule'!J5,12)=0),'Construction Schedule'!$E$29/4,0)</f>
        <v>0</v>
      </c>
      <c r="K53" s="270">
        <f>IF(AND(K5&lt;=Summary!$C$11,MOD('Construction Schedule'!K5,12)=0),'Construction Schedule'!$E$29/4,0)</f>
        <v>0</v>
      </c>
      <c r="L53" s="270">
        <f>IF(AND(L5&lt;=Summary!$C$11,MOD('Construction Schedule'!L5,12)=0),'Construction Schedule'!$E$29/4,0)</f>
        <v>0</v>
      </c>
      <c r="M53" s="270">
        <f>IF(AND(M5&lt;=Summary!$C$11,MOD('Construction Schedule'!M5,12)=0),'Construction Schedule'!$E$29/4,0)</f>
        <v>0</v>
      </c>
      <c r="N53" s="270">
        <f>IF(AND(N5&lt;=Summary!$C$11,MOD('Construction Schedule'!N5,12)=0),'Construction Schedule'!$E$29/4,0)</f>
        <v>0</v>
      </c>
      <c r="O53" s="270">
        <f>IF(AND(O5&lt;=Summary!$C$11,MOD('Construction Schedule'!O5,12)=0),'Construction Schedule'!$E$29/4,0)</f>
        <v>0</v>
      </c>
      <c r="P53" s="270">
        <f>IF(AND(P5&lt;=Summary!$C$11,MOD('Construction Schedule'!P5,12)=0),'Construction Schedule'!$E$29/4,0)</f>
        <v>0</v>
      </c>
      <c r="Q53" s="270">
        <f>IF(AND(Q5&lt;=Summary!$C$11,MOD('Construction Schedule'!Q5,12)=0),'Construction Schedule'!$E$29/4,0)</f>
        <v>0</v>
      </c>
      <c r="R53" s="270">
        <f>IF(AND(R5&lt;=Summary!$C$11,MOD('Construction Schedule'!R5,12)=0),'Construction Schedule'!$E$29/4,0)</f>
        <v>0</v>
      </c>
      <c r="S53" s="270">
        <f>IF(AND(S5&lt;=Summary!$C$11,MOD('Construction Schedule'!S5,12)=0),'Construction Schedule'!$E$29/4,0)</f>
        <v>0</v>
      </c>
      <c r="T53" s="270">
        <f>IF(AND(T5&lt;=Summary!$C$11,MOD('Construction Schedule'!T5,12)=0),'Construction Schedule'!$E$29/4,0)</f>
        <v>0</v>
      </c>
      <c r="U53" s="270">
        <f>IF(AND(U5&lt;=Summary!$C$11,MOD('Construction Schedule'!U5,12)=0),'Construction Schedule'!$E$29/4,0)</f>
        <v>888969.75</v>
      </c>
      <c r="V53" s="270">
        <f>IF(AND(V5&lt;=Summary!$C$11,MOD('Construction Schedule'!V5,12)=0),'Construction Schedule'!$E$29/4,0)</f>
        <v>0</v>
      </c>
      <c r="W53" s="270">
        <f>IF(AND(W5&lt;=Summary!$C$11,MOD('Construction Schedule'!W5,12)=0),'Construction Schedule'!$E$29/4,0)</f>
        <v>0</v>
      </c>
      <c r="X53" s="270">
        <f>IF(AND(X5&lt;=Summary!$C$11,MOD('Construction Schedule'!X5,12)=0),'Construction Schedule'!$E$29/4,0)</f>
        <v>0</v>
      </c>
      <c r="Y53" s="270">
        <f>IF(AND(Y5&lt;=Summary!$C$11,MOD('Construction Schedule'!Y5,12)=0),'Construction Schedule'!$E$29/4,0)</f>
        <v>0</v>
      </c>
      <c r="Z53" s="270">
        <f>IF(AND(Z5&lt;=Summary!$C$11,MOD('Construction Schedule'!Z5,12)=0),'Construction Schedule'!$E$29/4,0)</f>
        <v>0</v>
      </c>
      <c r="AA53" s="270">
        <f>IF(AND(AA5&lt;=Summary!$C$11,MOD('Construction Schedule'!AA5,12)=0),'Construction Schedule'!$E$29/4,0)</f>
        <v>0</v>
      </c>
      <c r="AB53" s="270">
        <f>IF(AND(AB5&lt;=Summary!$C$11,MOD('Construction Schedule'!AB5,12)=0),'Construction Schedule'!$E$29/4,0)</f>
        <v>0</v>
      </c>
      <c r="AC53" s="270">
        <f>IF(AND(AC5&lt;=Summary!$C$11,MOD('Construction Schedule'!AC5,12)=0),'Construction Schedule'!$E$29/4,0)</f>
        <v>0</v>
      </c>
      <c r="AD53" s="270">
        <f>IF(AND(AD5&lt;=Summary!$C$11,MOD('Construction Schedule'!AD5,12)=0),'Construction Schedule'!$E$29/4,0)</f>
        <v>0</v>
      </c>
      <c r="AE53" s="270">
        <f>IF(AND(AE5&lt;=Summary!$C$11,MOD('Construction Schedule'!AE5,12)=0),'Construction Schedule'!$E$29/4,0)</f>
        <v>0</v>
      </c>
      <c r="AF53" s="270">
        <f>IF(AND(AF5&lt;=Summary!$C$11,MOD('Construction Schedule'!AF5,12)=0),'Construction Schedule'!$E$29/4,0)</f>
        <v>0</v>
      </c>
      <c r="AG53" s="270">
        <f>IF(AND(AG5&lt;=Summary!$C$11,MOD('Construction Schedule'!AG5,12)=0),'Construction Schedule'!$E$29/4,0)</f>
        <v>888969.75</v>
      </c>
      <c r="AH53" s="270">
        <f>IF(AND(AH5&lt;=Summary!$C$11,MOD('Construction Schedule'!AH5,12)=0),'Construction Schedule'!$E$29/4,0)</f>
        <v>0</v>
      </c>
      <c r="AI53" s="270">
        <f>IF(AND(AI5&lt;=Summary!$C$11,MOD('Construction Schedule'!AI5,12)=0),'Construction Schedule'!$E$29/4,0)</f>
        <v>0</v>
      </c>
      <c r="AJ53" s="270">
        <f>IF(AND(AJ5&lt;=Summary!$C$11,MOD('Construction Schedule'!AJ5,12)=0),'Construction Schedule'!$E$29/4,0)</f>
        <v>0</v>
      </c>
      <c r="AK53" s="270">
        <f>IF(AND(AK5&lt;=Summary!$C$11,MOD('Construction Schedule'!AK5,12)=0),'Construction Schedule'!$E$29/4,0)</f>
        <v>0</v>
      </c>
      <c r="AL53" s="270">
        <f>IF(AND(AL5&lt;=Summary!$C$11,MOD('Construction Schedule'!AL5,12)=0),'Construction Schedule'!$E$29/4,0)</f>
        <v>0</v>
      </c>
      <c r="AM53" s="270">
        <f>IF(AND(AM5&lt;=Summary!$C$11,MOD('Construction Schedule'!AM5,12)=0),'Construction Schedule'!$E$29/4,0)</f>
        <v>0</v>
      </c>
      <c r="AN53" s="270">
        <f>IF(AND(AN5&lt;=Summary!$C$11,MOD('Construction Schedule'!AN5,12)=0),'Construction Schedule'!$E$29/4,0)</f>
        <v>0</v>
      </c>
      <c r="AO53" s="270">
        <f>IF(AND(AO5&lt;=Summary!$C$11,MOD('Construction Schedule'!AO5,12)=0),'Construction Schedule'!$E$29/4,0)</f>
        <v>0</v>
      </c>
      <c r="AP53" s="270">
        <f>IF(AND(AP5&lt;=Summary!$C$11,MOD('Construction Schedule'!AP5,12)=0),'Construction Schedule'!$E$29/4,0)</f>
        <v>0</v>
      </c>
      <c r="AQ53" s="270">
        <f>IF(AND(AQ5&lt;=Summary!$C$11,MOD('Construction Schedule'!AQ5,12)=0),'Construction Schedule'!$E$29/4,0)</f>
        <v>0</v>
      </c>
      <c r="AR53" s="270">
        <f>IF(AND(AR5&lt;=Summary!$C$11,MOD('Construction Schedule'!AR5,12)=0),'Construction Schedule'!$E$29/4,0)</f>
        <v>0</v>
      </c>
      <c r="AS53" s="270">
        <f>IF(AND(AS5&lt;=Summary!$C$11,MOD('Construction Schedule'!AS5,12)=0),'Construction Schedule'!$E$29/4,0)</f>
        <v>888969.75</v>
      </c>
      <c r="AT53" s="270">
        <f>IF(AND(AT5&lt;=Summary!$C$11,MOD('Construction Schedule'!AT5,12)=0),'Construction Schedule'!$E$29/4,0)</f>
        <v>0</v>
      </c>
      <c r="AU53" s="270">
        <f>IF(AND(AU5&lt;=Summary!$C$11,MOD('Construction Schedule'!AU5,12)=0),'Construction Schedule'!$E$29/4,0)</f>
        <v>0</v>
      </c>
      <c r="AV53" s="270">
        <f>IF(AND(AV5&lt;=Summary!$C$11,MOD('Construction Schedule'!AV5,12)=0),'Construction Schedule'!$E$29/4,0)</f>
        <v>0</v>
      </c>
      <c r="AW53" s="270">
        <f>IF(AND(AW5&lt;=Summary!$C$11,MOD('Construction Schedule'!AW5,12)=0),'Construction Schedule'!$E$29/4,0)</f>
        <v>0</v>
      </c>
      <c r="AX53" s="270">
        <f>IF(AND(AX5&lt;=Summary!$C$11,MOD('Construction Schedule'!AX5,12)=0),'Construction Schedule'!$E$29/4,0)</f>
        <v>0</v>
      </c>
      <c r="AY53" s="270">
        <f>IF(AND(AY5&lt;=Summary!$C$11,MOD('Construction Schedule'!AY5,12)=0),'Construction Schedule'!$E$29/4,0)</f>
        <v>0</v>
      </c>
      <c r="AZ53" s="270">
        <f>IF(AND(AZ5&lt;=Summary!$C$11,MOD('Construction Schedule'!AZ5,12)=0),'Construction Schedule'!$E$29/4,0)</f>
        <v>0</v>
      </c>
      <c r="BA53" s="270">
        <f>IF(AND(BA5&lt;=Summary!$C$11,MOD('Construction Schedule'!BA5,12)=0),'Construction Schedule'!$E$29/4,0)</f>
        <v>0</v>
      </c>
      <c r="BB53" s="270">
        <f>IF(AND(BB5&lt;=Summary!$C$11,MOD('Construction Schedule'!BB5,12)=0),'Construction Schedule'!$E$29/4,0)</f>
        <v>0</v>
      </c>
      <c r="BC53" s="270">
        <f>IF(AND(BC5&lt;=Summary!$C$11,MOD('Construction Schedule'!BC5,12)=0),'Construction Schedule'!$E$29/4,0)</f>
        <v>0</v>
      </c>
      <c r="BD53" s="270">
        <f>IF(AND(BD5&lt;=Summary!$C$11,MOD('Construction Schedule'!BD5,12)=0),'Construction Schedule'!$E$29/4,0)</f>
        <v>0</v>
      </c>
      <c r="BE53" s="270">
        <f>IF(AND(BE5&lt;=Summary!$C$11,MOD('Construction Schedule'!BE5,12)=0),'Construction Schedule'!$E$29/4,0)</f>
        <v>888969.75</v>
      </c>
      <c r="BF53" s="270">
        <f>IF(AND(BF5&lt;=Summary!$C$11,MOD('Construction Schedule'!BF5,12)=0),'Construction Schedule'!$E$29/4,0)</f>
        <v>0</v>
      </c>
      <c r="BG53" s="270">
        <f>IF(AND(BG5&lt;=Summary!$C$11,MOD('Construction Schedule'!BG5,12)=0),'Construction Schedule'!$E$29/4,0)</f>
        <v>0</v>
      </c>
      <c r="BH53" s="270">
        <f>IF(AND(BH5&lt;=Summary!$C$11,MOD('Construction Schedule'!BH5,12)=0),'Construction Schedule'!$E$29/4,0)</f>
        <v>0</v>
      </c>
      <c r="BI53" s="270">
        <f>IF(AND(BI5&lt;=Summary!$C$11,MOD('Construction Schedule'!BI5,12)=0),'Construction Schedule'!$E$29/4,0)</f>
        <v>0</v>
      </c>
      <c r="BJ53" s="270">
        <f>IF(AND(BJ5&lt;=Summary!$C$11,MOD('Construction Schedule'!BJ5,12)=0),'Construction Schedule'!$E$29/4,0)</f>
        <v>0</v>
      </c>
      <c r="BK53" s="270">
        <f>IF(AND(BK5&lt;=Summary!$C$11,MOD('Construction Schedule'!BK5,12)=0),'Construction Schedule'!$E$29/4,0)</f>
        <v>0</v>
      </c>
      <c r="BL53" s="270">
        <f>IF(AND(BL5&lt;=Summary!$C$11,MOD('Construction Schedule'!BL5,12)=0),'Construction Schedule'!$E$29/4,0)</f>
        <v>0</v>
      </c>
      <c r="BM53" s="270">
        <f>IF(AND(BM5&lt;=Summary!$C$11,MOD('Construction Schedule'!BM5,12)=0),'Construction Schedule'!$E$29/4,0)</f>
        <v>0</v>
      </c>
      <c r="BN53" s="270">
        <f>IF(AND(BN5&lt;=Summary!$C$11,MOD('Construction Schedule'!BN5,12)=0),'Construction Schedule'!$E$29/4,0)</f>
        <v>0</v>
      </c>
      <c r="BO53" s="270">
        <f>IF(AND(BO5&lt;=Summary!$C$11,MOD('Construction Schedule'!BO5,12)=0),'Construction Schedule'!$E$29/4,0)</f>
        <v>0</v>
      </c>
      <c r="BP53" s="270">
        <f>IF(AND(BP5&lt;=Summary!$C$11,MOD('Construction Schedule'!BP5,12)=0),'Construction Schedule'!$E$29/4,0)</f>
        <v>0</v>
      </c>
      <c r="BQ53" s="270">
        <f>IF(AND(BQ5&lt;=Summary!$C$11,MOD('Construction Schedule'!BQ5,12)=0),'Construction Schedule'!$E$29/4,0)</f>
        <v>0</v>
      </c>
      <c r="BR53" s="270">
        <f>IF(AND(BR5&lt;=Summary!$C$11,MOD('Construction Schedule'!BR5,12)=0),'Construction Schedule'!$E$29/4,0)</f>
        <v>0</v>
      </c>
      <c r="BS53" s="270">
        <f>IF(AND(BS5&lt;=Summary!$C$11,MOD('Construction Schedule'!BS5,12)=0),'Construction Schedule'!$E$29/4,0)</f>
        <v>0</v>
      </c>
      <c r="BT53" s="270">
        <f>IF(AND(BT5&lt;=Summary!$C$11,MOD('Construction Schedule'!BT5,12)=0),'Construction Schedule'!$E$29/4,0)</f>
        <v>0</v>
      </c>
      <c r="BU53" s="270">
        <f>IF(AND(BU5&lt;=Summary!$C$11,MOD('Construction Schedule'!BU5,12)=0),'Construction Schedule'!$E$29/4,0)</f>
        <v>0</v>
      </c>
      <c r="BV53" s="270">
        <f>IF(AND(BV5&lt;=Summary!$C$11,MOD('Construction Schedule'!BV5,12)=0),'Construction Schedule'!$E$29/4,0)</f>
        <v>0</v>
      </c>
      <c r="BW53" s="270">
        <f>IF(AND(BW5&lt;=Summary!$C$11,MOD('Construction Schedule'!BW5,12)=0),'Construction Schedule'!$E$29/4,0)</f>
        <v>0</v>
      </c>
      <c r="BX53" s="270">
        <f>IF(AND(BX5&lt;=Summary!$C$11,MOD('Construction Schedule'!BX5,12)=0),'Construction Schedule'!$E$29/4,0)</f>
        <v>0</v>
      </c>
      <c r="BY53" s="270">
        <f>IF(AND(BY5&lt;=Summary!$C$11,MOD('Construction Schedule'!BY5,12)=0),'Construction Schedule'!$E$29/4,0)</f>
        <v>0</v>
      </c>
      <c r="BZ53" s="270">
        <f>IF(AND(BZ5&lt;=Summary!$C$11,MOD('Construction Schedule'!BZ5,12)=0),'Construction Schedule'!$E$29/4,0)</f>
        <v>0</v>
      </c>
      <c r="CA53" s="270">
        <f>IF(AND(CA5&lt;=Summary!$C$11,MOD('Construction Schedule'!CA5,12)=0),'Construction Schedule'!$E$29/4,0)</f>
        <v>0</v>
      </c>
      <c r="CB53" s="270">
        <f>IF(AND(CB5&lt;=Summary!$C$11,MOD('Construction Schedule'!CB5,12)=0),'Construction Schedule'!$E$29/4,0)</f>
        <v>0</v>
      </c>
      <c r="CC53" s="270">
        <f>IF(AND(CC5&lt;=Summary!$C$11,MOD('Construction Schedule'!CC5,12)=0),'Construction Schedule'!$E$29/4,0)</f>
        <v>0</v>
      </c>
      <c r="CD53" s="270">
        <f>IF(AND(CD5&lt;=Summary!$C$11,MOD('Construction Schedule'!CD5,12)=0),'Construction Schedule'!$E$29/4,0)</f>
        <v>0</v>
      </c>
      <c r="CE53" s="270">
        <f>IF(AND(CE5&lt;=Summary!$C$11,MOD('Construction Schedule'!CE5,12)=0),'Construction Schedule'!$E$29/4,0)</f>
        <v>0</v>
      </c>
      <c r="CF53" s="270">
        <f>IF(AND(CF5&lt;=Summary!$C$11,MOD('Construction Schedule'!CF5,12)=0),'Construction Schedule'!$E$29/4,0)</f>
        <v>0</v>
      </c>
      <c r="CG53" s="270">
        <f>IF(AND(CG5&lt;=Summary!$C$11,MOD('Construction Schedule'!CG5,12)=0),'Construction Schedule'!$E$29/4,0)</f>
        <v>0</v>
      </c>
      <c r="CH53" s="270">
        <f>IF(AND(CH5&lt;=Summary!$C$11,MOD('Construction Schedule'!CH5,12)=0),'Construction Schedule'!$E$29/4,0)</f>
        <v>0</v>
      </c>
      <c r="CI53" s="270">
        <f>IF(AND(CI5&lt;=Summary!$C$11,MOD('Construction Schedule'!CI5,12)=0),'Construction Schedule'!$E$29/4,0)</f>
        <v>0</v>
      </c>
      <c r="CJ53" s="270">
        <f>IF(AND(CJ5&lt;=Summary!$C$11,MOD('Construction Schedule'!CJ5,12)=0),'Construction Schedule'!$E$29/4,0)</f>
        <v>0</v>
      </c>
      <c r="CK53" s="270">
        <f>IF(AND(CK5&lt;=Summary!$C$11,MOD('Construction Schedule'!CK5,12)=0),'Construction Schedule'!$E$29/4,0)</f>
        <v>0</v>
      </c>
      <c r="CL53" s="270">
        <f>IF(AND(CL5&lt;=Summary!$C$11,MOD('Construction Schedule'!CL5,12)=0),'Construction Schedule'!$E$29/4,0)</f>
        <v>0</v>
      </c>
      <c r="CM53" s="270">
        <f>IF(AND(CM5&lt;=Summary!$C$11,MOD('Construction Schedule'!CM5,12)=0),'Construction Schedule'!$E$29/4,0)</f>
        <v>0</v>
      </c>
      <c r="CN53" s="270">
        <f>IF(AND(CN5&lt;=Summary!$C$11,MOD('Construction Schedule'!CN5,12)=0),'Construction Schedule'!$E$29/4,0)</f>
        <v>0</v>
      </c>
      <c r="CO53" s="270">
        <f>IF(AND(CO5&lt;=Summary!$C$11,MOD('Construction Schedule'!CO5,12)=0),'Construction Schedule'!$E$29/4,0)</f>
        <v>0</v>
      </c>
      <c r="CP53" s="270">
        <f>IF(AND(CP5&lt;=Summary!$C$11,MOD('Construction Schedule'!CP5,12)=0),'Construction Schedule'!$E$29/4,0)</f>
        <v>0</v>
      </c>
      <c r="CQ53" s="270">
        <f>IF(AND(CQ5&lt;=Summary!$C$11,MOD('Construction Schedule'!CQ5,12)=0),'Construction Schedule'!$E$29/4,0)</f>
        <v>0</v>
      </c>
      <c r="CR53" s="270">
        <f>IF(AND(CR5&lt;=Summary!$C$11,MOD('Construction Schedule'!CR5,12)=0),'Construction Schedule'!$E$29/4,0)</f>
        <v>0</v>
      </c>
      <c r="CS53" s="270">
        <f>IF(AND(CS5&lt;=Summary!$C$11,MOD('Construction Schedule'!CS5,12)=0),'Construction Schedule'!$E$29/4,0)</f>
        <v>0</v>
      </c>
      <c r="CT53" s="270">
        <f>IF(AND(CT5&lt;=Summary!$C$11,MOD('Construction Schedule'!CT5,12)=0),'Construction Schedule'!$E$29/4,0)</f>
        <v>0</v>
      </c>
      <c r="CU53" s="270">
        <f>IF(AND(CU5&lt;=Summary!$C$11,MOD('Construction Schedule'!CU5,12)=0),'Construction Schedule'!$E$29/4,0)</f>
        <v>0</v>
      </c>
      <c r="CV53" s="270">
        <f>IF(AND(CV5&lt;=Summary!$C$11,MOD('Construction Schedule'!CV5,12)=0),'Construction Schedule'!$E$29/4,0)</f>
        <v>0</v>
      </c>
      <c r="CW53" s="270">
        <f>IF(AND(CW5&lt;=Summary!$C$11,MOD('Construction Schedule'!CW5,12)=0),'Construction Schedule'!$E$29/4,0)</f>
        <v>0</v>
      </c>
      <c r="CX53" s="270">
        <f>IF(AND(CX5&lt;=Summary!$C$11,MOD('Construction Schedule'!CX5,12)=0),'Construction Schedule'!$E$29/4,0)</f>
        <v>0</v>
      </c>
      <c r="CY53" s="270">
        <f>IF(AND(CY5&lt;=Summary!$C$11,MOD('Construction Schedule'!CY5,12)=0),'Construction Schedule'!$E$29/4,0)</f>
        <v>0</v>
      </c>
      <c r="CZ53" s="270">
        <f>IF(AND(CZ5&lt;=Summary!$C$11,MOD('Construction Schedule'!CZ5,12)=0),'Construction Schedule'!$E$29/4,0)</f>
        <v>0</v>
      </c>
      <c r="DA53" s="270">
        <f>IF(AND(DA5&lt;=Summary!$C$11,MOD('Construction Schedule'!DA5,12)=0),'Construction Schedule'!$E$29/4,0)</f>
        <v>0</v>
      </c>
      <c r="DB53" s="270">
        <f>IF(AND(DB5&lt;=Summary!$C$11,MOD('Construction Schedule'!DB5,12)=0),'Construction Schedule'!$E$29/4,0)</f>
        <v>0</v>
      </c>
      <c r="DC53" s="270">
        <f>IF(AND(DC5&lt;=Summary!$C$11,MOD('Construction Schedule'!DC5,12)=0),'Construction Schedule'!$E$29/4,0)</f>
        <v>0</v>
      </c>
      <c r="DD53" s="270">
        <f>IF(AND(DD5&lt;=Summary!$C$11,MOD('Construction Schedule'!DD5,12)=0),'Construction Schedule'!$E$29/4,0)</f>
        <v>0</v>
      </c>
      <c r="DE53" s="140">
        <f>IF(AND(DE5&lt;=Summary!$C$11,MOD('Construction Schedule'!DE5,12)=0),'Construction Schedule'!$E$29/4,0)</f>
        <v>0</v>
      </c>
    </row>
    <row r="54" spans="2:109">
      <c r="B54" s="357" t="s">
        <v>277</v>
      </c>
      <c r="E54" s="270">
        <f t="shared" si="168"/>
        <v>140000</v>
      </c>
      <c r="F54" s="270"/>
      <c r="I54" s="270">
        <f t="shared" ref="I54:AN54" si="181">IF(I5=36,$E$30,0)</f>
        <v>0</v>
      </c>
      <c r="J54" s="270">
        <f t="shared" si="181"/>
        <v>0</v>
      </c>
      <c r="K54" s="270">
        <f t="shared" si="181"/>
        <v>0</v>
      </c>
      <c r="L54" s="270">
        <f t="shared" si="181"/>
        <v>0</v>
      </c>
      <c r="M54" s="270">
        <f t="shared" si="181"/>
        <v>0</v>
      </c>
      <c r="N54" s="270">
        <f t="shared" si="181"/>
        <v>0</v>
      </c>
      <c r="O54" s="270">
        <f t="shared" si="181"/>
        <v>0</v>
      </c>
      <c r="P54" s="270">
        <f t="shared" si="181"/>
        <v>0</v>
      </c>
      <c r="Q54" s="270">
        <f t="shared" si="181"/>
        <v>0</v>
      </c>
      <c r="R54" s="270">
        <f t="shared" si="181"/>
        <v>0</v>
      </c>
      <c r="S54" s="270">
        <f t="shared" si="181"/>
        <v>0</v>
      </c>
      <c r="T54" s="270">
        <f t="shared" si="181"/>
        <v>0</v>
      </c>
      <c r="U54" s="270">
        <f t="shared" si="181"/>
        <v>0</v>
      </c>
      <c r="V54" s="270">
        <f t="shared" si="181"/>
        <v>0</v>
      </c>
      <c r="W54" s="270">
        <f t="shared" si="181"/>
        <v>0</v>
      </c>
      <c r="X54" s="270">
        <f t="shared" si="181"/>
        <v>0</v>
      </c>
      <c r="Y54" s="270">
        <f t="shared" si="181"/>
        <v>0</v>
      </c>
      <c r="Z54" s="270">
        <f t="shared" si="181"/>
        <v>0</v>
      </c>
      <c r="AA54" s="270">
        <f t="shared" si="181"/>
        <v>0</v>
      </c>
      <c r="AB54" s="270">
        <f t="shared" si="181"/>
        <v>0</v>
      </c>
      <c r="AC54" s="270">
        <f t="shared" si="181"/>
        <v>0</v>
      </c>
      <c r="AD54" s="270">
        <f t="shared" si="181"/>
        <v>0</v>
      </c>
      <c r="AE54" s="270">
        <f t="shared" si="181"/>
        <v>0</v>
      </c>
      <c r="AF54" s="270">
        <f t="shared" si="181"/>
        <v>0</v>
      </c>
      <c r="AG54" s="270">
        <f t="shared" si="181"/>
        <v>0</v>
      </c>
      <c r="AH54" s="270">
        <f t="shared" si="181"/>
        <v>0</v>
      </c>
      <c r="AI54" s="270">
        <f t="shared" si="181"/>
        <v>0</v>
      </c>
      <c r="AJ54" s="270">
        <f t="shared" si="181"/>
        <v>0</v>
      </c>
      <c r="AK54" s="270">
        <f t="shared" si="181"/>
        <v>0</v>
      </c>
      <c r="AL54" s="270">
        <f t="shared" si="181"/>
        <v>0</v>
      </c>
      <c r="AM54" s="270">
        <f t="shared" si="181"/>
        <v>0</v>
      </c>
      <c r="AN54" s="270">
        <f t="shared" si="181"/>
        <v>0</v>
      </c>
      <c r="AO54" s="270">
        <f t="shared" ref="AO54:BN54" si="182">IF(AO5=36,$E$30,0)</f>
        <v>0</v>
      </c>
      <c r="AP54" s="270">
        <f t="shared" si="182"/>
        <v>0</v>
      </c>
      <c r="AQ54" s="270">
        <f t="shared" si="182"/>
        <v>0</v>
      </c>
      <c r="AR54" s="270">
        <f t="shared" si="182"/>
        <v>0</v>
      </c>
      <c r="AS54" s="270">
        <f t="shared" si="182"/>
        <v>140000</v>
      </c>
      <c r="AT54" s="270">
        <f t="shared" si="182"/>
        <v>0</v>
      </c>
      <c r="AU54" s="270">
        <f t="shared" si="182"/>
        <v>0</v>
      </c>
      <c r="AV54" s="270">
        <f t="shared" si="182"/>
        <v>0</v>
      </c>
      <c r="AW54" s="270">
        <f t="shared" si="182"/>
        <v>0</v>
      </c>
      <c r="AX54" s="270">
        <f t="shared" si="182"/>
        <v>0</v>
      </c>
      <c r="AY54" s="270">
        <f t="shared" si="182"/>
        <v>0</v>
      </c>
      <c r="AZ54" s="270">
        <f t="shared" si="182"/>
        <v>0</v>
      </c>
      <c r="BA54" s="270">
        <f t="shared" si="182"/>
        <v>0</v>
      </c>
      <c r="BB54" s="270">
        <f t="shared" si="182"/>
        <v>0</v>
      </c>
      <c r="BC54" s="270">
        <f t="shared" si="182"/>
        <v>0</v>
      </c>
      <c r="BD54" s="270">
        <f t="shared" si="182"/>
        <v>0</v>
      </c>
      <c r="BE54" s="270">
        <f t="shared" si="182"/>
        <v>0</v>
      </c>
      <c r="BF54" s="270">
        <f t="shared" si="182"/>
        <v>0</v>
      </c>
      <c r="BG54" s="270">
        <f t="shared" si="182"/>
        <v>0</v>
      </c>
      <c r="BH54" s="270">
        <f t="shared" si="182"/>
        <v>0</v>
      </c>
      <c r="BI54" s="270">
        <f t="shared" si="182"/>
        <v>0</v>
      </c>
      <c r="BJ54" s="270">
        <f t="shared" si="182"/>
        <v>0</v>
      </c>
      <c r="BK54" s="270">
        <f t="shared" si="182"/>
        <v>0</v>
      </c>
      <c r="BL54" s="270">
        <f t="shared" si="182"/>
        <v>0</v>
      </c>
      <c r="BM54" s="270">
        <f t="shared" si="182"/>
        <v>0</v>
      </c>
      <c r="BN54" s="270">
        <f t="shared" si="182"/>
        <v>0</v>
      </c>
      <c r="BO54" s="270">
        <f t="shared" ref="BO54:CB54" si="183">IF(BO5=36,$E$30,0)</f>
        <v>0</v>
      </c>
      <c r="BP54" s="270">
        <f t="shared" si="183"/>
        <v>0</v>
      </c>
      <c r="BQ54" s="270">
        <f t="shared" si="183"/>
        <v>0</v>
      </c>
      <c r="BR54" s="270">
        <f t="shared" si="183"/>
        <v>0</v>
      </c>
      <c r="BS54" s="270">
        <f t="shared" si="183"/>
        <v>0</v>
      </c>
      <c r="BT54" s="270">
        <f t="shared" si="183"/>
        <v>0</v>
      </c>
      <c r="BU54" s="270">
        <f t="shared" si="183"/>
        <v>0</v>
      </c>
      <c r="BV54" s="270">
        <f t="shared" si="183"/>
        <v>0</v>
      </c>
      <c r="BW54" s="270">
        <f t="shared" si="183"/>
        <v>0</v>
      </c>
      <c r="BX54" s="270">
        <f t="shared" si="183"/>
        <v>0</v>
      </c>
      <c r="BY54" s="270">
        <f t="shared" si="183"/>
        <v>0</v>
      </c>
      <c r="BZ54" s="270">
        <f t="shared" si="183"/>
        <v>0</v>
      </c>
      <c r="CA54" s="270">
        <f t="shared" si="183"/>
        <v>0</v>
      </c>
      <c r="CB54" s="270">
        <f t="shared" si="183"/>
        <v>0</v>
      </c>
      <c r="CC54" s="270">
        <f t="shared" ref="CC54:DE54" si="184">IF(CC5=36,$E$30,0)</f>
        <v>0</v>
      </c>
      <c r="CD54" s="270">
        <f t="shared" si="184"/>
        <v>0</v>
      </c>
      <c r="CE54" s="270">
        <f t="shared" si="184"/>
        <v>0</v>
      </c>
      <c r="CF54" s="270">
        <f t="shared" si="184"/>
        <v>0</v>
      </c>
      <c r="CG54" s="270">
        <f t="shared" si="184"/>
        <v>0</v>
      </c>
      <c r="CH54" s="270">
        <f t="shared" si="184"/>
        <v>0</v>
      </c>
      <c r="CI54" s="270">
        <f t="shared" si="184"/>
        <v>0</v>
      </c>
      <c r="CJ54" s="270">
        <f t="shared" si="184"/>
        <v>0</v>
      </c>
      <c r="CK54" s="270">
        <f t="shared" si="184"/>
        <v>0</v>
      </c>
      <c r="CL54" s="270">
        <f t="shared" si="184"/>
        <v>0</v>
      </c>
      <c r="CM54" s="270">
        <f t="shared" si="184"/>
        <v>0</v>
      </c>
      <c r="CN54" s="270">
        <f t="shared" si="184"/>
        <v>0</v>
      </c>
      <c r="CO54" s="270">
        <f t="shared" si="184"/>
        <v>0</v>
      </c>
      <c r="CP54" s="270">
        <f t="shared" si="184"/>
        <v>0</v>
      </c>
      <c r="CQ54" s="270">
        <f t="shared" si="184"/>
        <v>0</v>
      </c>
      <c r="CR54" s="270">
        <f t="shared" si="184"/>
        <v>0</v>
      </c>
      <c r="CS54" s="270">
        <f t="shared" si="184"/>
        <v>0</v>
      </c>
      <c r="CT54" s="270">
        <f t="shared" si="184"/>
        <v>0</v>
      </c>
      <c r="CU54" s="270">
        <f t="shared" si="184"/>
        <v>0</v>
      </c>
      <c r="CV54" s="270">
        <f t="shared" si="184"/>
        <v>0</v>
      </c>
      <c r="CW54" s="270">
        <f t="shared" si="184"/>
        <v>0</v>
      </c>
      <c r="CX54" s="270">
        <f t="shared" si="184"/>
        <v>0</v>
      </c>
      <c r="CY54" s="270">
        <f t="shared" si="184"/>
        <v>0</v>
      </c>
      <c r="CZ54" s="270">
        <f t="shared" si="184"/>
        <v>0</v>
      </c>
      <c r="DA54" s="270">
        <f t="shared" si="184"/>
        <v>0</v>
      </c>
      <c r="DB54" s="270">
        <f t="shared" si="184"/>
        <v>0</v>
      </c>
      <c r="DC54" s="270">
        <f t="shared" si="184"/>
        <v>0</v>
      </c>
      <c r="DD54" s="270">
        <f t="shared" si="184"/>
        <v>0</v>
      </c>
      <c r="DE54" s="140">
        <f t="shared" si="184"/>
        <v>0</v>
      </c>
    </row>
    <row r="55" spans="2:109">
      <c r="B55" s="357" t="s">
        <v>278</v>
      </c>
      <c r="E55" s="270">
        <f t="shared" si="168"/>
        <v>0</v>
      </c>
      <c r="F55" s="270"/>
      <c r="I55" s="270">
        <f t="shared" ref="I55:AN55" si="185">I31*$E$31</f>
        <v>0</v>
      </c>
      <c r="J55" s="270">
        <f t="shared" si="185"/>
        <v>0</v>
      </c>
      <c r="K55" s="270">
        <f t="shared" si="185"/>
        <v>0</v>
      </c>
      <c r="L55" s="270">
        <f t="shared" si="185"/>
        <v>0</v>
      </c>
      <c r="M55" s="270">
        <f t="shared" si="185"/>
        <v>0</v>
      </c>
      <c r="N55" s="270">
        <f t="shared" si="185"/>
        <v>0</v>
      </c>
      <c r="O55" s="270">
        <f t="shared" si="185"/>
        <v>0</v>
      </c>
      <c r="P55" s="270">
        <f t="shared" si="185"/>
        <v>0</v>
      </c>
      <c r="Q55" s="270">
        <f t="shared" si="185"/>
        <v>0</v>
      </c>
      <c r="R55" s="270">
        <f t="shared" si="185"/>
        <v>0</v>
      </c>
      <c r="S55" s="270">
        <f t="shared" si="185"/>
        <v>0</v>
      </c>
      <c r="T55" s="270">
        <f t="shared" si="185"/>
        <v>0</v>
      </c>
      <c r="U55" s="270">
        <f t="shared" si="185"/>
        <v>0</v>
      </c>
      <c r="V55" s="270">
        <f t="shared" si="185"/>
        <v>0</v>
      </c>
      <c r="W55" s="270">
        <f t="shared" si="185"/>
        <v>0</v>
      </c>
      <c r="X55" s="270">
        <f t="shared" si="185"/>
        <v>0</v>
      </c>
      <c r="Y55" s="270">
        <f t="shared" si="185"/>
        <v>0</v>
      </c>
      <c r="Z55" s="270">
        <f t="shared" si="185"/>
        <v>0</v>
      </c>
      <c r="AA55" s="270">
        <f t="shared" si="185"/>
        <v>0</v>
      </c>
      <c r="AB55" s="270">
        <f t="shared" si="185"/>
        <v>0</v>
      </c>
      <c r="AC55" s="270">
        <f t="shared" si="185"/>
        <v>0</v>
      </c>
      <c r="AD55" s="270">
        <f t="shared" si="185"/>
        <v>0</v>
      </c>
      <c r="AE55" s="270">
        <f t="shared" si="185"/>
        <v>0</v>
      </c>
      <c r="AF55" s="270">
        <f t="shared" si="185"/>
        <v>0</v>
      </c>
      <c r="AG55" s="270">
        <f t="shared" si="185"/>
        <v>0</v>
      </c>
      <c r="AH55" s="270">
        <f t="shared" si="185"/>
        <v>0</v>
      </c>
      <c r="AI55" s="270">
        <f t="shared" si="185"/>
        <v>0</v>
      </c>
      <c r="AJ55" s="270">
        <f t="shared" si="185"/>
        <v>0</v>
      </c>
      <c r="AK55" s="270">
        <f t="shared" si="185"/>
        <v>0</v>
      </c>
      <c r="AL55" s="270">
        <f t="shared" si="185"/>
        <v>0</v>
      </c>
      <c r="AM55" s="270">
        <f t="shared" si="185"/>
        <v>0</v>
      </c>
      <c r="AN55" s="270">
        <f t="shared" si="185"/>
        <v>0</v>
      </c>
      <c r="AO55" s="270">
        <f t="shared" ref="AO55:BN55" si="186">AO31*$E$31</f>
        <v>0</v>
      </c>
      <c r="AP55" s="270">
        <f t="shared" si="186"/>
        <v>0</v>
      </c>
      <c r="AQ55" s="270">
        <f t="shared" si="186"/>
        <v>0</v>
      </c>
      <c r="AR55" s="270">
        <f t="shared" si="186"/>
        <v>0</v>
      </c>
      <c r="AS55" s="270">
        <f t="shared" si="186"/>
        <v>0</v>
      </c>
      <c r="AT55" s="270">
        <f t="shared" si="186"/>
        <v>0</v>
      </c>
      <c r="AU55" s="270">
        <f t="shared" si="186"/>
        <v>0</v>
      </c>
      <c r="AV55" s="270">
        <f t="shared" si="186"/>
        <v>0</v>
      </c>
      <c r="AW55" s="270">
        <f t="shared" si="186"/>
        <v>0</v>
      </c>
      <c r="AX55" s="270">
        <f t="shared" si="186"/>
        <v>0</v>
      </c>
      <c r="AY55" s="270">
        <f t="shared" si="186"/>
        <v>0</v>
      </c>
      <c r="AZ55" s="270">
        <f t="shared" si="186"/>
        <v>0</v>
      </c>
      <c r="BA55" s="270">
        <f t="shared" si="186"/>
        <v>0</v>
      </c>
      <c r="BB55" s="270">
        <f t="shared" si="186"/>
        <v>0</v>
      </c>
      <c r="BC55" s="270">
        <f t="shared" si="186"/>
        <v>0</v>
      </c>
      <c r="BD55" s="270">
        <f t="shared" si="186"/>
        <v>0</v>
      </c>
      <c r="BE55" s="270">
        <f t="shared" si="186"/>
        <v>0</v>
      </c>
      <c r="BF55" s="270">
        <f t="shared" si="186"/>
        <v>0</v>
      </c>
      <c r="BG55" s="270">
        <f t="shared" si="186"/>
        <v>0</v>
      </c>
      <c r="BH55" s="270">
        <f t="shared" si="186"/>
        <v>0</v>
      </c>
      <c r="BI55" s="270">
        <f t="shared" si="186"/>
        <v>0</v>
      </c>
      <c r="BJ55" s="270">
        <f t="shared" si="186"/>
        <v>0</v>
      </c>
      <c r="BK55" s="270">
        <f t="shared" si="186"/>
        <v>0</v>
      </c>
      <c r="BL55" s="270">
        <f t="shared" si="186"/>
        <v>0</v>
      </c>
      <c r="BM55" s="270">
        <f t="shared" si="186"/>
        <v>0</v>
      </c>
      <c r="BN55" s="270">
        <f t="shared" si="186"/>
        <v>0</v>
      </c>
      <c r="BO55" s="270">
        <f t="shared" ref="BO55:CB55" si="187">BO31*$E$31</f>
        <v>0</v>
      </c>
      <c r="BP55" s="270">
        <f t="shared" si="187"/>
        <v>0</v>
      </c>
      <c r="BQ55" s="270">
        <f t="shared" si="187"/>
        <v>0</v>
      </c>
      <c r="BR55" s="270">
        <f t="shared" si="187"/>
        <v>0</v>
      </c>
      <c r="BS55" s="270">
        <f t="shared" si="187"/>
        <v>0</v>
      </c>
      <c r="BT55" s="270">
        <f t="shared" si="187"/>
        <v>0</v>
      </c>
      <c r="BU55" s="270">
        <f t="shared" si="187"/>
        <v>0</v>
      </c>
      <c r="BV55" s="270">
        <f t="shared" si="187"/>
        <v>0</v>
      </c>
      <c r="BW55" s="270">
        <f t="shared" si="187"/>
        <v>0</v>
      </c>
      <c r="BX55" s="270">
        <f t="shared" si="187"/>
        <v>0</v>
      </c>
      <c r="BY55" s="270">
        <f t="shared" si="187"/>
        <v>0</v>
      </c>
      <c r="BZ55" s="270">
        <f t="shared" si="187"/>
        <v>0</v>
      </c>
      <c r="CA55" s="270">
        <f t="shared" si="187"/>
        <v>0</v>
      </c>
      <c r="CB55" s="270">
        <f t="shared" si="187"/>
        <v>0</v>
      </c>
      <c r="CC55" s="270">
        <f t="shared" ref="CC55:DE55" si="188">CC31*$E$31</f>
        <v>0</v>
      </c>
      <c r="CD55" s="270">
        <f t="shared" si="188"/>
        <v>0</v>
      </c>
      <c r="CE55" s="270">
        <f t="shared" si="188"/>
        <v>0</v>
      </c>
      <c r="CF55" s="270">
        <f t="shared" si="188"/>
        <v>0</v>
      </c>
      <c r="CG55" s="270">
        <f t="shared" si="188"/>
        <v>0</v>
      </c>
      <c r="CH55" s="270">
        <f t="shared" si="188"/>
        <v>0</v>
      </c>
      <c r="CI55" s="270">
        <f t="shared" si="188"/>
        <v>0</v>
      </c>
      <c r="CJ55" s="270">
        <f t="shared" si="188"/>
        <v>0</v>
      </c>
      <c r="CK55" s="270">
        <f t="shared" si="188"/>
        <v>0</v>
      </c>
      <c r="CL55" s="270">
        <f t="shared" si="188"/>
        <v>0</v>
      </c>
      <c r="CM55" s="270">
        <f t="shared" si="188"/>
        <v>0</v>
      </c>
      <c r="CN55" s="270">
        <f t="shared" si="188"/>
        <v>0</v>
      </c>
      <c r="CO55" s="270">
        <f t="shared" si="188"/>
        <v>0</v>
      </c>
      <c r="CP55" s="270">
        <f t="shared" si="188"/>
        <v>0</v>
      </c>
      <c r="CQ55" s="270">
        <f t="shared" si="188"/>
        <v>0</v>
      </c>
      <c r="CR55" s="270">
        <f t="shared" si="188"/>
        <v>0</v>
      </c>
      <c r="CS55" s="270">
        <f t="shared" si="188"/>
        <v>0</v>
      </c>
      <c r="CT55" s="270">
        <f t="shared" si="188"/>
        <v>0</v>
      </c>
      <c r="CU55" s="270">
        <f t="shared" si="188"/>
        <v>0</v>
      </c>
      <c r="CV55" s="270">
        <f t="shared" si="188"/>
        <v>0</v>
      </c>
      <c r="CW55" s="270">
        <f t="shared" si="188"/>
        <v>0</v>
      </c>
      <c r="CX55" s="270">
        <f t="shared" si="188"/>
        <v>0</v>
      </c>
      <c r="CY55" s="270">
        <f t="shared" si="188"/>
        <v>0</v>
      </c>
      <c r="CZ55" s="270">
        <f t="shared" si="188"/>
        <v>0</v>
      </c>
      <c r="DA55" s="270">
        <f t="shared" si="188"/>
        <v>0</v>
      </c>
      <c r="DB55" s="270">
        <f t="shared" si="188"/>
        <v>0</v>
      </c>
      <c r="DC55" s="270">
        <f t="shared" si="188"/>
        <v>0</v>
      </c>
      <c r="DD55" s="270">
        <f t="shared" si="188"/>
        <v>0</v>
      </c>
      <c r="DE55" s="140">
        <f t="shared" si="188"/>
        <v>0</v>
      </c>
    </row>
    <row r="56" spans="2:109">
      <c r="B56" s="357" t="s">
        <v>204</v>
      </c>
      <c r="E56" s="270">
        <f t="shared" si="168"/>
        <v>783906.11</v>
      </c>
      <c r="F56" s="270"/>
      <c r="I56" s="270">
        <f t="shared" ref="I56:AN56" si="189">I32*$E$32</f>
        <v>783906.11</v>
      </c>
      <c r="J56" s="270">
        <f t="shared" si="189"/>
        <v>0</v>
      </c>
      <c r="K56" s="270">
        <f t="shared" si="189"/>
        <v>0</v>
      </c>
      <c r="L56" s="270">
        <f t="shared" si="189"/>
        <v>0</v>
      </c>
      <c r="M56" s="270">
        <f t="shared" si="189"/>
        <v>0</v>
      </c>
      <c r="N56" s="270">
        <f t="shared" si="189"/>
        <v>0</v>
      </c>
      <c r="O56" s="270">
        <f t="shared" si="189"/>
        <v>0</v>
      </c>
      <c r="P56" s="270">
        <f t="shared" si="189"/>
        <v>0</v>
      </c>
      <c r="Q56" s="270">
        <f t="shared" si="189"/>
        <v>0</v>
      </c>
      <c r="R56" s="270">
        <f t="shared" si="189"/>
        <v>0</v>
      </c>
      <c r="S56" s="270">
        <f t="shared" si="189"/>
        <v>0</v>
      </c>
      <c r="T56" s="270">
        <f t="shared" si="189"/>
        <v>0</v>
      </c>
      <c r="U56" s="270">
        <f t="shared" si="189"/>
        <v>0</v>
      </c>
      <c r="V56" s="270">
        <f t="shared" si="189"/>
        <v>0</v>
      </c>
      <c r="W56" s="270">
        <f t="shared" si="189"/>
        <v>0</v>
      </c>
      <c r="X56" s="270">
        <f t="shared" si="189"/>
        <v>0</v>
      </c>
      <c r="Y56" s="270">
        <f t="shared" si="189"/>
        <v>0</v>
      </c>
      <c r="Z56" s="270">
        <f t="shared" si="189"/>
        <v>0</v>
      </c>
      <c r="AA56" s="270">
        <f t="shared" si="189"/>
        <v>0</v>
      </c>
      <c r="AB56" s="270">
        <f t="shared" si="189"/>
        <v>0</v>
      </c>
      <c r="AC56" s="270">
        <f t="shared" si="189"/>
        <v>0</v>
      </c>
      <c r="AD56" s="270">
        <f t="shared" si="189"/>
        <v>0</v>
      </c>
      <c r="AE56" s="270">
        <f t="shared" si="189"/>
        <v>0</v>
      </c>
      <c r="AF56" s="270">
        <f t="shared" si="189"/>
        <v>0</v>
      </c>
      <c r="AG56" s="270">
        <f t="shared" si="189"/>
        <v>0</v>
      </c>
      <c r="AH56" s="270">
        <f t="shared" si="189"/>
        <v>0</v>
      </c>
      <c r="AI56" s="270">
        <f t="shared" si="189"/>
        <v>0</v>
      </c>
      <c r="AJ56" s="270">
        <f t="shared" si="189"/>
        <v>0</v>
      </c>
      <c r="AK56" s="270">
        <f t="shared" si="189"/>
        <v>0</v>
      </c>
      <c r="AL56" s="270">
        <f t="shared" si="189"/>
        <v>0</v>
      </c>
      <c r="AM56" s="270">
        <f t="shared" si="189"/>
        <v>0</v>
      </c>
      <c r="AN56" s="270">
        <f t="shared" si="189"/>
        <v>0</v>
      </c>
      <c r="AO56" s="270">
        <f t="shared" ref="AO56:BN56" si="190">AO32*$E$32</f>
        <v>0</v>
      </c>
      <c r="AP56" s="270">
        <f t="shared" si="190"/>
        <v>0</v>
      </c>
      <c r="AQ56" s="270">
        <f t="shared" si="190"/>
        <v>0</v>
      </c>
      <c r="AR56" s="270">
        <f t="shared" si="190"/>
        <v>0</v>
      </c>
      <c r="AS56" s="270">
        <f t="shared" si="190"/>
        <v>0</v>
      </c>
      <c r="AT56" s="270">
        <f t="shared" si="190"/>
        <v>0</v>
      </c>
      <c r="AU56" s="270">
        <f t="shared" si="190"/>
        <v>0</v>
      </c>
      <c r="AV56" s="270">
        <f t="shared" si="190"/>
        <v>0</v>
      </c>
      <c r="AW56" s="270">
        <f t="shared" si="190"/>
        <v>0</v>
      </c>
      <c r="AX56" s="270">
        <f t="shared" si="190"/>
        <v>0</v>
      </c>
      <c r="AY56" s="270">
        <f t="shared" si="190"/>
        <v>0</v>
      </c>
      <c r="AZ56" s="270">
        <f t="shared" si="190"/>
        <v>0</v>
      </c>
      <c r="BA56" s="270">
        <f t="shared" si="190"/>
        <v>0</v>
      </c>
      <c r="BB56" s="270">
        <f t="shared" si="190"/>
        <v>0</v>
      </c>
      <c r="BC56" s="270">
        <f t="shared" si="190"/>
        <v>0</v>
      </c>
      <c r="BD56" s="270">
        <f t="shared" si="190"/>
        <v>0</v>
      </c>
      <c r="BE56" s="270">
        <f t="shared" si="190"/>
        <v>0</v>
      </c>
      <c r="BF56" s="270">
        <f t="shared" si="190"/>
        <v>0</v>
      </c>
      <c r="BG56" s="270">
        <f t="shared" si="190"/>
        <v>0</v>
      </c>
      <c r="BH56" s="270">
        <f t="shared" si="190"/>
        <v>0</v>
      </c>
      <c r="BI56" s="270">
        <f t="shared" si="190"/>
        <v>0</v>
      </c>
      <c r="BJ56" s="270">
        <f t="shared" si="190"/>
        <v>0</v>
      </c>
      <c r="BK56" s="270">
        <f t="shared" si="190"/>
        <v>0</v>
      </c>
      <c r="BL56" s="270">
        <f t="shared" si="190"/>
        <v>0</v>
      </c>
      <c r="BM56" s="270">
        <f t="shared" si="190"/>
        <v>0</v>
      </c>
      <c r="BN56" s="270">
        <f t="shared" si="190"/>
        <v>0</v>
      </c>
      <c r="BO56" s="270">
        <f t="shared" ref="BO56:CB56" si="191">BO32*$E$32</f>
        <v>0</v>
      </c>
      <c r="BP56" s="270">
        <f t="shared" si="191"/>
        <v>0</v>
      </c>
      <c r="BQ56" s="270">
        <f t="shared" si="191"/>
        <v>0</v>
      </c>
      <c r="BR56" s="270">
        <f t="shared" si="191"/>
        <v>0</v>
      </c>
      <c r="BS56" s="270">
        <f t="shared" si="191"/>
        <v>0</v>
      </c>
      <c r="BT56" s="270">
        <f t="shared" si="191"/>
        <v>0</v>
      </c>
      <c r="BU56" s="270">
        <f t="shared" si="191"/>
        <v>0</v>
      </c>
      <c r="BV56" s="270">
        <f t="shared" si="191"/>
        <v>0</v>
      </c>
      <c r="BW56" s="270">
        <f t="shared" si="191"/>
        <v>0</v>
      </c>
      <c r="BX56" s="270">
        <f t="shared" si="191"/>
        <v>0</v>
      </c>
      <c r="BY56" s="270">
        <f t="shared" si="191"/>
        <v>0</v>
      </c>
      <c r="BZ56" s="270">
        <f t="shared" si="191"/>
        <v>0</v>
      </c>
      <c r="CA56" s="270">
        <f t="shared" si="191"/>
        <v>0</v>
      </c>
      <c r="CB56" s="270">
        <f t="shared" si="191"/>
        <v>0</v>
      </c>
      <c r="CC56" s="270">
        <f t="shared" ref="CC56:DE56" si="192">CC32*$E$32</f>
        <v>0</v>
      </c>
      <c r="CD56" s="270">
        <f t="shared" si="192"/>
        <v>0</v>
      </c>
      <c r="CE56" s="270">
        <f t="shared" si="192"/>
        <v>0</v>
      </c>
      <c r="CF56" s="270">
        <f t="shared" si="192"/>
        <v>0</v>
      </c>
      <c r="CG56" s="270">
        <f t="shared" si="192"/>
        <v>0</v>
      </c>
      <c r="CH56" s="270">
        <f t="shared" si="192"/>
        <v>0</v>
      </c>
      <c r="CI56" s="270">
        <f t="shared" si="192"/>
        <v>0</v>
      </c>
      <c r="CJ56" s="270">
        <f t="shared" si="192"/>
        <v>0</v>
      </c>
      <c r="CK56" s="270">
        <f t="shared" si="192"/>
        <v>0</v>
      </c>
      <c r="CL56" s="270">
        <f t="shared" si="192"/>
        <v>0</v>
      </c>
      <c r="CM56" s="270">
        <f t="shared" si="192"/>
        <v>0</v>
      </c>
      <c r="CN56" s="270">
        <f t="shared" si="192"/>
        <v>0</v>
      </c>
      <c r="CO56" s="270">
        <f t="shared" si="192"/>
        <v>0</v>
      </c>
      <c r="CP56" s="270">
        <f t="shared" si="192"/>
        <v>0</v>
      </c>
      <c r="CQ56" s="270">
        <f t="shared" si="192"/>
        <v>0</v>
      </c>
      <c r="CR56" s="270">
        <f t="shared" si="192"/>
        <v>0</v>
      </c>
      <c r="CS56" s="270">
        <f t="shared" si="192"/>
        <v>0</v>
      </c>
      <c r="CT56" s="270">
        <f t="shared" si="192"/>
        <v>0</v>
      </c>
      <c r="CU56" s="270">
        <f t="shared" si="192"/>
        <v>0</v>
      </c>
      <c r="CV56" s="270">
        <f t="shared" si="192"/>
        <v>0</v>
      </c>
      <c r="CW56" s="270">
        <f t="shared" si="192"/>
        <v>0</v>
      </c>
      <c r="CX56" s="270">
        <f t="shared" si="192"/>
        <v>0</v>
      </c>
      <c r="CY56" s="270">
        <f t="shared" si="192"/>
        <v>0</v>
      </c>
      <c r="CZ56" s="270">
        <f t="shared" si="192"/>
        <v>0</v>
      </c>
      <c r="DA56" s="270">
        <f t="shared" si="192"/>
        <v>0</v>
      </c>
      <c r="DB56" s="270">
        <f t="shared" si="192"/>
        <v>0</v>
      </c>
      <c r="DC56" s="270">
        <f t="shared" si="192"/>
        <v>0</v>
      </c>
      <c r="DD56" s="270">
        <f t="shared" si="192"/>
        <v>0</v>
      </c>
      <c r="DE56" s="140">
        <f t="shared" si="192"/>
        <v>0</v>
      </c>
    </row>
    <row r="57" spans="2:109">
      <c r="B57" s="357" t="s">
        <v>184</v>
      </c>
      <c r="E57" s="270">
        <f t="shared" si="168"/>
        <v>1652819.16</v>
      </c>
      <c r="F57" s="270"/>
      <c r="I57" s="270">
        <f t="shared" ref="I57:AN57" si="193">I33*$E$33</f>
        <v>1652819.16</v>
      </c>
      <c r="J57" s="270">
        <f t="shared" si="193"/>
        <v>0</v>
      </c>
      <c r="K57" s="270">
        <f t="shared" si="193"/>
        <v>0</v>
      </c>
      <c r="L57" s="270">
        <f t="shared" si="193"/>
        <v>0</v>
      </c>
      <c r="M57" s="270">
        <f t="shared" si="193"/>
        <v>0</v>
      </c>
      <c r="N57" s="270">
        <f t="shared" si="193"/>
        <v>0</v>
      </c>
      <c r="O57" s="270">
        <f t="shared" si="193"/>
        <v>0</v>
      </c>
      <c r="P57" s="270">
        <f t="shared" si="193"/>
        <v>0</v>
      </c>
      <c r="Q57" s="270">
        <f t="shared" si="193"/>
        <v>0</v>
      </c>
      <c r="R57" s="270">
        <f t="shared" si="193"/>
        <v>0</v>
      </c>
      <c r="S57" s="270">
        <f t="shared" si="193"/>
        <v>0</v>
      </c>
      <c r="T57" s="270">
        <f t="shared" si="193"/>
        <v>0</v>
      </c>
      <c r="U57" s="270">
        <f t="shared" si="193"/>
        <v>0</v>
      </c>
      <c r="V57" s="270">
        <f t="shared" si="193"/>
        <v>0</v>
      </c>
      <c r="W57" s="270">
        <f t="shared" si="193"/>
        <v>0</v>
      </c>
      <c r="X57" s="270">
        <f t="shared" si="193"/>
        <v>0</v>
      </c>
      <c r="Y57" s="270">
        <f t="shared" si="193"/>
        <v>0</v>
      </c>
      <c r="Z57" s="270">
        <f t="shared" si="193"/>
        <v>0</v>
      </c>
      <c r="AA57" s="270">
        <f t="shared" si="193"/>
        <v>0</v>
      </c>
      <c r="AB57" s="270">
        <f t="shared" si="193"/>
        <v>0</v>
      </c>
      <c r="AC57" s="270">
        <f t="shared" si="193"/>
        <v>0</v>
      </c>
      <c r="AD57" s="270">
        <f t="shared" si="193"/>
        <v>0</v>
      </c>
      <c r="AE57" s="270">
        <f t="shared" si="193"/>
        <v>0</v>
      </c>
      <c r="AF57" s="270">
        <f t="shared" si="193"/>
        <v>0</v>
      </c>
      <c r="AG57" s="270">
        <f t="shared" si="193"/>
        <v>0</v>
      </c>
      <c r="AH57" s="270">
        <f t="shared" si="193"/>
        <v>0</v>
      </c>
      <c r="AI57" s="270">
        <f t="shared" si="193"/>
        <v>0</v>
      </c>
      <c r="AJ57" s="270">
        <f t="shared" si="193"/>
        <v>0</v>
      </c>
      <c r="AK57" s="270">
        <f t="shared" si="193"/>
        <v>0</v>
      </c>
      <c r="AL57" s="270">
        <f t="shared" si="193"/>
        <v>0</v>
      </c>
      <c r="AM57" s="270">
        <f t="shared" si="193"/>
        <v>0</v>
      </c>
      <c r="AN57" s="270">
        <f t="shared" si="193"/>
        <v>0</v>
      </c>
      <c r="AO57" s="270">
        <f t="shared" ref="AO57:BN57" si="194">AO33*$E$33</f>
        <v>0</v>
      </c>
      <c r="AP57" s="270">
        <f t="shared" si="194"/>
        <v>0</v>
      </c>
      <c r="AQ57" s="270">
        <f t="shared" si="194"/>
        <v>0</v>
      </c>
      <c r="AR57" s="270">
        <f t="shared" si="194"/>
        <v>0</v>
      </c>
      <c r="AS57" s="270">
        <f t="shared" si="194"/>
        <v>0</v>
      </c>
      <c r="AT57" s="270">
        <f t="shared" si="194"/>
        <v>0</v>
      </c>
      <c r="AU57" s="270">
        <f t="shared" si="194"/>
        <v>0</v>
      </c>
      <c r="AV57" s="270">
        <f t="shared" si="194"/>
        <v>0</v>
      </c>
      <c r="AW57" s="270">
        <f t="shared" si="194"/>
        <v>0</v>
      </c>
      <c r="AX57" s="270">
        <f t="shared" si="194"/>
        <v>0</v>
      </c>
      <c r="AY57" s="270">
        <f t="shared" si="194"/>
        <v>0</v>
      </c>
      <c r="AZ57" s="270">
        <f t="shared" si="194"/>
        <v>0</v>
      </c>
      <c r="BA57" s="270">
        <f t="shared" si="194"/>
        <v>0</v>
      </c>
      <c r="BB57" s="270">
        <f t="shared" si="194"/>
        <v>0</v>
      </c>
      <c r="BC57" s="270">
        <f t="shared" si="194"/>
        <v>0</v>
      </c>
      <c r="BD57" s="270">
        <f t="shared" si="194"/>
        <v>0</v>
      </c>
      <c r="BE57" s="270">
        <f t="shared" si="194"/>
        <v>0</v>
      </c>
      <c r="BF57" s="270">
        <f t="shared" si="194"/>
        <v>0</v>
      </c>
      <c r="BG57" s="270">
        <f t="shared" si="194"/>
        <v>0</v>
      </c>
      <c r="BH57" s="270">
        <f t="shared" si="194"/>
        <v>0</v>
      </c>
      <c r="BI57" s="270">
        <f t="shared" si="194"/>
        <v>0</v>
      </c>
      <c r="BJ57" s="270">
        <f t="shared" si="194"/>
        <v>0</v>
      </c>
      <c r="BK57" s="270">
        <f t="shared" si="194"/>
        <v>0</v>
      </c>
      <c r="BL57" s="270">
        <f t="shared" si="194"/>
        <v>0</v>
      </c>
      <c r="BM57" s="270">
        <f t="shared" si="194"/>
        <v>0</v>
      </c>
      <c r="BN57" s="270">
        <f t="shared" si="194"/>
        <v>0</v>
      </c>
      <c r="BO57" s="270">
        <f t="shared" ref="BO57:CB57" si="195">BO33*$E$33</f>
        <v>0</v>
      </c>
      <c r="BP57" s="270">
        <f t="shared" si="195"/>
        <v>0</v>
      </c>
      <c r="BQ57" s="270">
        <f t="shared" si="195"/>
        <v>0</v>
      </c>
      <c r="BR57" s="270">
        <f t="shared" si="195"/>
        <v>0</v>
      </c>
      <c r="BS57" s="270">
        <f t="shared" si="195"/>
        <v>0</v>
      </c>
      <c r="BT57" s="270">
        <f t="shared" si="195"/>
        <v>0</v>
      </c>
      <c r="BU57" s="270">
        <f t="shared" si="195"/>
        <v>0</v>
      </c>
      <c r="BV57" s="270">
        <f t="shared" si="195"/>
        <v>0</v>
      </c>
      <c r="BW57" s="270">
        <f t="shared" si="195"/>
        <v>0</v>
      </c>
      <c r="BX57" s="270">
        <f t="shared" si="195"/>
        <v>0</v>
      </c>
      <c r="BY57" s="270">
        <f t="shared" si="195"/>
        <v>0</v>
      </c>
      <c r="BZ57" s="270">
        <f t="shared" si="195"/>
        <v>0</v>
      </c>
      <c r="CA57" s="270">
        <f t="shared" si="195"/>
        <v>0</v>
      </c>
      <c r="CB57" s="270">
        <f t="shared" si="195"/>
        <v>0</v>
      </c>
      <c r="CC57" s="270">
        <f t="shared" ref="CC57:DE57" si="196">CC33*$E$33</f>
        <v>0</v>
      </c>
      <c r="CD57" s="270">
        <f t="shared" si="196"/>
        <v>0</v>
      </c>
      <c r="CE57" s="270">
        <f t="shared" si="196"/>
        <v>0</v>
      </c>
      <c r="CF57" s="270">
        <f t="shared" si="196"/>
        <v>0</v>
      </c>
      <c r="CG57" s="270">
        <f t="shared" si="196"/>
        <v>0</v>
      </c>
      <c r="CH57" s="270">
        <f t="shared" si="196"/>
        <v>0</v>
      </c>
      <c r="CI57" s="270">
        <f t="shared" si="196"/>
        <v>0</v>
      </c>
      <c r="CJ57" s="270">
        <f t="shared" si="196"/>
        <v>0</v>
      </c>
      <c r="CK57" s="270">
        <f t="shared" si="196"/>
        <v>0</v>
      </c>
      <c r="CL57" s="270">
        <f t="shared" si="196"/>
        <v>0</v>
      </c>
      <c r="CM57" s="270">
        <f t="shared" si="196"/>
        <v>0</v>
      </c>
      <c r="CN57" s="270">
        <f t="shared" si="196"/>
        <v>0</v>
      </c>
      <c r="CO57" s="270">
        <f t="shared" si="196"/>
        <v>0</v>
      </c>
      <c r="CP57" s="270">
        <f t="shared" si="196"/>
        <v>0</v>
      </c>
      <c r="CQ57" s="270">
        <f t="shared" si="196"/>
        <v>0</v>
      </c>
      <c r="CR57" s="270">
        <f t="shared" si="196"/>
        <v>0</v>
      </c>
      <c r="CS57" s="270">
        <f t="shared" si="196"/>
        <v>0</v>
      </c>
      <c r="CT57" s="270">
        <f t="shared" si="196"/>
        <v>0</v>
      </c>
      <c r="CU57" s="270">
        <f t="shared" si="196"/>
        <v>0</v>
      </c>
      <c r="CV57" s="270">
        <f t="shared" si="196"/>
        <v>0</v>
      </c>
      <c r="CW57" s="270">
        <f t="shared" si="196"/>
        <v>0</v>
      </c>
      <c r="CX57" s="270">
        <f t="shared" si="196"/>
        <v>0</v>
      </c>
      <c r="CY57" s="270">
        <f t="shared" si="196"/>
        <v>0</v>
      </c>
      <c r="CZ57" s="270">
        <f t="shared" si="196"/>
        <v>0</v>
      </c>
      <c r="DA57" s="270">
        <f t="shared" si="196"/>
        <v>0</v>
      </c>
      <c r="DB57" s="270">
        <f t="shared" si="196"/>
        <v>0</v>
      </c>
      <c r="DC57" s="270">
        <f t="shared" si="196"/>
        <v>0</v>
      </c>
      <c r="DD57" s="270">
        <f t="shared" si="196"/>
        <v>0</v>
      </c>
      <c r="DE57" s="140">
        <f t="shared" si="196"/>
        <v>0</v>
      </c>
    </row>
    <row r="58" spans="2:109">
      <c r="B58" s="357" t="s">
        <v>185</v>
      </c>
      <c r="E58" s="270">
        <f t="shared" si="168"/>
        <v>126419</v>
      </c>
      <c r="F58" s="270"/>
      <c r="I58" s="270">
        <f t="shared" ref="I58:AN58" si="197">I34*$E$34</f>
        <v>0</v>
      </c>
      <c r="J58" s="270">
        <f t="shared" si="197"/>
        <v>113.21442113667123</v>
      </c>
      <c r="K58" s="270">
        <f t="shared" si="197"/>
        <v>135.70182607327169</v>
      </c>
      <c r="L58" s="270">
        <f t="shared" si="197"/>
        <v>161.892188674572</v>
      </c>
      <c r="M58" s="270">
        <f t="shared" si="197"/>
        <v>192.23052782516524</v>
      </c>
      <c r="N58" s="270">
        <f t="shared" si="197"/>
        <v>227.18260946973516</v>
      </c>
      <c r="O58" s="270">
        <f t="shared" si="197"/>
        <v>267.22929757560968</v>
      </c>
      <c r="P58" s="270">
        <f t="shared" si="197"/>
        <v>312.85947907506534</v>
      </c>
      <c r="Q58" s="270">
        <f t="shared" si="197"/>
        <v>364.56152043912533</v>
      </c>
      <c r="R58" s="270">
        <f t="shared" si="197"/>
        <v>422.81325823613008</v>
      </c>
      <c r="S58" s="270">
        <f t="shared" si="197"/>
        <v>488.07057848742323</v>
      </c>
      <c r="T58" s="270">
        <f t="shared" si="197"/>
        <v>560.75469879905813</v>
      </c>
      <c r="U58" s="270">
        <f t="shared" si="197"/>
        <v>641.23833155509067</v>
      </c>
      <c r="V58" s="270">
        <f t="shared" si="197"/>
        <v>729.83097382002427</v>
      </c>
      <c r="W58" s="270">
        <f t="shared" si="197"/>
        <v>826.76363744551782</v>
      </c>
      <c r="X58" s="270">
        <f t="shared" si="197"/>
        <v>932.17339822013366</v>
      </c>
      <c r="Y58" s="270">
        <f t="shared" si="197"/>
        <v>1046.0882024334592</v>
      </c>
      <c r="Z58" s="270">
        <f t="shared" si="197"/>
        <v>1168.412419457575</v>
      </c>
      <c r="AA58" s="270">
        <f t="shared" si="197"/>
        <v>1298.913666372968</v>
      </c>
      <c r="AB58" s="270">
        <f t="shared" si="197"/>
        <v>1437.211451948639</v>
      </c>
      <c r="AC58" s="270">
        <f t="shared" si="197"/>
        <v>1582.7681894704515</v>
      </c>
      <c r="AD58" s="270">
        <f t="shared" si="197"/>
        <v>1734.8831086254718</v>
      </c>
      <c r="AE58" s="270">
        <f t="shared" si="197"/>
        <v>1892.6895543040312</v>
      </c>
      <c r="AF58" s="270">
        <f t="shared" si="197"/>
        <v>2055.1560941449657</v>
      </c>
      <c r="AG58" s="270">
        <f t="shared" si="197"/>
        <v>2221.091767388426</v>
      </c>
      <c r="AH58" s="270">
        <f t="shared" si="197"/>
        <v>2389.1556967656124</v>
      </c>
      <c r="AI58" s="270">
        <f t="shared" si="197"/>
        <v>2557.8711556083922</v>
      </c>
      <c r="AJ58" s="270">
        <f t="shared" si="197"/>
        <v>2725.6440381387029</v>
      </c>
      <c r="AK58" s="270">
        <f t="shared" si="197"/>
        <v>2890.7855270912551</v>
      </c>
      <c r="AL58" s="270">
        <f t="shared" si="197"/>
        <v>3051.5385954011267</v>
      </c>
      <c r="AM58" s="270">
        <f t="shared" si="197"/>
        <v>3206.1078242434146</v>
      </c>
      <c r="AN58" s="270">
        <f t="shared" si="197"/>
        <v>3352.6918751574553</v>
      </c>
      <c r="AO58" s="270">
        <f t="shared" ref="AO58:BN58" si="198">AO34*$E$34</f>
        <v>3489.5178262111604</v>
      </c>
      <c r="AP58" s="270">
        <f t="shared" si="198"/>
        <v>3614.876477658453</v>
      </c>
      <c r="AQ58" s="270">
        <f t="shared" si="198"/>
        <v>3727.1576570551479</v>
      </c>
      <c r="AR58" s="270">
        <f t="shared" si="198"/>
        <v>3824.8845119680336</v>
      </c>
      <c r="AS58" s="270">
        <f t="shared" si="198"/>
        <v>3906.7457734852323</v>
      </c>
      <c r="AT58" s="270">
        <f t="shared" si="198"/>
        <v>3971.6250073350857</v>
      </c>
      <c r="AU58" s="270">
        <f t="shared" si="198"/>
        <v>4018.625941395373</v>
      </c>
      <c r="AV58" s="270">
        <f t="shared" si="198"/>
        <v>4047.0930667510384</v>
      </c>
      <c r="AW58" s="270">
        <f t="shared" si="198"/>
        <v>4056.6268504904542</v>
      </c>
      <c r="AX58" s="270">
        <f t="shared" si="198"/>
        <v>4047.0930667510384</v>
      </c>
      <c r="AY58" s="270">
        <f t="shared" si="198"/>
        <v>4018.625941395374</v>
      </c>
      <c r="AZ58" s="270">
        <f t="shared" si="198"/>
        <v>3971.6250073350866</v>
      </c>
      <c r="BA58" s="270">
        <f t="shared" si="198"/>
        <v>3906.7457734852328</v>
      </c>
      <c r="BB58" s="270">
        <f t="shared" si="198"/>
        <v>3824.8845119680345</v>
      </c>
      <c r="BC58" s="270">
        <f t="shared" si="198"/>
        <v>3727.1576570551483</v>
      </c>
      <c r="BD58" s="270">
        <f t="shared" si="198"/>
        <v>3614.8764776584535</v>
      </c>
      <c r="BE58" s="270">
        <f t="shared" si="198"/>
        <v>3489.5178262111631</v>
      </c>
      <c r="BF58" s="270">
        <f t="shared" si="198"/>
        <v>3352.6918751574563</v>
      </c>
      <c r="BG58" s="270">
        <f t="shared" si="198"/>
        <v>3206.107824243416</v>
      </c>
      <c r="BH58" s="270">
        <f t="shared" si="198"/>
        <v>3051.5385954011285</v>
      </c>
      <c r="BI58" s="270">
        <f t="shared" si="198"/>
        <v>2890.785527091256</v>
      </c>
      <c r="BJ58" s="270">
        <f t="shared" si="198"/>
        <v>2725.6440381387042</v>
      </c>
      <c r="BK58" s="270">
        <f t="shared" si="198"/>
        <v>2557.871155608394</v>
      </c>
      <c r="BL58" s="270">
        <f t="shared" si="198"/>
        <v>2389.1556967656143</v>
      </c>
      <c r="BM58" s="270">
        <f t="shared" si="198"/>
        <v>0</v>
      </c>
      <c r="BN58" s="270">
        <f t="shared" si="198"/>
        <v>0</v>
      </c>
      <c r="BO58" s="270">
        <f t="shared" ref="BO58:CB58" si="199">BO34*$E$34</f>
        <v>0</v>
      </c>
      <c r="BP58" s="270">
        <f t="shared" si="199"/>
        <v>0</v>
      </c>
      <c r="BQ58" s="270">
        <f t="shared" si="199"/>
        <v>0</v>
      </c>
      <c r="BR58" s="270">
        <f t="shared" si="199"/>
        <v>0</v>
      </c>
      <c r="BS58" s="270">
        <f t="shared" si="199"/>
        <v>0</v>
      </c>
      <c r="BT58" s="270">
        <f t="shared" si="199"/>
        <v>0</v>
      </c>
      <c r="BU58" s="270">
        <f t="shared" si="199"/>
        <v>0</v>
      </c>
      <c r="BV58" s="270">
        <f t="shared" si="199"/>
        <v>0</v>
      </c>
      <c r="BW58" s="270">
        <f t="shared" si="199"/>
        <v>0</v>
      </c>
      <c r="BX58" s="270">
        <f t="shared" si="199"/>
        <v>0</v>
      </c>
      <c r="BY58" s="270">
        <f t="shared" si="199"/>
        <v>0</v>
      </c>
      <c r="BZ58" s="270">
        <f t="shared" si="199"/>
        <v>0</v>
      </c>
      <c r="CA58" s="270">
        <f t="shared" si="199"/>
        <v>0</v>
      </c>
      <c r="CB58" s="270">
        <f t="shared" si="199"/>
        <v>0</v>
      </c>
      <c r="CC58" s="270">
        <f t="shared" ref="CC58:DE58" si="200">CC34*$E$34</f>
        <v>0</v>
      </c>
      <c r="CD58" s="270">
        <f t="shared" si="200"/>
        <v>0</v>
      </c>
      <c r="CE58" s="270">
        <f t="shared" si="200"/>
        <v>0</v>
      </c>
      <c r="CF58" s="270">
        <f t="shared" si="200"/>
        <v>0</v>
      </c>
      <c r="CG58" s="270">
        <f t="shared" si="200"/>
        <v>0</v>
      </c>
      <c r="CH58" s="270">
        <f t="shared" si="200"/>
        <v>0</v>
      </c>
      <c r="CI58" s="270">
        <f t="shared" si="200"/>
        <v>0</v>
      </c>
      <c r="CJ58" s="270">
        <f t="shared" si="200"/>
        <v>0</v>
      </c>
      <c r="CK58" s="270">
        <f t="shared" si="200"/>
        <v>0</v>
      </c>
      <c r="CL58" s="270">
        <f t="shared" si="200"/>
        <v>0</v>
      </c>
      <c r="CM58" s="270">
        <f t="shared" si="200"/>
        <v>0</v>
      </c>
      <c r="CN58" s="270">
        <f t="shared" si="200"/>
        <v>0</v>
      </c>
      <c r="CO58" s="270">
        <f t="shared" si="200"/>
        <v>0</v>
      </c>
      <c r="CP58" s="270">
        <f t="shared" si="200"/>
        <v>0</v>
      </c>
      <c r="CQ58" s="270">
        <f t="shared" si="200"/>
        <v>0</v>
      </c>
      <c r="CR58" s="270">
        <f t="shared" si="200"/>
        <v>0</v>
      </c>
      <c r="CS58" s="270">
        <f t="shared" si="200"/>
        <v>0</v>
      </c>
      <c r="CT58" s="270">
        <f t="shared" si="200"/>
        <v>0</v>
      </c>
      <c r="CU58" s="270">
        <f t="shared" si="200"/>
        <v>0</v>
      </c>
      <c r="CV58" s="270">
        <f t="shared" si="200"/>
        <v>0</v>
      </c>
      <c r="CW58" s="270">
        <f t="shared" si="200"/>
        <v>0</v>
      </c>
      <c r="CX58" s="270">
        <f t="shared" si="200"/>
        <v>0</v>
      </c>
      <c r="CY58" s="270">
        <f t="shared" si="200"/>
        <v>0</v>
      </c>
      <c r="CZ58" s="270">
        <f t="shared" si="200"/>
        <v>0</v>
      </c>
      <c r="DA58" s="270">
        <f t="shared" si="200"/>
        <v>0</v>
      </c>
      <c r="DB58" s="270">
        <f t="shared" si="200"/>
        <v>0</v>
      </c>
      <c r="DC58" s="270">
        <f t="shared" si="200"/>
        <v>0</v>
      </c>
      <c r="DD58" s="270">
        <f t="shared" si="200"/>
        <v>0</v>
      </c>
      <c r="DE58" s="140">
        <f t="shared" si="200"/>
        <v>0</v>
      </c>
    </row>
    <row r="59" spans="2:109">
      <c r="B59" s="357" t="s">
        <v>186</v>
      </c>
      <c r="E59" s="270">
        <f t="shared" si="168"/>
        <v>37950</v>
      </c>
      <c r="F59" s="270"/>
      <c r="I59" s="270">
        <f t="shared" ref="I59:AN59" si="201">I35*$E$35</f>
        <v>37950</v>
      </c>
      <c r="J59" s="270">
        <f t="shared" si="201"/>
        <v>0</v>
      </c>
      <c r="K59" s="270">
        <f t="shared" si="201"/>
        <v>0</v>
      </c>
      <c r="L59" s="270">
        <f t="shared" si="201"/>
        <v>0</v>
      </c>
      <c r="M59" s="270">
        <f t="shared" si="201"/>
        <v>0</v>
      </c>
      <c r="N59" s="270">
        <f t="shared" si="201"/>
        <v>0</v>
      </c>
      <c r="O59" s="270">
        <f t="shared" si="201"/>
        <v>0</v>
      </c>
      <c r="P59" s="270">
        <f t="shared" si="201"/>
        <v>0</v>
      </c>
      <c r="Q59" s="270">
        <f t="shared" si="201"/>
        <v>0</v>
      </c>
      <c r="R59" s="270">
        <f t="shared" si="201"/>
        <v>0</v>
      </c>
      <c r="S59" s="270">
        <f t="shared" si="201"/>
        <v>0</v>
      </c>
      <c r="T59" s="270">
        <f t="shared" si="201"/>
        <v>0</v>
      </c>
      <c r="U59" s="270">
        <f t="shared" si="201"/>
        <v>0</v>
      </c>
      <c r="V59" s="270">
        <f t="shared" si="201"/>
        <v>0</v>
      </c>
      <c r="W59" s="270">
        <f t="shared" si="201"/>
        <v>0</v>
      </c>
      <c r="X59" s="270">
        <f t="shared" si="201"/>
        <v>0</v>
      </c>
      <c r="Y59" s="270">
        <f t="shared" si="201"/>
        <v>0</v>
      </c>
      <c r="Z59" s="270">
        <f t="shared" si="201"/>
        <v>0</v>
      </c>
      <c r="AA59" s="270">
        <f t="shared" si="201"/>
        <v>0</v>
      </c>
      <c r="AB59" s="270">
        <f t="shared" si="201"/>
        <v>0</v>
      </c>
      <c r="AC59" s="270">
        <f t="shared" si="201"/>
        <v>0</v>
      </c>
      <c r="AD59" s="270">
        <f t="shared" si="201"/>
        <v>0</v>
      </c>
      <c r="AE59" s="270">
        <f t="shared" si="201"/>
        <v>0</v>
      </c>
      <c r="AF59" s="270">
        <f t="shared" si="201"/>
        <v>0</v>
      </c>
      <c r="AG59" s="270">
        <f t="shared" si="201"/>
        <v>0</v>
      </c>
      <c r="AH59" s="270">
        <f t="shared" si="201"/>
        <v>0</v>
      </c>
      <c r="AI59" s="270">
        <f t="shared" si="201"/>
        <v>0</v>
      </c>
      <c r="AJ59" s="270">
        <f t="shared" si="201"/>
        <v>0</v>
      </c>
      <c r="AK59" s="270">
        <f t="shared" si="201"/>
        <v>0</v>
      </c>
      <c r="AL59" s="270">
        <f t="shared" si="201"/>
        <v>0</v>
      </c>
      <c r="AM59" s="270">
        <f t="shared" si="201"/>
        <v>0</v>
      </c>
      <c r="AN59" s="270">
        <f t="shared" si="201"/>
        <v>0</v>
      </c>
      <c r="AO59" s="270">
        <f t="shared" ref="AO59:BN59" si="202">AO35*$E$35</f>
        <v>0</v>
      </c>
      <c r="AP59" s="270">
        <f t="shared" si="202"/>
        <v>0</v>
      </c>
      <c r="AQ59" s="270">
        <f t="shared" si="202"/>
        <v>0</v>
      </c>
      <c r="AR59" s="270">
        <f t="shared" si="202"/>
        <v>0</v>
      </c>
      <c r="AS59" s="270">
        <f t="shared" si="202"/>
        <v>0</v>
      </c>
      <c r="AT59" s="270">
        <f t="shared" si="202"/>
        <v>0</v>
      </c>
      <c r="AU59" s="270">
        <f t="shared" si="202"/>
        <v>0</v>
      </c>
      <c r="AV59" s="270">
        <f t="shared" si="202"/>
        <v>0</v>
      </c>
      <c r="AW59" s="270">
        <f t="shared" si="202"/>
        <v>0</v>
      </c>
      <c r="AX59" s="270">
        <f t="shared" si="202"/>
        <v>0</v>
      </c>
      <c r="AY59" s="270">
        <f t="shared" si="202"/>
        <v>0</v>
      </c>
      <c r="AZ59" s="270">
        <f t="shared" si="202"/>
        <v>0</v>
      </c>
      <c r="BA59" s="270">
        <f t="shared" si="202"/>
        <v>0</v>
      </c>
      <c r="BB59" s="270">
        <f t="shared" si="202"/>
        <v>0</v>
      </c>
      <c r="BC59" s="270">
        <f t="shared" si="202"/>
        <v>0</v>
      </c>
      <c r="BD59" s="270">
        <f t="shared" si="202"/>
        <v>0</v>
      </c>
      <c r="BE59" s="270">
        <f t="shared" si="202"/>
        <v>0</v>
      </c>
      <c r="BF59" s="270">
        <f t="shared" si="202"/>
        <v>0</v>
      </c>
      <c r="BG59" s="270">
        <f t="shared" si="202"/>
        <v>0</v>
      </c>
      <c r="BH59" s="270">
        <f t="shared" si="202"/>
        <v>0</v>
      </c>
      <c r="BI59" s="270">
        <f t="shared" si="202"/>
        <v>0</v>
      </c>
      <c r="BJ59" s="270">
        <f t="shared" si="202"/>
        <v>0</v>
      </c>
      <c r="BK59" s="270">
        <f t="shared" si="202"/>
        <v>0</v>
      </c>
      <c r="BL59" s="270">
        <f t="shared" si="202"/>
        <v>0</v>
      </c>
      <c r="BM59" s="270">
        <f t="shared" si="202"/>
        <v>0</v>
      </c>
      <c r="BN59" s="270">
        <f t="shared" si="202"/>
        <v>0</v>
      </c>
      <c r="BO59" s="270">
        <f t="shared" ref="BO59:CB59" si="203">BO35*$E$35</f>
        <v>0</v>
      </c>
      <c r="BP59" s="270">
        <f t="shared" si="203"/>
        <v>0</v>
      </c>
      <c r="BQ59" s="270">
        <f t="shared" si="203"/>
        <v>0</v>
      </c>
      <c r="BR59" s="270">
        <f t="shared" si="203"/>
        <v>0</v>
      </c>
      <c r="BS59" s="270">
        <f t="shared" si="203"/>
        <v>0</v>
      </c>
      <c r="BT59" s="270">
        <f t="shared" si="203"/>
        <v>0</v>
      </c>
      <c r="BU59" s="270">
        <f t="shared" si="203"/>
        <v>0</v>
      </c>
      <c r="BV59" s="270">
        <f t="shared" si="203"/>
        <v>0</v>
      </c>
      <c r="BW59" s="270">
        <f t="shared" si="203"/>
        <v>0</v>
      </c>
      <c r="BX59" s="270">
        <f t="shared" si="203"/>
        <v>0</v>
      </c>
      <c r="BY59" s="270">
        <f t="shared" si="203"/>
        <v>0</v>
      </c>
      <c r="BZ59" s="270">
        <f t="shared" si="203"/>
        <v>0</v>
      </c>
      <c r="CA59" s="270">
        <f t="shared" si="203"/>
        <v>0</v>
      </c>
      <c r="CB59" s="270">
        <f t="shared" si="203"/>
        <v>0</v>
      </c>
      <c r="CC59" s="270">
        <f t="shared" ref="CC59:DE59" si="204">CC35*$E$35</f>
        <v>0</v>
      </c>
      <c r="CD59" s="270">
        <f t="shared" si="204"/>
        <v>0</v>
      </c>
      <c r="CE59" s="270">
        <f t="shared" si="204"/>
        <v>0</v>
      </c>
      <c r="CF59" s="270">
        <f t="shared" si="204"/>
        <v>0</v>
      </c>
      <c r="CG59" s="270">
        <f t="shared" si="204"/>
        <v>0</v>
      </c>
      <c r="CH59" s="270">
        <f t="shared" si="204"/>
        <v>0</v>
      </c>
      <c r="CI59" s="270">
        <f t="shared" si="204"/>
        <v>0</v>
      </c>
      <c r="CJ59" s="270">
        <f t="shared" si="204"/>
        <v>0</v>
      </c>
      <c r="CK59" s="270">
        <f t="shared" si="204"/>
        <v>0</v>
      </c>
      <c r="CL59" s="270">
        <f t="shared" si="204"/>
        <v>0</v>
      </c>
      <c r="CM59" s="270">
        <f t="shared" si="204"/>
        <v>0</v>
      </c>
      <c r="CN59" s="270">
        <f t="shared" si="204"/>
        <v>0</v>
      </c>
      <c r="CO59" s="270">
        <f t="shared" si="204"/>
        <v>0</v>
      </c>
      <c r="CP59" s="270">
        <f t="shared" si="204"/>
        <v>0</v>
      </c>
      <c r="CQ59" s="270">
        <f t="shared" si="204"/>
        <v>0</v>
      </c>
      <c r="CR59" s="270">
        <f t="shared" si="204"/>
        <v>0</v>
      </c>
      <c r="CS59" s="270">
        <f t="shared" si="204"/>
        <v>0</v>
      </c>
      <c r="CT59" s="270">
        <f t="shared" si="204"/>
        <v>0</v>
      </c>
      <c r="CU59" s="270">
        <f t="shared" si="204"/>
        <v>0</v>
      </c>
      <c r="CV59" s="270">
        <f t="shared" si="204"/>
        <v>0</v>
      </c>
      <c r="CW59" s="270">
        <f t="shared" si="204"/>
        <v>0</v>
      </c>
      <c r="CX59" s="270">
        <f t="shared" si="204"/>
        <v>0</v>
      </c>
      <c r="CY59" s="270">
        <f t="shared" si="204"/>
        <v>0</v>
      </c>
      <c r="CZ59" s="270">
        <f t="shared" si="204"/>
        <v>0</v>
      </c>
      <c r="DA59" s="270">
        <f t="shared" si="204"/>
        <v>0</v>
      </c>
      <c r="DB59" s="270">
        <f t="shared" si="204"/>
        <v>0</v>
      </c>
      <c r="DC59" s="270">
        <f t="shared" si="204"/>
        <v>0</v>
      </c>
      <c r="DD59" s="270">
        <f t="shared" si="204"/>
        <v>0</v>
      </c>
      <c r="DE59" s="140">
        <f t="shared" si="204"/>
        <v>0</v>
      </c>
    </row>
    <row r="60" spans="2:109">
      <c r="B60" s="357" t="s">
        <v>187</v>
      </c>
      <c r="E60" s="270">
        <f t="shared" si="168"/>
        <v>42587.5</v>
      </c>
      <c r="F60" s="270"/>
      <c r="I60" s="270">
        <f t="shared" ref="I60:AN60" si="205">I36*$E$36</f>
        <v>42587.5</v>
      </c>
      <c r="J60" s="270">
        <f t="shared" si="205"/>
        <v>0</v>
      </c>
      <c r="K60" s="270">
        <f t="shared" si="205"/>
        <v>0</v>
      </c>
      <c r="L60" s="270">
        <f t="shared" si="205"/>
        <v>0</v>
      </c>
      <c r="M60" s="270">
        <f t="shared" si="205"/>
        <v>0</v>
      </c>
      <c r="N60" s="270">
        <f t="shared" si="205"/>
        <v>0</v>
      </c>
      <c r="O60" s="270">
        <f t="shared" si="205"/>
        <v>0</v>
      </c>
      <c r="P60" s="270">
        <f t="shared" si="205"/>
        <v>0</v>
      </c>
      <c r="Q60" s="270">
        <f t="shared" si="205"/>
        <v>0</v>
      </c>
      <c r="R60" s="270">
        <f t="shared" si="205"/>
        <v>0</v>
      </c>
      <c r="S60" s="270">
        <f t="shared" si="205"/>
        <v>0</v>
      </c>
      <c r="T60" s="270">
        <f t="shared" si="205"/>
        <v>0</v>
      </c>
      <c r="U60" s="270">
        <f t="shared" si="205"/>
        <v>0</v>
      </c>
      <c r="V60" s="270">
        <f t="shared" si="205"/>
        <v>0</v>
      </c>
      <c r="W60" s="270">
        <f t="shared" si="205"/>
        <v>0</v>
      </c>
      <c r="X60" s="270">
        <f t="shared" si="205"/>
        <v>0</v>
      </c>
      <c r="Y60" s="270">
        <f t="shared" si="205"/>
        <v>0</v>
      </c>
      <c r="Z60" s="270">
        <f t="shared" si="205"/>
        <v>0</v>
      </c>
      <c r="AA60" s="270">
        <f t="shared" si="205"/>
        <v>0</v>
      </c>
      <c r="AB60" s="270">
        <f t="shared" si="205"/>
        <v>0</v>
      </c>
      <c r="AC60" s="270">
        <f t="shared" si="205"/>
        <v>0</v>
      </c>
      <c r="AD60" s="270">
        <f t="shared" si="205"/>
        <v>0</v>
      </c>
      <c r="AE60" s="270">
        <f t="shared" si="205"/>
        <v>0</v>
      </c>
      <c r="AF60" s="270">
        <f t="shared" si="205"/>
        <v>0</v>
      </c>
      <c r="AG60" s="270">
        <f t="shared" si="205"/>
        <v>0</v>
      </c>
      <c r="AH60" s="270">
        <f t="shared" si="205"/>
        <v>0</v>
      </c>
      <c r="AI60" s="270">
        <f t="shared" si="205"/>
        <v>0</v>
      </c>
      <c r="AJ60" s="270">
        <f t="shared" si="205"/>
        <v>0</v>
      </c>
      <c r="AK60" s="270">
        <f t="shared" si="205"/>
        <v>0</v>
      </c>
      <c r="AL60" s="270">
        <f t="shared" si="205"/>
        <v>0</v>
      </c>
      <c r="AM60" s="270">
        <f t="shared" si="205"/>
        <v>0</v>
      </c>
      <c r="AN60" s="270">
        <f t="shared" si="205"/>
        <v>0</v>
      </c>
      <c r="AO60" s="270">
        <f t="shared" ref="AO60:BN60" si="206">AO36*$E$36</f>
        <v>0</v>
      </c>
      <c r="AP60" s="270">
        <f t="shared" si="206"/>
        <v>0</v>
      </c>
      <c r="AQ60" s="270">
        <f t="shared" si="206"/>
        <v>0</v>
      </c>
      <c r="AR60" s="270">
        <f t="shared" si="206"/>
        <v>0</v>
      </c>
      <c r="AS60" s="270">
        <f t="shared" si="206"/>
        <v>0</v>
      </c>
      <c r="AT60" s="270">
        <f t="shared" si="206"/>
        <v>0</v>
      </c>
      <c r="AU60" s="270">
        <f t="shared" si="206"/>
        <v>0</v>
      </c>
      <c r="AV60" s="270">
        <f t="shared" si="206"/>
        <v>0</v>
      </c>
      <c r="AW60" s="270">
        <f t="shared" si="206"/>
        <v>0</v>
      </c>
      <c r="AX60" s="270">
        <f t="shared" si="206"/>
        <v>0</v>
      </c>
      <c r="AY60" s="270">
        <f t="shared" si="206"/>
        <v>0</v>
      </c>
      <c r="AZ60" s="270">
        <f t="shared" si="206"/>
        <v>0</v>
      </c>
      <c r="BA60" s="270">
        <f t="shared" si="206"/>
        <v>0</v>
      </c>
      <c r="BB60" s="270">
        <f t="shared" si="206"/>
        <v>0</v>
      </c>
      <c r="BC60" s="270">
        <f t="shared" si="206"/>
        <v>0</v>
      </c>
      <c r="BD60" s="270">
        <f t="shared" si="206"/>
        <v>0</v>
      </c>
      <c r="BE60" s="270">
        <f t="shared" si="206"/>
        <v>0</v>
      </c>
      <c r="BF60" s="270">
        <f t="shared" si="206"/>
        <v>0</v>
      </c>
      <c r="BG60" s="270">
        <f t="shared" si="206"/>
        <v>0</v>
      </c>
      <c r="BH60" s="270">
        <f t="shared" si="206"/>
        <v>0</v>
      </c>
      <c r="BI60" s="270">
        <f t="shared" si="206"/>
        <v>0</v>
      </c>
      <c r="BJ60" s="270">
        <f t="shared" si="206"/>
        <v>0</v>
      </c>
      <c r="BK60" s="270">
        <f t="shared" si="206"/>
        <v>0</v>
      </c>
      <c r="BL60" s="270">
        <f t="shared" si="206"/>
        <v>0</v>
      </c>
      <c r="BM60" s="270">
        <f t="shared" si="206"/>
        <v>0</v>
      </c>
      <c r="BN60" s="270">
        <f t="shared" si="206"/>
        <v>0</v>
      </c>
      <c r="BO60" s="270">
        <f t="shared" ref="BO60:CB60" si="207">BO36*$E$36</f>
        <v>0</v>
      </c>
      <c r="BP60" s="270">
        <f t="shared" si="207"/>
        <v>0</v>
      </c>
      <c r="BQ60" s="270">
        <f t="shared" si="207"/>
        <v>0</v>
      </c>
      <c r="BR60" s="270">
        <f t="shared" si="207"/>
        <v>0</v>
      </c>
      <c r="BS60" s="270">
        <f t="shared" si="207"/>
        <v>0</v>
      </c>
      <c r="BT60" s="270">
        <f t="shared" si="207"/>
        <v>0</v>
      </c>
      <c r="BU60" s="270">
        <f t="shared" si="207"/>
        <v>0</v>
      </c>
      <c r="BV60" s="270">
        <f t="shared" si="207"/>
        <v>0</v>
      </c>
      <c r="BW60" s="270">
        <f t="shared" si="207"/>
        <v>0</v>
      </c>
      <c r="BX60" s="270">
        <f t="shared" si="207"/>
        <v>0</v>
      </c>
      <c r="BY60" s="270">
        <f t="shared" si="207"/>
        <v>0</v>
      </c>
      <c r="BZ60" s="270">
        <f t="shared" si="207"/>
        <v>0</v>
      </c>
      <c r="CA60" s="270">
        <f t="shared" si="207"/>
        <v>0</v>
      </c>
      <c r="CB60" s="270">
        <f t="shared" si="207"/>
        <v>0</v>
      </c>
      <c r="CC60" s="270">
        <f t="shared" ref="CC60:DE60" si="208">CC36*$E$36</f>
        <v>0</v>
      </c>
      <c r="CD60" s="270">
        <f t="shared" si="208"/>
        <v>0</v>
      </c>
      <c r="CE60" s="270">
        <f t="shared" si="208"/>
        <v>0</v>
      </c>
      <c r="CF60" s="270">
        <f t="shared" si="208"/>
        <v>0</v>
      </c>
      <c r="CG60" s="270">
        <f t="shared" si="208"/>
        <v>0</v>
      </c>
      <c r="CH60" s="270">
        <f t="shared" si="208"/>
        <v>0</v>
      </c>
      <c r="CI60" s="270">
        <f t="shared" si="208"/>
        <v>0</v>
      </c>
      <c r="CJ60" s="270">
        <f t="shared" si="208"/>
        <v>0</v>
      </c>
      <c r="CK60" s="270">
        <f t="shared" si="208"/>
        <v>0</v>
      </c>
      <c r="CL60" s="270">
        <f t="shared" si="208"/>
        <v>0</v>
      </c>
      <c r="CM60" s="270">
        <f t="shared" si="208"/>
        <v>0</v>
      </c>
      <c r="CN60" s="270">
        <f t="shared" si="208"/>
        <v>0</v>
      </c>
      <c r="CO60" s="270">
        <f t="shared" si="208"/>
        <v>0</v>
      </c>
      <c r="CP60" s="270">
        <f t="shared" si="208"/>
        <v>0</v>
      </c>
      <c r="CQ60" s="270">
        <f t="shared" si="208"/>
        <v>0</v>
      </c>
      <c r="CR60" s="270">
        <f t="shared" si="208"/>
        <v>0</v>
      </c>
      <c r="CS60" s="270">
        <f t="shared" si="208"/>
        <v>0</v>
      </c>
      <c r="CT60" s="270">
        <f t="shared" si="208"/>
        <v>0</v>
      </c>
      <c r="CU60" s="270">
        <f t="shared" si="208"/>
        <v>0</v>
      </c>
      <c r="CV60" s="270">
        <f t="shared" si="208"/>
        <v>0</v>
      </c>
      <c r="CW60" s="270">
        <f t="shared" si="208"/>
        <v>0</v>
      </c>
      <c r="CX60" s="270">
        <f t="shared" si="208"/>
        <v>0</v>
      </c>
      <c r="CY60" s="270">
        <f t="shared" si="208"/>
        <v>0</v>
      </c>
      <c r="CZ60" s="270">
        <f t="shared" si="208"/>
        <v>0</v>
      </c>
      <c r="DA60" s="270">
        <f t="shared" si="208"/>
        <v>0</v>
      </c>
      <c r="DB60" s="270">
        <f t="shared" si="208"/>
        <v>0</v>
      </c>
      <c r="DC60" s="270">
        <f t="shared" si="208"/>
        <v>0</v>
      </c>
      <c r="DD60" s="270">
        <f t="shared" si="208"/>
        <v>0</v>
      </c>
      <c r="DE60" s="140">
        <f t="shared" si="208"/>
        <v>0</v>
      </c>
    </row>
    <row r="61" spans="2:109">
      <c r="B61" s="357" t="s">
        <v>188</v>
      </c>
      <c r="E61" s="270">
        <f t="shared" si="168"/>
        <v>261124</v>
      </c>
      <c r="F61" s="270"/>
      <c r="I61" s="270">
        <f t="shared" ref="I61:AN61" si="209">I37*$E$37</f>
        <v>261124</v>
      </c>
      <c r="J61" s="270">
        <f t="shared" si="209"/>
        <v>0</v>
      </c>
      <c r="K61" s="270">
        <f t="shared" si="209"/>
        <v>0</v>
      </c>
      <c r="L61" s="270">
        <f t="shared" si="209"/>
        <v>0</v>
      </c>
      <c r="M61" s="270">
        <f t="shared" si="209"/>
        <v>0</v>
      </c>
      <c r="N61" s="270">
        <f t="shared" si="209"/>
        <v>0</v>
      </c>
      <c r="O61" s="270">
        <f t="shared" si="209"/>
        <v>0</v>
      </c>
      <c r="P61" s="270">
        <f t="shared" si="209"/>
        <v>0</v>
      </c>
      <c r="Q61" s="270">
        <f t="shared" si="209"/>
        <v>0</v>
      </c>
      <c r="R61" s="270">
        <f t="shared" si="209"/>
        <v>0</v>
      </c>
      <c r="S61" s="270">
        <f t="shared" si="209"/>
        <v>0</v>
      </c>
      <c r="T61" s="270">
        <f t="shared" si="209"/>
        <v>0</v>
      </c>
      <c r="U61" s="270">
        <f t="shared" si="209"/>
        <v>0</v>
      </c>
      <c r="V61" s="270">
        <f t="shared" si="209"/>
        <v>0</v>
      </c>
      <c r="W61" s="270">
        <f t="shared" si="209"/>
        <v>0</v>
      </c>
      <c r="X61" s="270">
        <f t="shared" si="209"/>
        <v>0</v>
      </c>
      <c r="Y61" s="270">
        <f t="shared" si="209"/>
        <v>0</v>
      </c>
      <c r="Z61" s="270">
        <f t="shared" si="209"/>
        <v>0</v>
      </c>
      <c r="AA61" s="270">
        <f t="shared" si="209"/>
        <v>0</v>
      </c>
      <c r="AB61" s="270">
        <f t="shared" si="209"/>
        <v>0</v>
      </c>
      <c r="AC61" s="270">
        <f t="shared" si="209"/>
        <v>0</v>
      </c>
      <c r="AD61" s="270">
        <f t="shared" si="209"/>
        <v>0</v>
      </c>
      <c r="AE61" s="270">
        <f t="shared" si="209"/>
        <v>0</v>
      </c>
      <c r="AF61" s="270">
        <f t="shared" si="209"/>
        <v>0</v>
      </c>
      <c r="AG61" s="270">
        <f t="shared" si="209"/>
        <v>0</v>
      </c>
      <c r="AH61" s="270">
        <f t="shared" si="209"/>
        <v>0</v>
      </c>
      <c r="AI61" s="270">
        <f t="shared" si="209"/>
        <v>0</v>
      </c>
      <c r="AJ61" s="270">
        <f t="shared" si="209"/>
        <v>0</v>
      </c>
      <c r="AK61" s="270">
        <f t="shared" si="209"/>
        <v>0</v>
      </c>
      <c r="AL61" s="270">
        <f t="shared" si="209"/>
        <v>0</v>
      </c>
      <c r="AM61" s="270">
        <f t="shared" si="209"/>
        <v>0</v>
      </c>
      <c r="AN61" s="270">
        <f t="shared" si="209"/>
        <v>0</v>
      </c>
      <c r="AO61" s="270">
        <f t="shared" ref="AO61:BN61" si="210">AO37*$E$37</f>
        <v>0</v>
      </c>
      <c r="AP61" s="270">
        <f t="shared" si="210"/>
        <v>0</v>
      </c>
      <c r="AQ61" s="270">
        <f t="shared" si="210"/>
        <v>0</v>
      </c>
      <c r="AR61" s="270">
        <f t="shared" si="210"/>
        <v>0</v>
      </c>
      <c r="AS61" s="270">
        <f t="shared" si="210"/>
        <v>0</v>
      </c>
      <c r="AT61" s="270">
        <f t="shared" si="210"/>
        <v>0</v>
      </c>
      <c r="AU61" s="270">
        <f t="shared" si="210"/>
        <v>0</v>
      </c>
      <c r="AV61" s="270">
        <f t="shared" si="210"/>
        <v>0</v>
      </c>
      <c r="AW61" s="270">
        <f t="shared" si="210"/>
        <v>0</v>
      </c>
      <c r="AX61" s="270">
        <f t="shared" si="210"/>
        <v>0</v>
      </c>
      <c r="AY61" s="270">
        <f t="shared" si="210"/>
        <v>0</v>
      </c>
      <c r="AZ61" s="270">
        <f t="shared" si="210"/>
        <v>0</v>
      </c>
      <c r="BA61" s="270">
        <f t="shared" si="210"/>
        <v>0</v>
      </c>
      <c r="BB61" s="270">
        <f t="shared" si="210"/>
        <v>0</v>
      </c>
      <c r="BC61" s="270">
        <f t="shared" si="210"/>
        <v>0</v>
      </c>
      <c r="BD61" s="270">
        <f t="shared" si="210"/>
        <v>0</v>
      </c>
      <c r="BE61" s="270">
        <f t="shared" si="210"/>
        <v>0</v>
      </c>
      <c r="BF61" s="270">
        <f t="shared" si="210"/>
        <v>0</v>
      </c>
      <c r="BG61" s="270">
        <f t="shared" si="210"/>
        <v>0</v>
      </c>
      <c r="BH61" s="270">
        <f t="shared" si="210"/>
        <v>0</v>
      </c>
      <c r="BI61" s="270">
        <f t="shared" si="210"/>
        <v>0</v>
      </c>
      <c r="BJ61" s="270">
        <f t="shared" si="210"/>
        <v>0</v>
      </c>
      <c r="BK61" s="270">
        <f t="shared" si="210"/>
        <v>0</v>
      </c>
      <c r="BL61" s="270">
        <f t="shared" si="210"/>
        <v>0</v>
      </c>
      <c r="BM61" s="270">
        <f t="shared" si="210"/>
        <v>0</v>
      </c>
      <c r="BN61" s="270">
        <f t="shared" si="210"/>
        <v>0</v>
      </c>
      <c r="BO61" s="270">
        <f t="shared" ref="BO61:CB61" si="211">BO37*$E$37</f>
        <v>0</v>
      </c>
      <c r="BP61" s="270">
        <f t="shared" si="211"/>
        <v>0</v>
      </c>
      <c r="BQ61" s="270">
        <f t="shared" si="211"/>
        <v>0</v>
      </c>
      <c r="BR61" s="270">
        <f t="shared" si="211"/>
        <v>0</v>
      </c>
      <c r="BS61" s="270">
        <f t="shared" si="211"/>
        <v>0</v>
      </c>
      <c r="BT61" s="270">
        <f t="shared" si="211"/>
        <v>0</v>
      </c>
      <c r="BU61" s="270">
        <f t="shared" si="211"/>
        <v>0</v>
      </c>
      <c r="BV61" s="270">
        <f t="shared" si="211"/>
        <v>0</v>
      </c>
      <c r="BW61" s="270">
        <f t="shared" si="211"/>
        <v>0</v>
      </c>
      <c r="BX61" s="270">
        <f t="shared" si="211"/>
        <v>0</v>
      </c>
      <c r="BY61" s="270">
        <f t="shared" si="211"/>
        <v>0</v>
      </c>
      <c r="BZ61" s="270">
        <f t="shared" si="211"/>
        <v>0</v>
      </c>
      <c r="CA61" s="270">
        <f t="shared" si="211"/>
        <v>0</v>
      </c>
      <c r="CB61" s="270">
        <f t="shared" si="211"/>
        <v>0</v>
      </c>
      <c r="CC61" s="270">
        <f t="shared" ref="CC61:DE61" si="212">CC37*$E$37</f>
        <v>0</v>
      </c>
      <c r="CD61" s="270">
        <f t="shared" si="212"/>
        <v>0</v>
      </c>
      <c r="CE61" s="270">
        <f t="shared" si="212"/>
        <v>0</v>
      </c>
      <c r="CF61" s="270">
        <f t="shared" si="212"/>
        <v>0</v>
      </c>
      <c r="CG61" s="270">
        <f t="shared" si="212"/>
        <v>0</v>
      </c>
      <c r="CH61" s="270">
        <f t="shared" si="212"/>
        <v>0</v>
      </c>
      <c r="CI61" s="270">
        <f t="shared" si="212"/>
        <v>0</v>
      </c>
      <c r="CJ61" s="270">
        <f t="shared" si="212"/>
        <v>0</v>
      </c>
      <c r="CK61" s="270">
        <f t="shared" si="212"/>
        <v>0</v>
      </c>
      <c r="CL61" s="270">
        <f t="shared" si="212"/>
        <v>0</v>
      </c>
      <c r="CM61" s="270">
        <f t="shared" si="212"/>
        <v>0</v>
      </c>
      <c r="CN61" s="270">
        <f t="shared" si="212"/>
        <v>0</v>
      </c>
      <c r="CO61" s="270">
        <f t="shared" si="212"/>
        <v>0</v>
      </c>
      <c r="CP61" s="270">
        <f t="shared" si="212"/>
        <v>0</v>
      </c>
      <c r="CQ61" s="270">
        <f t="shared" si="212"/>
        <v>0</v>
      </c>
      <c r="CR61" s="270">
        <f t="shared" si="212"/>
        <v>0</v>
      </c>
      <c r="CS61" s="270">
        <f t="shared" si="212"/>
        <v>0</v>
      </c>
      <c r="CT61" s="270">
        <f t="shared" si="212"/>
        <v>0</v>
      </c>
      <c r="CU61" s="270">
        <f t="shared" si="212"/>
        <v>0</v>
      </c>
      <c r="CV61" s="270">
        <f t="shared" si="212"/>
        <v>0</v>
      </c>
      <c r="CW61" s="270">
        <f t="shared" si="212"/>
        <v>0</v>
      </c>
      <c r="CX61" s="270">
        <f t="shared" si="212"/>
        <v>0</v>
      </c>
      <c r="CY61" s="270">
        <f t="shared" si="212"/>
        <v>0</v>
      </c>
      <c r="CZ61" s="270">
        <f t="shared" si="212"/>
        <v>0</v>
      </c>
      <c r="DA61" s="270">
        <f t="shared" si="212"/>
        <v>0</v>
      </c>
      <c r="DB61" s="270">
        <f t="shared" si="212"/>
        <v>0</v>
      </c>
      <c r="DC61" s="270">
        <f t="shared" si="212"/>
        <v>0</v>
      </c>
      <c r="DD61" s="270">
        <f t="shared" si="212"/>
        <v>0</v>
      </c>
      <c r="DE61" s="140">
        <f t="shared" si="212"/>
        <v>0</v>
      </c>
    </row>
    <row r="62" spans="2:109">
      <c r="B62" s="357" t="s">
        <v>189</v>
      </c>
      <c r="D62" s="138"/>
      <c r="E62" s="270">
        <f t="shared" si="168"/>
        <v>0</v>
      </c>
      <c r="F62" s="270"/>
      <c r="I62" s="270">
        <f t="shared" ref="I62:AN62" si="213">I38*$E$38</f>
        <v>0</v>
      </c>
      <c r="J62" s="270">
        <f t="shared" si="213"/>
        <v>0</v>
      </c>
      <c r="K62" s="270">
        <f t="shared" si="213"/>
        <v>0</v>
      </c>
      <c r="L62" s="270">
        <f t="shared" si="213"/>
        <v>0</v>
      </c>
      <c r="M62" s="270">
        <f t="shared" si="213"/>
        <v>0</v>
      </c>
      <c r="N62" s="270">
        <f t="shared" si="213"/>
        <v>0</v>
      </c>
      <c r="O62" s="270">
        <f t="shared" si="213"/>
        <v>0</v>
      </c>
      <c r="P62" s="270">
        <f t="shared" si="213"/>
        <v>0</v>
      </c>
      <c r="Q62" s="270">
        <f t="shared" si="213"/>
        <v>0</v>
      </c>
      <c r="R62" s="270">
        <f t="shared" si="213"/>
        <v>0</v>
      </c>
      <c r="S62" s="270">
        <f t="shared" si="213"/>
        <v>0</v>
      </c>
      <c r="T62" s="270">
        <f t="shared" si="213"/>
        <v>0</v>
      </c>
      <c r="U62" s="270">
        <f t="shared" si="213"/>
        <v>0</v>
      </c>
      <c r="V62" s="270">
        <f t="shared" si="213"/>
        <v>0</v>
      </c>
      <c r="W62" s="270">
        <f t="shared" si="213"/>
        <v>0</v>
      </c>
      <c r="X62" s="270">
        <f t="shared" si="213"/>
        <v>0</v>
      </c>
      <c r="Y62" s="270">
        <f t="shared" si="213"/>
        <v>0</v>
      </c>
      <c r="Z62" s="270">
        <f t="shared" si="213"/>
        <v>0</v>
      </c>
      <c r="AA62" s="270">
        <f t="shared" si="213"/>
        <v>0</v>
      </c>
      <c r="AB62" s="270">
        <f t="shared" si="213"/>
        <v>0</v>
      </c>
      <c r="AC62" s="270">
        <f t="shared" si="213"/>
        <v>0</v>
      </c>
      <c r="AD62" s="270">
        <f t="shared" si="213"/>
        <v>0</v>
      </c>
      <c r="AE62" s="270">
        <f t="shared" si="213"/>
        <v>0</v>
      </c>
      <c r="AF62" s="270">
        <f t="shared" si="213"/>
        <v>0</v>
      </c>
      <c r="AG62" s="270">
        <f t="shared" si="213"/>
        <v>0</v>
      </c>
      <c r="AH62" s="270">
        <f t="shared" si="213"/>
        <v>0</v>
      </c>
      <c r="AI62" s="270">
        <f t="shared" si="213"/>
        <v>0</v>
      </c>
      <c r="AJ62" s="270">
        <f t="shared" si="213"/>
        <v>0</v>
      </c>
      <c r="AK62" s="270">
        <f t="shared" si="213"/>
        <v>0</v>
      </c>
      <c r="AL62" s="270">
        <f t="shared" si="213"/>
        <v>0</v>
      </c>
      <c r="AM62" s="270">
        <f t="shared" si="213"/>
        <v>0</v>
      </c>
      <c r="AN62" s="270">
        <f t="shared" si="213"/>
        <v>0</v>
      </c>
      <c r="AO62" s="270">
        <f t="shared" ref="AO62:BN62" si="214">AO38*$E$38</f>
        <v>0</v>
      </c>
      <c r="AP62" s="270">
        <f t="shared" si="214"/>
        <v>0</v>
      </c>
      <c r="AQ62" s="270">
        <f t="shared" si="214"/>
        <v>0</v>
      </c>
      <c r="AR62" s="270">
        <f t="shared" si="214"/>
        <v>0</v>
      </c>
      <c r="AS62" s="270">
        <f t="shared" si="214"/>
        <v>0</v>
      </c>
      <c r="AT62" s="270">
        <f t="shared" si="214"/>
        <v>0</v>
      </c>
      <c r="AU62" s="270">
        <f t="shared" si="214"/>
        <v>0</v>
      </c>
      <c r="AV62" s="270">
        <f t="shared" si="214"/>
        <v>0</v>
      </c>
      <c r="AW62" s="270">
        <f t="shared" si="214"/>
        <v>0</v>
      </c>
      <c r="AX62" s="270">
        <f t="shared" si="214"/>
        <v>0</v>
      </c>
      <c r="AY62" s="270">
        <f t="shared" si="214"/>
        <v>0</v>
      </c>
      <c r="AZ62" s="270">
        <f t="shared" si="214"/>
        <v>0</v>
      </c>
      <c r="BA62" s="270">
        <f t="shared" si="214"/>
        <v>0</v>
      </c>
      <c r="BB62" s="270">
        <f t="shared" si="214"/>
        <v>0</v>
      </c>
      <c r="BC62" s="270">
        <f t="shared" si="214"/>
        <v>0</v>
      </c>
      <c r="BD62" s="270">
        <f t="shared" si="214"/>
        <v>0</v>
      </c>
      <c r="BE62" s="270">
        <f t="shared" si="214"/>
        <v>0</v>
      </c>
      <c r="BF62" s="270">
        <f t="shared" si="214"/>
        <v>0</v>
      </c>
      <c r="BG62" s="270">
        <f t="shared" si="214"/>
        <v>0</v>
      </c>
      <c r="BH62" s="270">
        <f t="shared" si="214"/>
        <v>0</v>
      </c>
      <c r="BI62" s="270">
        <f t="shared" si="214"/>
        <v>0</v>
      </c>
      <c r="BJ62" s="270">
        <f t="shared" si="214"/>
        <v>0</v>
      </c>
      <c r="BK62" s="270">
        <f t="shared" si="214"/>
        <v>0</v>
      </c>
      <c r="BL62" s="270">
        <f t="shared" si="214"/>
        <v>0</v>
      </c>
      <c r="BM62" s="270">
        <f t="shared" si="214"/>
        <v>0</v>
      </c>
      <c r="BN62" s="270">
        <f t="shared" si="214"/>
        <v>0</v>
      </c>
      <c r="BO62" s="270">
        <f t="shared" ref="BO62:CB62" si="215">BO38*$E$38</f>
        <v>0</v>
      </c>
      <c r="BP62" s="270">
        <f t="shared" si="215"/>
        <v>0</v>
      </c>
      <c r="BQ62" s="270">
        <f t="shared" si="215"/>
        <v>0</v>
      </c>
      <c r="BR62" s="270">
        <f t="shared" si="215"/>
        <v>0</v>
      </c>
      <c r="BS62" s="270">
        <f t="shared" si="215"/>
        <v>0</v>
      </c>
      <c r="BT62" s="270">
        <f t="shared" si="215"/>
        <v>0</v>
      </c>
      <c r="BU62" s="270">
        <f t="shared" si="215"/>
        <v>0</v>
      </c>
      <c r="BV62" s="270">
        <f t="shared" si="215"/>
        <v>0</v>
      </c>
      <c r="BW62" s="270">
        <f t="shared" si="215"/>
        <v>0</v>
      </c>
      <c r="BX62" s="270">
        <f t="shared" si="215"/>
        <v>0</v>
      </c>
      <c r="BY62" s="270">
        <f t="shared" si="215"/>
        <v>0</v>
      </c>
      <c r="BZ62" s="270">
        <f t="shared" si="215"/>
        <v>0</v>
      </c>
      <c r="CA62" s="270">
        <f t="shared" si="215"/>
        <v>0</v>
      </c>
      <c r="CB62" s="270">
        <f t="shared" si="215"/>
        <v>0</v>
      </c>
      <c r="CC62" s="270">
        <f t="shared" ref="CC62:DE62" si="216">CC38*$E$38</f>
        <v>0</v>
      </c>
      <c r="CD62" s="270">
        <f t="shared" si="216"/>
        <v>0</v>
      </c>
      <c r="CE62" s="270">
        <f t="shared" si="216"/>
        <v>0</v>
      </c>
      <c r="CF62" s="270">
        <f t="shared" si="216"/>
        <v>0</v>
      </c>
      <c r="CG62" s="270">
        <f t="shared" si="216"/>
        <v>0</v>
      </c>
      <c r="CH62" s="270">
        <f t="shared" si="216"/>
        <v>0</v>
      </c>
      <c r="CI62" s="270">
        <f t="shared" si="216"/>
        <v>0</v>
      </c>
      <c r="CJ62" s="270">
        <f t="shared" si="216"/>
        <v>0</v>
      </c>
      <c r="CK62" s="270">
        <f t="shared" si="216"/>
        <v>0</v>
      </c>
      <c r="CL62" s="270">
        <f t="shared" si="216"/>
        <v>0</v>
      </c>
      <c r="CM62" s="270">
        <f t="shared" si="216"/>
        <v>0</v>
      </c>
      <c r="CN62" s="270">
        <f t="shared" si="216"/>
        <v>0</v>
      </c>
      <c r="CO62" s="270">
        <f t="shared" si="216"/>
        <v>0</v>
      </c>
      <c r="CP62" s="270">
        <f t="shared" si="216"/>
        <v>0</v>
      </c>
      <c r="CQ62" s="270">
        <f t="shared" si="216"/>
        <v>0</v>
      </c>
      <c r="CR62" s="270">
        <f t="shared" si="216"/>
        <v>0</v>
      </c>
      <c r="CS62" s="270">
        <f t="shared" si="216"/>
        <v>0</v>
      </c>
      <c r="CT62" s="270">
        <f t="shared" si="216"/>
        <v>0</v>
      </c>
      <c r="CU62" s="270">
        <f t="shared" si="216"/>
        <v>0</v>
      </c>
      <c r="CV62" s="270">
        <f t="shared" si="216"/>
        <v>0</v>
      </c>
      <c r="CW62" s="270">
        <f t="shared" si="216"/>
        <v>0</v>
      </c>
      <c r="CX62" s="270">
        <f t="shared" si="216"/>
        <v>0</v>
      </c>
      <c r="CY62" s="270">
        <f t="shared" si="216"/>
        <v>0</v>
      </c>
      <c r="CZ62" s="270">
        <f t="shared" si="216"/>
        <v>0</v>
      </c>
      <c r="DA62" s="270">
        <f t="shared" si="216"/>
        <v>0</v>
      </c>
      <c r="DB62" s="270">
        <f t="shared" si="216"/>
        <v>0</v>
      </c>
      <c r="DC62" s="270">
        <f t="shared" si="216"/>
        <v>0</v>
      </c>
      <c r="DD62" s="270">
        <f t="shared" si="216"/>
        <v>0</v>
      </c>
      <c r="DE62" s="140">
        <f t="shared" si="216"/>
        <v>0</v>
      </c>
    </row>
    <row r="63" spans="2:109">
      <c r="B63" s="357" t="s">
        <v>190</v>
      </c>
      <c r="E63" s="270">
        <v>0</v>
      </c>
      <c r="F63" s="270"/>
      <c r="I63" s="270">
        <f t="shared" ref="I63:AN63" si="217">I39*$E$39</f>
        <v>0</v>
      </c>
      <c r="J63" s="270">
        <f t="shared" si="217"/>
        <v>0</v>
      </c>
      <c r="K63" s="270">
        <f t="shared" si="217"/>
        <v>0</v>
      </c>
      <c r="L63" s="270">
        <f t="shared" si="217"/>
        <v>0</v>
      </c>
      <c r="M63" s="270">
        <f t="shared" si="217"/>
        <v>0</v>
      </c>
      <c r="N63" s="270">
        <f t="shared" si="217"/>
        <v>0</v>
      </c>
      <c r="O63" s="270">
        <f t="shared" si="217"/>
        <v>0</v>
      </c>
      <c r="P63" s="270">
        <f t="shared" si="217"/>
        <v>0</v>
      </c>
      <c r="Q63" s="270">
        <f t="shared" si="217"/>
        <v>0</v>
      </c>
      <c r="R63" s="270">
        <f t="shared" si="217"/>
        <v>0</v>
      </c>
      <c r="S63" s="270">
        <f t="shared" si="217"/>
        <v>0</v>
      </c>
      <c r="T63" s="270">
        <f t="shared" si="217"/>
        <v>0</v>
      </c>
      <c r="U63" s="270">
        <f t="shared" si="217"/>
        <v>0</v>
      </c>
      <c r="V63" s="270">
        <f t="shared" si="217"/>
        <v>0</v>
      </c>
      <c r="W63" s="270">
        <f t="shared" si="217"/>
        <v>0</v>
      </c>
      <c r="X63" s="270">
        <f t="shared" si="217"/>
        <v>0</v>
      </c>
      <c r="Y63" s="270">
        <f t="shared" si="217"/>
        <v>0</v>
      </c>
      <c r="Z63" s="270">
        <f t="shared" si="217"/>
        <v>0</v>
      </c>
      <c r="AA63" s="270">
        <f t="shared" si="217"/>
        <v>0</v>
      </c>
      <c r="AB63" s="270">
        <f t="shared" si="217"/>
        <v>0</v>
      </c>
      <c r="AC63" s="270">
        <f t="shared" si="217"/>
        <v>0</v>
      </c>
      <c r="AD63" s="270">
        <f t="shared" si="217"/>
        <v>0</v>
      </c>
      <c r="AE63" s="270">
        <f t="shared" si="217"/>
        <v>0</v>
      </c>
      <c r="AF63" s="270">
        <f t="shared" si="217"/>
        <v>0</v>
      </c>
      <c r="AG63" s="270">
        <f t="shared" si="217"/>
        <v>0</v>
      </c>
      <c r="AH63" s="270">
        <f t="shared" si="217"/>
        <v>0</v>
      </c>
      <c r="AI63" s="270">
        <f t="shared" si="217"/>
        <v>0</v>
      </c>
      <c r="AJ63" s="270">
        <f t="shared" si="217"/>
        <v>0</v>
      </c>
      <c r="AK63" s="270">
        <f t="shared" si="217"/>
        <v>0</v>
      </c>
      <c r="AL63" s="270">
        <f t="shared" si="217"/>
        <v>0</v>
      </c>
      <c r="AM63" s="270">
        <f t="shared" si="217"/>
        <v>0</v>
      </c>
      <c r="AN63" s="270">
        <f t="shared" si="217"/>
        <v>0</v>
      </c>
      <c r="AO63" s="270">
        <f t="shared" ref="AO63:BN63" si="218">AO39*$E$39</f>
        <v>0</v>
      </c>
      <c r="AP63" s="270">
        <f t="shared" si="218"/>
        <v>0</v>
      </c>
      <c r="AQ63" s="270">
        <f t="shared" si="218"/>
        <v>0</v>
      </c>
      <c r="AR63" s="270">
        <f t="shared" si="218"/>
        <v>0</v>
      </c>
      <c r="AS63" s="270">
        <f t="shared" si="218"/>
        <v>0</v>
      </c>
      <c r="AT63" s="270">
        <f t="shared" si="218"/>
        <v>0</v>
      </c>
      <c r="AU63" s="270">
        <f t="shared" si="218"/>
        <v>0</v>
      </c>
      <c r="AV63" s="270">
        <f t="shared" si="218"/>
        <v>0</v>
      </c>
      <c r="AW63" s="270">
        <f t="shared" si="218"/>
        <v>0</v>
      </c>
      <c r="AX63" s="270">
        <f t="shared" si="218"/>
        <v>0</v>
      </c>
      <c r="AY63" s="270">
        <f t="shared" si="218"/>
        <v>0</v>
      </c>
      <c r="AZ63" s="270">
        <f t="shared" si="218"/>
        <v>0</v>
      </c>
      <c r="BA63" s="270">
        <f t="shared" si="218"/>
        <v>0</v>
      </c>
      <c r="BB63" s="270">
        <f t="shared" si="218"/>
        <v>0</v>
      </c>
      <c r="BC63" s="270">
        <f t="shared" si="218"/>
        <v>0</v>
      </c>
      <c r="BD63" s="270">
        <f t="shared" si="218"/>
        <v>0</v>
      </c>
      <c r="BE63" s="270">
        <f t="shared" si="218"/>
        <v>0</v>
      </c>
      <c r="BF63" s="270">
        <f t="shared" si="218"/>
        <v>0</v>
      </c>
      <c r="BG63" s="270">
        <f t="shared" si="218"/>
        <v>0</v>
      </c>
      <c r="BH63" s="270">
        <f t="shared" si="218"/>
        <v>0</v>
      </c>
      <c r="BI63" s="270">
        <f t="shared" si="218"/>
        <v>0</v>
      </c>
      <c r="BJ63" s="270">
        <f t="shared" si="218"/>
        <v>0</v>
      </c>
      <c r="BK63" s="270">
        <f t="shared" si="218"/>
        <v>0</v>
      </c>
      <c r="BL63" s="270">
        <f t="shared" si="218"/>
        <v>0</v>
      </c>
      <c r="BM63" s="270">
        <f t="shared" si="218"/>
        <v>0</v>
      </c>
      <c r="BN63" s="270">
        <f t="shared" si="218"/>
        <v>0</v>
      </c>
      <c r="BO63" s="270">
        <f t="shared" ref="BO63:CB63" si="219">BO39*$E$39</f>
        <v>0</v>
      </c>
      <c r="BP63" s="270">
        <f t="shared" si="219"/>
        <v>0</v>
      </c>
      <c r="BQ63" s="270">
        <f t="shared" si="219"/>
        <v>0</v>
      </c>
      <c r="BR63" s="270">
        <f t="shared" si="219"/>
        <v>0</v>
      </c>
      <c r="BS63" s="270">
        <f t="shared" si="219"/>
        <v>0</v>
      </c>
      <c r="BT63" s="270">
        <f t="shared" si="219"/>
        <v>0</v>
      </c>
      <c r="BU63" s="270">
        <f t="shared" si="219"/>
        <v>0</v>
      </c>
      <c r="BV63" s="270">
        <f t="shared" si="219"/>
        <v>0</v>
      </c>
      <c r="BW63" s="270">
        <f t="shared" si="219"/>
        <v>0</v>
      </c>
      <c r="BX63" s="270">
        <f t="shared" si="219"/>
        <v>0</v>
      </c>
      <c r="BY63" s="270">
        <f t="shared" si="219"/>
        <v>0</v>
      </c>
      <c r="BZ63" s="270">
        <f t="shared" si="219"/>
        <v>0</v>
      </c>
      <c r="CA63" s="270">
        <f t="shared" si="219"/>
        <v>0</v>
      </c>
      <c r="CB63" s="270">
        <f t="shared" si="219"/>
        <v>0</v>
      </c>
      <c r="CC63" s="270">
        <f t="shared" ref="CC63:DE63" si="220">CC39*$E$39</f>
        <v>0</v>
      </c>
      <c r="CD63" s="270">
        <f t="shared" si="220"/>
        <v>0</v>
      </c>
      <c r="CE63" s="270">
        <f t="shared" si="220"/>
        <v>0</v>
      </c>
      <c r="CF63" s="270">
        <f t="shared" si="220"/>
        <v>0</v>
      </c>
      <c r="CG63" s="270">
        <f t="shared" si="220"/>
        <v>0</v>
      </c>
      <c r="CH63" s="270">
        <f t="shared" si="220"/>
        <v>0</v>
      </c>
      <c r="CI63" s="270">
        <f t="shared" si="220"/>
        <v>0</v>
      </c>
      <c r="CJ63" s="270">
        <f t="shared" si="220"/>
        <v>0</v>
      </c>
      <c r="CK63" s="270">
        <f t="shared" si="220"/>
        <v>0</v>
      </c>
      <c r="CL63" s="270">
        <f t="shared" si="220"/>
        <v>0</v>
      </c>
      <c r="CM63" s="270">
        <f t="shared" si="220"/>
        <v>0</v>
      </c>
      <c r="CN63" s="270">
        <f t="shared" si="220"/>
        <v>0</v>
      </c>
      <c r="CO63" s="270">
        <f t="shared" si="220"/>
        <v>0</v>
      </c>
      <c r="CP63" s="270">
        <f t="shared" si="220"/>
        <v>0</v>
      </c>
      <c r="CQ63" s="270">
        <f t="shared" si="220"/>
        <v>0</v>
      </c>
      <c r="CR63" s="270">
        <f t="shared" si="220"/>
        <v>0</v>
      </c>
      <c r="CS63" s="270">
        <f t="shared" si="220"/>
        <v>0</v>
      </c>
      <c r="CT63" s="270">
        <f t="shared" si="220"/>
        <v>0</v>
      </c>
      <c r="CU63" s="270">
        <f t="shared" si="220"/>
        <v>0</v>
      </c>
      <c r="CV63" s="270">
        <f t="shared" si="220"/>
        <v>0</v>
      </c>
      <c r="CW63" s="270">
        <f t="shared" si="220"/>
        <v>0</v>
      </c>
      <c r="CX63" s="270">
        <f t="shared" si="220"/>
        <v>0</v>
      </c>
      <c r="CY63" s="270">
        <f t="shared" si="220"/>
        <v>0</v>
      </c>
      <c r="CZ63" s="270">
        <f t="shared" si="220"/>
        <v>0</v>
      </c>
      <c r="DA63" s="270">
        <f t="shared" si="220"/>
        <v>0</v>
      </c>
      <c r="DB63" s="270">
        <f t="shared" si="220"/>
        <v>0</v>
      </c>
      <c r="DC63" s="270">
        <f t="shared" si="220"/>
        <v>0</v>
      </c>
      <c r="DD63" s="270">
        <f t="shared" si="220"/>
        <v>0</v>
      </c>
      <c r="DE63" s="140">
        <f t="shared" si="220"/>
        <v>0</v>
      </c>
    </row>
    <row r="64" spans="2:109">
      <c r="B64" s="357" t="s">
        <v>191</v>
      </c>
      <c r="E64" s="270">
        <f t="shared" si="168"/>
        <v>1161661.1199999999</v>
      </c>
      <c r="F64" s="270"/>
      <c r="I64" s="270">
        <v>0</v>
      </c>
      <c r="J64" s="270">
        <f>IF(AND(J5&lt;=Summary!$C$11,MOD('Construction Schedule'!J5,12)=0),'Construction Schedule'!$E$40/3,0)</f>
        <v>0</v>
      </c>
      <c r="K64" s="270">
        <f>IF(AND(K5&lt;=Summary!$C$11,MOD('Construction Schedule'!K5,12)=0),'Construction Schedule'!$E$40/3,0)</f>
        <v>0</v>
      </c>
      <c r="L64" s="270">
        <f>IF(AND(L5&lt;=Summary!$C$11,MOD('Construction Schedule'!L5,12)=0),'Construction Schedule'!$E$40/3,0)</f>
        <v>0</v>
      </c>
      <c r="M64" s="270">
        <f>IF(AND(M5&lt;=Summary!$C$11,MOD('Construction Schedule'!M5,12)=0),'Construction Schedule'!$E$40/3,0)</f>
        <v>0</v>
      </c>
      <c r="N64" s="270">
        <f>IF(AND(N5&lt;=Summary!$C$11,MOD('Construction Schedule'!N5,12)=0),'Construction Schedule'!$E$40/3,0)</f>
        <v>0</v>
      </c>
      <c r="O64" s="270">
        <f>IF(AND(O5&lt;=Summary!$C$11,MOD('Construction Schedule'!O5,12)=0),'Construction Schedule'!$E$40/3,0)</f>
        <v>0</v>
      </c>
      <c r="P64" s="270">
        <f>IF(AND(P5&lt;=Summary!$C$11,MOD('Construction Schedule'!P5,12)=0),'Construction Schedule'!$E$40/3,0)</f>
        <v>0</v>
      </c>
      <c r="Q64" s="270">
        <f>IF(AND(Q5&lt;=Summary!$C$11,MOD('Construction Schedule'!Q5,12)=0),'Construction Schedule'!$E$40/3,0)</f>
        <v>0</v>
      </c>
      <c r="R64" s="270">
        <f>IF(AND(R5&lt;=Summary!$C$11,MOD('Construction Schedule'!R5,12)=0),'Construction Schedule'!$E$40/3,0)</f>
        <v>0</v>
      </c>
      <c r="S64" s="270">
        <f>IF(AND(S5&lt;=Summary!$C$11,MOD('Construction Schedule'!S5,12)=0),'Construction Schedule'!$E$40/3,0)</f>
        <v>0</v>
      </c>
      <c r="T64" s="270">
        <f>IF(AND(T5&lt;=Summary!$C$11,MOD('Construction Schedule'!T5,12)=0),'Construction Schedule'!$E$40/3,0)</f>
        <v>0</v>
      </c>
      <c r="U64" s="270">
        <f>IF(AND(U5&lt;=Summary!$C$11,MOD('Construction Schedule'!U5,12)=0),'Construction Schedule'!$E$40/3,0)</f>
        <v>290415.27999999997</v>
      </c>
      <c r="V64" s="270">
        <f>IF(AND(V5&lt;=Summary!$C$11,MOD('Construction Schedule'!V5,12)=0),'Construction Schedule'!$E$40/3,0)</f>
        <v>0</v>
      </c>
      <c r="W64" s="270">
        <f>IF(AND(W5&lt;=Summary!$C$11,MOD('Construction Schedule'!W5,12)=0),'Construction Schedule'!$E$40/3,0)</f>
        <v>0</v>
      </c>
      <c r="X64" s="270">
        <f>IF(AND(X5&lt;=Summary!$C$11,MOD('Construction Schedule'!X5,12)=0),'Construction Schedule'!$E$40/3,0)</f>
        <v>0</v>
      </c>
      <c r="Y64" s="270">
        <f>IF(AND(Y5&lt;=Summary!$C$11,MOD('Construction Schedule'!Y5,12)=0),'Construction Schedule'!$E$40/3,0)</f>
        <v>0</v>
      </c>
      <c r="Z64" s="270">
        <f>IF(AND(Z5&lt;=Summary!$C$11,MOD('Construction Schedule'!Z5,12)=0),'Construction Schedule'!$E$40/3,0)</f>
        <v>0</v>
      </c>
      <c r="AA64" s="270">
        <f>IF(AND(AA5&lt;=Summary!$C$11,MOD('Construction Schedule'!AA5,12)=0),'Construction Schedule'!$E$40/3,0)</f>
        <v>0</v>
      </c>
      <c r="AB64" s="270">
        <f>IF(AND(AB5&lt;=Summary!$C$11,MOD('Construction Schedule'!AB5,12)=0),'Construction Schedule'!$E$40/3,0)</f>
        <v>0</v>
      </c>
      <c r="AC64" s="270">
        <f>IF(AND(AC5&lt;=Summary!$C$11,MOD('Construction Schedule'!AC5,12)=0),'Construction Schedule'!$E$40/3,0)</f>
        <v>0</v>
      </c>
      <c r="AD64" s="270">
        <f>IF(AND(AD5&lt;=Summary!$C$11,MOD('Construction Schedule'!AD5,12)=0),'Construction Schedule'!$E$40/3,0)</f>
        <v>0</v>
      </c>
      <c r="AE64" s="270">
        <f>IF(AND(AE5&lt;=Summary!$C$11,MOD('Construction Schedule'!AE5,12)=0),'Construction Schedule'!$E$40/3,0)</f>
        <v>0</v>
      </c>
      <c r="AF64" s="270">
        <f>IF(AND(AF5&lt;=Summary!$C$11,MOD('Construction Schedule'!AF5,12)=0),'Construction Schedule'!$E$40/3,0)</f>
        <v>0</v>
      </c>
      <c r="AG64" s="270">
        <f>IF(AND(AG5&lt;=Summary!$C$11,MOD('Construction Schedule'!AG5,12)=0),'Construction Schedule'!$E$40/3,0)</f>
        <v>290415.27999999997</v>
      </c>
      <c r="AH64" s="270">
        <f>IF(AND(AH5&lt;=Summary!$C$11,MOD('Construction Schedule'!AH5,12)=0),'Construction Schedule'!$E$40/3,0)</f>
        <v>0</v>
      </c>
      <c r="AI64" s="270">
        <f>IF(AND(AI5&lt;=Summary!$C$11,MOD('Construction Schedule'!AI5,12)=0),'Construction Schedule'!$E$40/3,0)</f>
        <v>0</v>
      </c>
      <c r="AJ64" s="270">
        <f>IF(AND(AJ5&lt;=Summary!$C$11,MOD('Construction Schedule'!AJ5,12)=0),'Construction Schedule'!$E$40/3,0)</f>
        <v>0</v>
      </c>
      <c r="AK64" s="270">
        <f>IF(AND(AK5&lt;=Summary!$C$11,MOD('Construction Schedule'!AK5,12)=0),'Construction Schedule'!$E$40/3,0)</f>
        <v>0</v>
      </c>
      <c r="AL64" s="270">
        <f>IF(AND(AL5&lt;=Summary!$C$11,MOD('Construction Schedule'!AL5,12)=0),'Construction Schedule'!$E$40/3,0)</f>
        <v>0</v>
      </c>
      <c r="AM64" s="270">
        <f>IF(AND(AM5&lt;=Summary!$C$11,MOD('Construction Schedule'!AM5,12)=0),'Construction Schedule'!$E$40/3,0)</f>
        <v>0</v>
      </c>
      <c r="AN64" s="270">
        <f>IF(AND(AN5&lt;=Summary!$C$11,MOD('Construction Schedule'!AN5,12)=0),'Construction Schedule'!$E$40/3,0)</f>
        <v>0</v>
      </c>
      <c r="AO64" s="270">
        <f>IF(AND(AO5&lt;=Summary!$C$11,MOD('Construction Schedule'!AO5,12)=0),'Construction Schedule'!$E$40/3,0)</f>
        <v>0</v>
      </c>
      <c r="AP64" s="270">
        <f>IF(AND(AP5&lt;=Summary!$C$11,MOD('Construction Schedule'!AP5,12)=0),'Construction Schedule'!$E$40/3,0)</f>
        <v>0</v>
      </c>
      <c r="AQ64" s="270">
        <f>IF(AND(AQ5&lt;=Summary!$C$11,MOD('Construction Schedule'!AQ5,12)=0),'Construction Schedule'!$E$40/3,0)</f>
        <v>0</v>
      </c>
      <c r="AR64" s="270">
        <f>IF(AND(AR5&lt;=Summary!$C$11,MOD('Construction Schedule'!AR5,12)=0),'Construction Schedule'!$E$40/3,0)</f>
        <v>0</v>
      </c>
      <c r="AS64" s="270">
        <f>IF(AND(AS5&lt;=Summary!$C$11,MOD('Construction Schedule'!AS5,12)=0),'Construction Schedule'!$E$40/3,0)</f>
        <v>290415.27999999997</v>
      </c>
      <c r="AT64" s="270">
        <f>IF(AND(AT5&lt;=Summary!$C$11,MOD('Construction Schedule'!AT5,12)=0),'Construction Schedule'!$E$40/3,0)</f>
        <v>0</v>
      </c>
      <c r="AU64" s="270">
        <f>IF(AND(AU5&lt;=Summary!$C$11,MOD('Construction Schedule'!AU5,12)=0),'Construction Schedule'!$E$40/3,0)</f>
        <v>0</v>
      </c>
      <c r="AV64" s="270">
        <f>IF(AND(AV5&lt;=Summary!$C$11,MOD('Construction Schedule'!AV5,12)=0),'Construction Schedule'!$E$40/3,0)</f>
        <v>0</v>
      </c>
      <c r="AW64" s="270">
        <f>IF(AND(AW5&lt;=Summary!$C$11,MOD('Construction Schedule'!AW5,12)=0),'Construction Schedule'!$E$40/3,0)</f>
        <v>0</v>
      </c>
      <c r="AX64" s="270">
        <f>IF(AND(AX5&lt;=Summary!$C$11,MOD('Construction Schedule'!AX5,12)=0),'Construction Schedule'!$E$40/3,0)</f>
        <v>0</v>
      </c>
      <c r="AY64" s="270">
        <f>IF(AND(AY5&lt;=Summary!$C$11,MOD('Construction Schedule'!AY5,12)=0),'Construction Schedule'!$E$40/3,0)</f>
        <v>0</v>
      </c>
      <c r="AZ64" s="270">
        <f>IF(AND(AZ5&lt;=Summary!$C$11,MOD('Construction Schedule'!AZ5,12)=0),'Construction Schedule'!$E$40/3,0)</f>
        <v>0</v>
      </c>
      <c r="BA64" s="270">
        <f>IF(AND(BA5&lt;=Summary!$C$11,MOD('Construction Schedule'!BA5,12)=0),'Construction Schedule'!$E$40/3,0)</f>
        <v>0</v>
      </c>
      <c r="BB64" s="270">
        <f>IF(AND(BB5&lt;=Summary!$C$11,MOD('Construction Schedule'!BB5,12)=0),'Construction Schedule'!$E$40/3,0)</f>
        <v>0</v>
      </c>
      <c r="BC64" s="270">
        <f>IF(AND(BC5&lt;=Summary!$C$11,MOD('Construction Schedule'!BC5,12)=0),'Construction Schedule'!$E$40/3,0)</f>
        <v>0</v>
      </c>
      <c r="BD64" s="270">
        <f>IF(AND(BD5&lt;=Summary!$C$11,MOD('Construction Schedule'!BD5,12)=0),'Construction Schedule'!$E$40/3,0)</f>
        <v>0</v>
      </c>
      <c r="BE64" s="270">
        <f>IF(AND(BE5&lt;=Summary!$C$11,MOD('Construction Schedule'!BE5,12)=0),'Construction Schedule'!$E$40/3,0)</f>
        <v>290415.27999999997</v>
      </c>
      <c r="BF64" s="270">
        <f>IF(AND(BF5&lt;=Summary!$C$11,MOD('Construction Schedule'!BF5,12)=0),'Construction Schedule'!$E$40/3,0)</f>
        <v>0</v>
      </c>
      <c r="BG64" s="270">
        <f>IF(AND(BG5&lt;=Summary!$C$11,MOD('Construction Schedule'!BG5,12)=0),'Construction Schedule'!$E$40/3,0)</f>
        <v>0</v>
      </c>
      <c r="BH64" s="270">
        <f>IF(AND(BH5&lt;=Summary!$C$11,MOD('Construction Schedule'!BH5,12)=0),'Construction Schedule'!$E$40/3,0)</f>
        <v>0</v>
      </c>
      <c r="BI64" s="270">
        <f>IF(AND(BI5&lt;=Summary!$C$11,MOD('Construction Schedule'!BI5,12)=0),'Construction Schedule'!$E$40/3,0)</f>
        <v>0</v>
      </c>
      <c r="BJ64" s="270">
        <f>IF(AND(BJ5&lt;=Summary!$C$11,MOD('Construction Schedule'!BJ5,12)=0),'Construction Schedule'!$E$40/3,0)</f>
        <v>0</v>
      </c>
      <c r="BK64" s="270">
        <f>IF(AND(BK5&lt;=Summary!$C$11,MOD('Construction Schedule'!BK5,12)=0),'Construction Schedule'!$E$40/3,0)</f>
        <v>0</v>
      </c>
      <c r="BL64" s="270">
        <f>IF(AND(BL5&lt;=Summary!$C$11,MOD('Construction Schedule'!BL5,12)=0),'Construction Schedule'!$E$40/3,0)</f>
        <v>0</v>
      </c>
      <c r="BM64" s="270">
        <f>IF(AND(BM5&lt;=Summary!$C$11,MOD('Construction Schedule'!BM5,12)=0),'Construction Schedule'!$E$40/3,0)</f>
        <v>0</v>
      </c>
      <c r="BN64" s="270">
        <f>IF(AND(BN5&lt;=Summary!$C$11,MOD('Construction Schedule'!BN5,12)=0),'Construction Schedule'!$E$40/3,0)</f>
        <v>0</v>
      </c>
      <c r="BO64" s="270">
        <f>IF(AND(BO5&lt;=Summary!$C$11,MOD('Construction Schedule'!BO5,12)=0),'Construction Schedule'!$E$40/3,0)</f>
        <v>0</v>
      </c>
      <c r="BP64" s="270">
        <f>IF(AND(BP5&lt;=Summary!$C$11,MOD('Construction Schedule'!BP5,12)=0),'Construction Schedule'!$E$40/3,0)</f>
        <v>0</v>
      </c>
      <c r="BQ64" s="270">
        <f>IF(AND(BQ5&lt;=Summary!$C$11,MOD('Construction Schedule'!BQ5,12)=0),'Construction Schedule'!$E$40/3,0)</f>
        <v>0</v>
      </c>
      <c r="BR64" s="270">
        <f>IF(AND(BR5&lt;=Summary!$C$11,MOD('Construction Schedule'!BR5,12)=0),'Construction Schedule'!$E$40/3,0)</f>
        <v>0</v>
      </c>
      <c r="BS64" s="270">
        <f>IF(AND(BS5&lt;=Summary!$C$11,MOD('Construction Schedule'!BS5,12)=0),'Construction Schedule'!$E$40/3,0)</f>
        <v>0</v>
      </c>
      <c r="BT64" s="270">
        <f>IF(AND(BT5&lt;=Summary!$C$11,MOD('Construction Schedule'!BT5,12)=0),'Construction Schedule'!$E$40/3,0)</f>
        <v>0</v>
      </c>
      <c r="BU64" s="270">
        <f>IF(AND(BU5&lt;=Summary!$C$11,MOD('Construction Schedule'!BU5,12)=0),'Construction Schedule'!$E$40/3,0)</f>
        <v>0</v>
      </c>
      <c r="BV64" s="270">
        <f>IF(AND(BV5&lt;=Summary!$C$11,MOD('Construction Schedule'!BV5,12)=0),'Construction Schedule'!$E$40/3,0)</f>
        <v>0</v>
      </c>
      <c r="BW64" s="270">
        <f>IF(AND(BW5&lt;=Summary!$C$11,MOD('Construction Schedule'!BW5,12)=0),'Construction Schedule'!$E$40/3,0)</f>
        <v>0</v>
      </c>
      <c r="BX64" s="270">
        <f>IF(AND(BX5&lt;=Summary!$C$11,MOD('Construction Schedule'!BX5,12)=0),'Construction Schedule'!$E$40/3,0)</f>
        <v>0</v>
      </c>
      <c r="BY64" s="270">
        <f>IF(AND(BY5&lt;=Summary!$C$11,MOD('Construction Schedule'!BY5,12)=0),'Construction Schedule'!$E$40/3,0)</f>
        <v>0</v>
      </c>
      <c r="BZ64" s="270">
        <f>IF(AND(BZ5&lt;=Summary!$C$11,MOD('Construction Schedule'!BZ5,12)=0),'Construction Schedule'!$E$40/3,0)</f>
        <v>0</v>
      </c>
      <c r="CA64" s="270">
        <f>IF(AND(CA5&lt;=Summary!$C$11,MOD('Construction Schedule'!CA5,12)=0),'Construction Schedule'!$E$40/3,0)</f>
        <v>0</v>
      </c>
      <c r="CB64" s="270">
        <f>IF(AND(CB5&lt;=Summary!$C$11,MOD('Construction Schedule'!CB5,12)=0),'Construction Schedule'!$E$40/3,0)</f>
        <v>0</v>
      </c>
      <c r="CC64" s="270">
        <f>IF(AND(CC5&lt;=Summary!$C$11,MOD('Construction Schedule'!CC5,12)=0),'Construction Schedule'!$E$40/3,0)</f>
        <v>0</v>
      </c>
      <c r="CD64" s="270">
        <f>IF(AND(CD5&lt;=Summary!$C$11,MOD('Construction Schedule'!CD5,12)=0),'Construction Schedule'!$E$40/3,0)</f>
        <v>0</v>
      </c>
      <c r="CE64" s="270">
        <f>IF(AND(CE5&lt;=Summary!$C$11,MOD('Construction Schedule'!CE5,12)=0),'Construction Schedule'!$E$40/3,0)</f>
        <v>0</v>
      </c>
      <c r="CF64" s="270">
        <f>IF(AND(CF5&lt;=Summary!$C$11,MOD('Construction Schedule'!CF5,12)=0),'Construction Schedule'!$E$40/3,0)</f>
        <v>0</v>
      </c>
      <c r="CG64" s="270">
        <f>IF(AND(CG5&lt;=Summary!$C$11,MOD('Construction Schedule'!CG5,12)=0),'Construction Schedule'!$E$40/3,0)</f>
        <v>0</v>
      </c>
      <c r="CH64" s="270">
        <f>IF(AND(CH5&lt;=Summary!$C$11,MOD('Construction Schedule'!CH5,12)=0),'Construction Schedule'!$E$40/3,0)</f>
        <v>0</v>
      </c>
      <c r="CI64" s="270">
        <f>IF(AND(CI5&lt;=Summary!$C$11,MOD('Construction Schedule'!CI5,12)=0),'Construction Schedule'!$E$40/3,0)</f>
        <v>0</v>
      </c>
      <c r="CJ64" s="270">
        <f>IF(AND(CJ5&lt;=Summary!$C$11,MOD('Construction Schedule'!CJ5,12)=0),'Construction Schedule'!$E$40/3,0)</f>
        <v>0</v>
      </c>
      <c r="CK64" s="270">
        <f>IF(AND(CK5&lt;=Summary!$C$11,MOD('Construction Schedule'!CK5,12)=0),'Construction Schedule'!$E$40/3,0)</f>
        <v>0</v>
      </c>
      <c r="CL64" s="270">
        <f>IF(AND(CL5&lt;=Summary!$C$11,MOD('Construction Schedule'!CL5,12)=0),'Construction Schedule'!$E$40/3,0)</f>
        <v>0</v>
      </c>
      <c r="CM64" s="270">
        <f>IF(AND(CM5&lt;=Summary!$C$11,MOD('Construction Schedule'!CM5,12)=0),'Construction Schedule'!$E$40/3,0)</f>
        <v>0</v>
      </c>
      <c r="CN64" s="270">
        <f>IF(AND(CN5&lt;=Summary!$C$11,MOD('Construction Schedule'!CN5,12)=0),'Construction Schedule'!$E$40/3,0)</f>
        <v>0</v>
      </c>
      <c r="CO64" s="270">
        <f>IF(AND(CO5&lt;=Summary!$C$11,MOD('Construction Schedule'!CO5,12)=0),'Construction Schedule'!$E$40/3,0)</f>
        <v>0</v>
      </c>
      <c r="CP64" s="270">
        <f>IF(AND(CP5&lt;=Summary!$C$11,MOD('Construction Schedule'!CP5,12)=0),'Construction Schedule'!$E$40/3,0)</f>
        <v>0</v>
      </c>
      <c r="CQ64" s="270">
        <f>IF(AND(CQ5&lt;=Summary!$C$11,MOD('Construction Schedule'!CQ5,12)=0),'Construction Schedule'!$E$40/3,0)</f>
        <v>0</v>
      </c>
      <c r="CR64" s="270">
        <f>IF(AND(CR5&lt;=Summary!$C$11,MOD('Construction Schedule'!CR5,12)=0),'Construction Schedule'!$E$40/3,0)</f>
        <v>0</v>
      </c>
      <c r="CS64" s="270">
        <f>IF(AND(CS5&lt;=Summary!$C$11,MOD('Construction Schedule'!CS5,12)=0),'Construction Schedule'!$E$40/3,0)</f>
        <v>0</v>
      </c>
      <c r="CT64" s="270">
        <f>IF(AND(CT5&lt;=Summary!$C$11,MOD('Construction Schedule'!CT5,12)=0),'Construction Schedule'!$E$40/3,0)</f>
        <v>0</v>
      </c>
      <c r="CU64" s="270">
        <f>IF(AND(CU5&lt;=Summary!$C$11,MOD('Construction Schedule'!CU5,12)=0),'Construction Schedule'!$E$40/3,0)</f>
        <v>0</v>
      </c>
      <c r="CV64" s="270">
        <f>IF(AND(CV5&lt;=Summary!$C$11,MOD('Construction Schedule'!CV5,12)=0),'Construction Schedule'!$E$40/3,0)</f>
        <v>0</v>
      </c>
      <c r="CW64" s="270">
        <f>IF(AND(CW5&lt;=Summary!$C$11,MOD('Construction Schedule'!CW5,12)=0),'Construction Schedule'!$E$40/3,0)</f>
        <v>0</v>
      </c>
      <c r="CX64" s="270">
        <f>IF(AND(CX5&lt;=Summary!$C$11,MOD('Construction Schedule'!CX5,12)=0),'Construction Schedule'!$E$40/3,0)</f>
        <v>0</v>
      </c>
      <c r="CY64" s="270">
        <f>IF(AND(CY5&lt;=Summary!$C$11,MOD('Construction Schedule'!CY5,12)=0),'Construction Schedule'!$E$40/3,0)</f>
        <v>0</v>
      </c>
      <c r="CZ64" s="270">
        <f>IF(AND(CZ5&lt;=Summary!$C$11,MOD('Construction Schedule'!CZ5,12)=0),'Construction Schedule'!$E$40/3,0)</f>
        <v>0</v>
      </c>
      <c r="DA64" s="270">
        <f>IF(AND(DA5&lt;=Summary!$C$11,MOD('Construction Schedule'!DA5,12)=0),'Construction Schedule'!$E$40/3,0)</f>
        <v>0</v>
      </c>
      <c r="DB64" s="270">
        <f>IF(AND(DB5&lt;=Summary!$C$11,MOD('Construction Schedule'!DB5,12)=0),'Construction Schedule'!$E$40/3,0)</f>
        <v>0</v>
      </c>
      <c r="DC64" s="270">
        <f>IF(AND(DC5&lt;=Summary!$C$11,MOD('Construction Schedule'!DC5,12)=0),'Construction Schedule'!$E$40/3,0)</f>
        <v>0</v>
      </c>
      <c r="DD64" s="270">
        <f>IF(AND(DD5&lt;=Summary!$C$11,MOD('Construction Schedule'!DD5,12)=0),'Construction Schedule'!$E$40/3,0)</f>
        <v>0</v>
      </c>
      <c r="DE64" s="140">
        <f>IF(AND(DE5&lt;=Summary!$C$11,MOD('Construction Schedule'!DE5,12)=0),'Construction Schedule'!$E$40/3,0)</f>
        <v>0</v>
      </c>
    </row>
    <row r="65" spans="2:109">
      <c r="B65" s="358" t="s">
        <v>300</v>
      </c>
      <c r="C65" s="251"/>
      <c r="D65" s="251"/>
      <c r="E65" s="347">
        <f ca="1">SUM(E44:E64)</f>
        <v>116143693.90858303</v>
      </c>
      <c r="F65" s="347"/>
      <c r="G65" s="251"/>
      <c r="H65" s="251"/>
      <c r="I65" s="347">
        <f t="shared" ref="I65:AN65" ca="1" si="221">SUM(I44:I64)</f>
        <v>31787505.109999999</v>
      </c>
      <c r="J65" s="347">
        <f t="shared" ca="1" si="221"/>
        <v>132015.41411993883</v>
      </c>
      <c r="K65" s="347">
        <f t="shared" ca="1" si="221"/>
        <v>142998.82815528871</v>
      </c>
      <c r="L65" s="347">
        <f t="shared" ca="1" si="221"/>
        <v>155628.19673561031</v>
      </c>
      <c r="M65" s="347">
        <f t="shared" ca="1" si="221"/>
        <v>170821.65671462615</v>
      </c>
      <c r="N65" s="347">
        <f t="shared" ca="1" si="221"/>
        <v>190465.54105827425</v>
      </c>
      <c r="O65" s="347">
        <f t="shared" ca="1" si="221"/>
        <v>211745.90625842262</v>
      </c>
      <c r="P65" s="347">
        <f t="shared" ca="1" si="221"/>
        <v>236705.43395288495</v>
      </c>
      <c r="Q65" s="347">
        <f t="shared" ca="1" si="221"/>
        <v>257042.84988485722</v>
      </c>
      <c r="R65" s="347">
        <f t="shared" ca="1" si="221"/>
        <v>286830.02817619295</v>
      </c>
      <c r="S65" s="347">
        <f t="shared" ca="1" si="221"/>
        <v>317240.14470787416</v>
      </c>
      <c r="T65" s="347">
        <f t="shared" ca="1" si="221"/>
        <v>357504.72628075862</v>
      </c>
      <c r="U65" s="347">
        <f t="shared" ca="1" si="221"/>
        <v>1581493.0746325094</v>
      </c>
      <c r="V65" s="347">
        <f t="shared" ca="1" si="221"/>
        <v>451216.84182065795</v>
      </c>
      <c r="W65" s="347">
        <f t="shared" ca="1" si="221"/>
        <v>504965.67785230372</v>
      </c>
      <c r="X65" s="347">
        <f t="shared" ca="1" si="221"/>
        <v>563476.69442003954</v>
      </c>
      <c r="Y65" s="347">
        <f t="shared" ca="1" si="221"/>
        <v>626735.43835348939</v>
      </c>
      <c r="Z65" s="347">
        <f t="shared" ca="1" si="221"/>
        <v>694790.96631029109</v>
      </c>
      <c r="AA65" s="347">
        <f t="shared" ca="1" si="221"/>
        <v>767066.72302749928</v>
      </c>
      <c r="AB65" s="347">
        <f t="shared" ca="1" si="221"/>
        <v>843760.41394812753</v>
      </c>
      <c r="AC65" s="347">
        <f t="shared" ca="1" si="221"/>
        <v>924575.97758473177</v>
      </c>
      <c r="AD65" s="347">
        <f t="shared" ca="1" si="221"/>
        <v>1009148.485597588</v>
      </c>
      <c r="AE65" s="347">
        <f t="shared" ca="1" si="221"/>
        <v>1096674.0916993867</v>
      </c>
      <c r="AF65" s="347">
        <f t="shared" ca="1" si="221"/>
        <v>1186843.9804676955</v>
      </c>
      <c r="AG65" s="347">
        <f t="shared" ca="1" si="221"/>
        <v>2458520.5308761094</v>
      </c>
      <c r="AH65" s="347">
        <f t="shared" ca="1" si="221"/>
        <v>1372485.8244290017</v>
      </c>
      <c r="AI65" s="347">
        <f t="shared" ca="1" si="221"/>
        <v>1466174.1791272988</v>
      </c>
      <c r="AJ65" s="347">
        <f t="shared" ca="1" si="221"/>
        <v>1559427.6303458349</v>
      </c>
      <c r="AK65" s="347">
        <f t="shared" ca="1" si="221"/>
        <v>1651251.9108970447</v>
      </c>
      <c r="AL65" s="347">
        <f t="shared" ca="1" si="221"/>
        <v>1740744.581740743</v>
      </c>
      <c r="AM65" s="347">
        <f t="shared" ca="1" si="221"/>
        <v>1826669.7856393692</v>
      </c>
      <c r="AN65" s="347">
        <f t="shared" ca="1" si="221"/>
        <v>1908672.709060296</v>
      </c>
      <c r="AO65" s="347">
        <f t="shared" ref="AO65:BN65" ca="1" si="222">SUM(AO44:AO64)</f>
        <v>1987560.1132858854</v>
      </c>
      <c r="AP65" s="347">
        <f t="shared" ca="1" si="222"/>
        <v>2059601.1876184233</v>
      </c>
      <c r="AQ65" s="347">
        <f t="shared" ca="1" si="222"/>
        <v>2125880.6189507605</v>
      </c>
      <c r="AR65" s="347">
        <f t="shared" ca="1" si="222"/>
        <v>2186256.1153943259</v>
      </c>
      <c r="AS65" s="347">
        <f t="shared" ca="1" si="222"/>
        <v>3573089.8609929737</v>
      </c>
      <c r="AT65" s="347">
        <f t="shared" ca="1" si="222"/>
        <v>2328588.0167663624</v>
      </c>
      <c r="AU65" s="347">
        <f t="shared" ca="1" si="222"/>
        <v>2383624.751925617</v>
      </c>
      <c r="AV65" s="347">
        <f t="shared" ca="1" si="222"/>
        <v>2419231.9120016852</v>
      </c>
      <c r="AW65" s="347">
        <f t="shared" ca="1" si="222"/>
        <v>2445777.0151686966</v>
      </c>
      <c r="AX65" s="347">
        <f t="shared" ca="1" si="222"/>
        <v>2514635.480601164</v>
      </c>
      <c r="AY65" s="347">
        <f t="shared" ca="1" si="222"/>
        <v>2543264.7604441997</v>
      </c>
      <c r="AZ65" s="347">
        <f t="shared" ca="1" si="222"/>
        <v>2565228.2336986633</v>
      </c>
      <c r="BA65" s="347">
        <f t="shared" ca="1" si="222"/>
        <v>2578226.7064210232</v>
      </c>
      <c r="BB65" s="347">
        <f t="shared" ca="1" si="222"/>
        <v>2580231.4179718331</v>
      </c>
      <c r="BC65" s="347">
        <f t="shared" ca="1" si="222"/>
        <v>2564299.0168260694</v>
      </c>
      <c r="BD65" s="347">
        <f t="shared" ca="1" si="222"/>
        <v>2530407.2867937684</v>
      </c>
      <c r="BE65" s="347">
        <f t="shared" ca="1" si="222"/>
        <v>3650418.6177583286</v>
      </c>
      <c r="BF65" s="347">
        <f t="shared" ca="1" si="222"/>
        <v>2398614.0632004524</v>
      </c>
      <c r="BG65" s="347">
        <f t="shared" ca="1" si="222"/>
        <v>2309812.4442849881</v>
      </c>
      <c r="BH65" s="347">
        <f t="shared" ca="1" si="222"/>
        <v>2209418.1403657529</v>
      </c>
      <c r="BI65" s="347">
        <f t="shared" ca="1" si="222"/>
        <v>2102810.2642387585</v>
      </c>
      <c r="BJ65" s="347">
        <f t="shared" ca="1" si="222"/>
        <v>1994869.9360255005</v>
      </c>
      <c r="BK65" s="347">
        <f t="shared" ca="1" si="222"/>
        <v>1857526.610540556</v>
      </c>
      <c r="BL65" s="347">
        <f t="shared" ca="1" si="222"/>
        <v>1753121.9834324943</v>
      </c>
      <c r="BM65" s="347">
        <f t="shared" si="222"/>
        <v>0</v>
      </c>
      <c r="BN65" s="347">
        <f t="shared" si="222"/>
        <v>0</v>
      </c>
      <c r="BO65" s="347">
        <f t="shared" ref="BO65:CB65" si="223">SUM(BO44:BO64)</f>
        <v>0</v>
      </c>
      <c r="BP65" s="347">
        <f t="shared" si="223"/>
        <v>0</v>
      </c>
      <c r="BQ65" s="347">
        <f t="shared" si="223"/>
        <v>0</v>
      </c>
      <c r="BR65" s="347">
        <f t="shared" si="223"/>
        <v>0</v>
      </c>
      <c r="BS65" s="347">
        <f t="shared" si="223"/>
        <v>0</v>
      </c>
      <c r="BT65" s="347">
        <f t="shared" si="223"/>
        <v>0</v>
      </c>
      <c r="BU65" s="347">
        <f t="shared" si="223"/>
        <v>0</v>
      </c>
      <c r="BV65" s="347">
        <f t="shared" si="223"/>
        <v>0</v>
      </c>
      <c r="BW65" s="347">
        <f t="shared" si="223"/>
        <v>0</v>
      </c>
      <c r="BX65" s="347">
        <f t="shared" si="223"/>
        <v>0</v>
      </c>
      <c r="BY65" s="347">
        <f t="shared" si="223"/>
        <v>0</v>
      </c>
      <c r="BZ65" s="347">
        <f t="shared" si="223"/>
        <v>0</v>
      </c>
      <c r="CA65" s="347">
        <f t="shared" si="223"/>
        <v>0</v>
      </c>
      <c r="CB65" s="347">
        <f t="shared" si="223"/>
        <v>0</v>
      </c>
      <c r="CC65" s="347">
        <f t="shared" ref="CC65:DE65" si="224">SUM(CC44:CC64)</f>
        <v>0</v>
      </c>
      <c r="CD65" s="347">
        <f t="shared" si="224"/>
        <v>0</v>
      </c>
      <c r="CE65" s="347">
        <f t="shared" si="224"/>
        <v>0</v>
      </c>
      <c r="CF65" s="347">
        <f t="shared" si="224"/>
        <v>0</v>
      </c>
      <c r="CG65" s="347">
        <f t="shared" si="224"/>
        <v>0</v>
      </c>
      <c r="CH65" s="347">
        <f t="shared" si="224"/>
        <v>0</v>
      </c>
      <c r="CI65" s="347">
        <f t="shared" si="224"/>
        <v>0</v>
      </c>
      <c r="CJ65" s="347">
        <f t="shared" si="224"/>
        <v>0</v>
      </c>
      <c r="CK65" s="347">
        <f t="shared" si="224"/>
        <v>0</v>
      </c>
      <c r="CL65" s="347">
        <f t="shared" si="224"/>
        <v>0</v>
      </c>
      <c r="CM65" s="347">
        <f t="shared" si="224"/>
        <v>0</v>
      </c>
      <c r="CN65" s="347">
        <f t="shared" si="224"/>
        <v>0</v>
      </c>
      <c r="CO65" s="347">
        <f t="shared" si="224"/>
        <v>0</v>
      </c>
      <c r="CP65" s="347">
        <f t="shared" si="224"/>
        <v>0</v>
      </c>
      <c r="CQ65" s="347">
        <f t="shared" si="224"/>
        <v>0</v>
      </c>
      <c r="CR65" s="347">
        <f t="shared" si="224"/>
        <v>0</v>
      </c>
      <c r="CS65" s="347">
        <f t="shared" si="224"/>
        <v>0</v>
      </c>
      <c r="CT65" s="347">
        <f t="shared" si="224"/>
        <v>0</v>
      </c>
      <c r="CU65" s="347">
        <f t="shared" si="224"/>
        <v>0</v>
      </c>
      <c r="CV65" s="347">
        <f t="shared" si="224"/>
        <v>0</v>
      </c>
      <c r="CW65" s="347">
        <f t="shared" si="224"/>
        <v>0</v>
      </c>
      <c r="CX65" s="347">
        <f t="shared" si="224"/>
        <v>0</v>
      </c>
      <c r="CY65" s="347">
        <f t="shared" si="224"/>
        <v>0</v>
      </c>
      <c r="CZ65" s="347">
        <f t="shared" si="224"/>
        <v>0</v>
      </c>
      <c r="DA65" s="347">
        <f t="shared" si="224"/>
        <v>0</v>
      </c>
      <c r="DB65" s="347">
        <f t="shared" si="224"/>
        <v>0</v>
      </c>
      <c r="DC65" s="347">
        <f t="shared" si="224"/>
        <v>0</v>
      </c>
      <c r="DD65" s="347">
        <f t="shared" si="224"/>
        <v>0</v>
      </c>
      <c r="DE65" s="477">
        <f t="shared" si="224"/>
        <v>0</v>
      </c>
    </row>
    <row r="66" spans="2:109">
      <c r="B66" s="350"/>
      <c r="CB66" s="142"/>
      <c r="DE66" s="114"/>
    </row>
    <row r="67" spans="2:109">
      <c r="B67" s="360" t="s">
        <v>294</v>
      </c>
      <c r="F67" s="270"/>
      <c r="DE67" s="114"/>
    </row>
    <row r="68" spans="2:109">
      <c r="B68" s="350"/>
      <c r="DE68" s="114"/>
    </row>
    <row r="69" spans="2:109">
      <c r="B69" s="356" t="s">
        <v>163</v>
      </c>
      <c r="E69" s="169">
        <f ca="1">Summary!K8</f>
        <v>53431273.628583014</v>
      </c>
      <c r="F69" s="270"/>
      <c r="I69" s="169">
        <f ca="1">IF($E$69&gt;I65,I65,$E$69)-14000000</f>
        <v>17787505.109999999</v>
      </c>
      <c r="J69" s="169">
        <f ca="1">IF($E$69-SUM($I$69:I69)&gt;J65,J65,$E$69-SUM($I$69:I69))</f>
        <v>132015.41411993883</v>
      </c>
      <c r="K69" s="169">
        <f ca="1">IF($E$69-SUM($I$69:J69)&gt;K65,K65,$E$69-SUM($I$69:J69))</f>
        <v>142998.82815528871</v>
      </c>
      <c r="L69" s="169">
        <f ca="1">IF($E$69-SUM($I$69:K69)&gt;L65,L65,$E$69-SUM($I$69:K69))</f>
        <v>155628.19673561031</v>
      </c>
      <c r="M69" s="169">
        <f ca="1">IF($E$69-SUM($I$69:L69)&gt;M65,M65,$E$69-SUM($I$69:L69))</f>
        <v>170821.65671462615</v>
      </c>
      <c r="N69" s="169">
        <f ca="1">IF($E$69-SUM($I$69:M69)&gt;N65,N65,$E$69-SUM($I$69:M69))</f>
        <v>190465.54105827425</v>
      </c>
      <c r="O69" s="169">
        <f ca="1">IF($E$69-SUM($I$69:N69)&gt;O65,O65,$E$69-SUM($I$69:N69))</f>
        <v>211745.90625842262</v>
      </c>
      <c r="P69" s="169">
        <f ca="1">IF($E$69-SUM($I$69:O69)&gt;P65,P65,$E$69-SUM($I$69:O69))</f>
        <v>236705.43395288495</v>
      </c>
      <c r="Q69" s="169">
        <f ca="1">IF($E$69-SUM($I$69:P69)&gt;Q65,Q65,$E$69-SUM($I$69:P69))</f>
        <v>257042.84988485722</v>
      </c>
      <c r="R69" s="169">
        <f ca="1">IF($E$69-SUM($I$69:Q69)&gt;R65,R65,$E$69-SUM($I$69:Q69))</f>
        <v>286830.02817619295</v>
      </c>
      <c r="S69" s="169">
        <f ca="1">IF($E$69-SUM($I$69:R69)&gt;S65,S65,$E$69-SUM($I$69:R69))</f>
        <v>317240.14470787416</v>
      </c>
      <c r="T69" s="169">
        <f ca="1">IF($E$69-SUM($I$69:S69)&gt;T65,T65,$E$69-SUM($I$69:S69))</f>
        <v>357504.72628075862</v>
      </c>
      <c r="U69" s="169">
        <f ca="1">IF($E$69-SUM($I$69:T69)&gt;U65,U65,$E$69-SUM($I$69:T69))</f>
        <v>1581493.0746325094</v>
      </c>
      <c r="V69" s="169">
        <f ca="1">IF($E$69-SUM($I$69:U69)&gt;V65,V65,$E$69-SUM($I$69:U69))</f>
        <v>451216.84182065795</v>
      </c>
      <c r="W69" s="169">
        <f ca="1">IF($E$69-SUM($I$69:V69)&gt;W65,W65,$E$69-SUM($I$69:V69))</f>
        <v>504965.67785230372</v>
      </c>
      <c r="X69" s="169">
        <f ca="1">IF($E$69-SUM($I$69:W69)&gt;X65,X65,$E$69-SUM($I$69:W69))</f>
        <v>563476.69442003954</v>
      </c>
      <c r="Y69" s="169">
        <f ca="1">IF($E$69-SUM($I$69:X69)&gt;Y65,Y65,$E$69-SUM($I$69:X69))</f>
        <v>626735.43835348939</v>
      </c>
      <c r="Z69" s="169">
        <f ca="1">IF($E$69-SUM($I$69:Y69)&gt;Z65,Z65,$E$69-SUM($I$69:Y69))</f>
        <v>694790.96631029109</v>
      </c>
      <c r="AA69" s="169">
        <f ca="1">IF($E$69-SUM($I$69:Z69)&gt;AA65,AA65,$E$69-SUM($I$69:Z69))</f>
        <v>767066.72302749928</v>
      </c>
      <c r="AB69" s="169">
        <f ca="1">IF($E$69-SUM($I$69:AA69)&gt;AB65,AB65,$E$69-SUM($I$69:AA69))</f>
        <v>843760.41394812753</v>
      </c>
      <c r="AC69" s="169">
        <f ca="1">IF($E$69-SUM($I$69:AB69)&gt;AC65,AC65,$E$69-SUM($I$69:AB69))</f>
        <v>924575.97758473177</v>
      </c>
      <c r="AD69" s="169">
        <f ca="1">IF($E$69-SUM($I$69:AC69)&gt;AD65,AD65,$E$69-SUM($I$69:AC69))</f>
        <v>1009148.485597588</v>
      </c>
      <c r="AE69" s="169">
        <f ca="1">IF($E$69-SUM($I$69:AD69)&gt;AE65,AE65,$E$69-SUM($I$69:AD69))</f>
        <v>1096674.0916993867</v>
      </c>
      <c r="AF69" s="169">
        <f ca="1">IF($E$69-SUM($I$69:AE69)&gt;AF65,AF65,$E$69-SUM($I$69:AE69))</f>
        <v>1186843.9804676955</v>
      </c>
      <c r="AG69" s="169">
        <f ca="1">IF($E$69-SUM($I$69:AF69)&gt;AG65,AG65,$E$69-SUM($I$69:AF69))</f>
        <v>2458520.5308761094</v>
      </c>
      <c r="AH69" s="169">
        <f ca="1">IF($E$69-SUM($I$69:AG69)&gt;AH65,AH65,$E$69-SUM($I$69:AG69))</f>
        <v>1372485.8244290017</v>
      </c>
      <c r="AI69" s="169">
        <f ca="1">IF($E$69-SUM($I$69:AH69)&gt;AI65,AI65,$E$69-SUM($I$69:AH69))</f>
        <v>1466174.1791272988</v>
      </c>
      <c r="AJ69" s="169">
        <f ca="1">IF($E$69-SUM($I$69:AI69)&gt;AJ65,AJ65,$E$69-SUM($I$69:AI69))</f>
        <v>1559427.6303458349</v>
      </c>
      <c r="AK69" s="169">
        <f ca="1">IF($E$69-SUM($I$69:AJ69)&gt;AK65,AK65,$E$69-SUM($I$69:AJ69))</f>
        <v>1651251.9108970447</v>
      </c>
      <c r="AL69" s="169">
        <f ca="1">IF($E$69-SUM($I$69:AK69)&gt;AL65,AL65,$E$69-SUM($I$69:AK69))</f>
        <v>1740744.581740743</v>
      </c>
      <c r="AM69" s="169">
        <f ca="1">IF($E$69-SUM($I$69:AL69)&gt;AM65,AM65,$E$69-SUM($I$69:AL69))</f>
        <v>1826669.7856393692</v>
      </c>
      <c r="AN69" s="169">
        <f ca="1">IF($E$69-SUM($I$69:AM69)&gt;AN65,AN65,$E$69-SUM($I$69:AM69))</f>
        <v>1908672.709060296</v>
      </c>
      <c r="AO69" s="169">
        <f ca="1">IF($E$69-SUM($I$69:AN69)&gt;AO65,AO65,$E$69-SUM($I$69:AN69))</f>
        <v>1987560.1132858854</v>
      </c>
      <c r="AP69" s="169">
        <f ca="1">IF($E$69-SUM($I$69:AO69)&gt;AP65,AP65,$E$69-SUM($I$69:AO69))</f>
        <v>2059601.1876184233</v>
      </c>
      <c r="AQ69" s="169">
        <f ca="1">IF($E$69-SUM($I$69:AP69)&gt;AQ65,AQ65,$E$69-SUM($I$69:AP69))</f>
        <v>2125880.6189507605</v>
      </c>
      <c r="AR69" s="169">
        <f ca="1">IF($E$69-SUM($I$69:AQ69)&gt;AR65,AR65,$E$69-SUM($I$69:AQ69))</f>
        <v>2186256.1153943259</v>
      </c>
      <c r="AS69" s="169">
        <f ca="1">IF($E$69-SUM($I$69:AR69)&gt;AS65,AS65,$E$69-SUM($I$69:AR69))</f>
        <v>590776.23945886642</v>
      </c>
      <c r="AT69" s="169">
        <f ca="1">IF($E$69-SUM($I$69:AS69)&gt;AT65,AT65,$E$69-SUM($I$69:AS69))</f>
        <v>0</v>
      </c>
      <c r="AU69" s="169">
        <f ca="1">IF($E$69-SUM($I$69:AT69)&gt;AU65,AU65,$E$69-SUM($I$69:AT69))</f>
        <v>0</v>
      </c>
      <c r="AV69" s="169">
        <f ca="1">IF($E$69-SUM($I$69:AU69)&gt;AV65,AV65,$E$69-SUM($I$69:AU69))</f>
        <v>0</v>
      </c>
      <c r="AW69" s="169">
        <f ca="1">IF($E$69-SUM($I$69:AV69)&gt;AW65,AW65,$E$69-SUM($I$69:AV69))</f>
        <v>0</v>
      </c>
      <c r="AX69" s="169">
        <f ca="1">IF($E$69-SUM($I$69:AW69)&gt;AX65,AX65,$E$69-SUM($I$69:AW69))</f>
        <v>0</v>
      </c>
      <c r="AY69" s="169">
        <f ca="1">IF($E$69-SUM($I$69:AX69)&gt;AY65,AY65,$E$69-SUM($I$69:AX69))</f>
        <v>0</v>
      </c>
      <c r="AZ69" s="169">
        <f ca="1">IF($E$69-SUM($I$69:AY69)&gt;AZ65,AZ65,$E$69-SUM($I$69:AY69))</f>
        <v>0</v>
      </c>
      <c r="BA69" s="169">
        <f ca="1">IF($E$69-SUM($I$69:AZ69)&gt;BA65,BA65,$E$69-SUM($I$69:AZ69))</f>
        <v>0</v>
      </c>
      <c r="BB69" s="169">
        <f ca="1">IF($E$69-SUM($I$69:BA69)&gt;BB65,BB65,$E$69-SUM($I$69:BA69))</f>
        <v>0</v>
      </c>
      <c r="BC69" s="169">
        <f ca="1">IF($E$69-SUM($I$69:BB69)&gt;BC65,BC65,$E$69-SUM($I$69:BB69))</f>
        <v>0</v>
      </c>
      <c r="BD69" s="169">
        <f ca="1">IF($E$69-SUM($I$69:BC69)&gt;BD65,BD65,$E$69-SUM($I$69:BC69))</f>
        <v>0</v>
      </c>
      <c r="BE69" s="169">
        <f ca="1">IF($E$69-SUM($I$69:BD69)&gt;BE65,BE65,$E$69-SUM($I$69:BD69))</f>
        <v>0</v>
      </c>
      <c r="BF69" s="169">
        <f ca="1">IF($E$69-SUM($I$69:BE69)&gt;BF65,BF65,$E$69-SUM($I$69:BE69))</f>
        <v>0</v>
      </c>
      <c r="BG69" s="169">
        <f ca="1">IF($E$69-SUM($I$69:BF69)&gt;BG65,BG65,$E$69-SUM($I$69:BF69))</f>
        <v>0</v>
      </c>
      <c r="BH69" s="169">
        <f ca="1">IF($E$69-SUM($I$69:BG69)&gt;BH65,BH65,$E$69-SUM($I$69:BG69))</f>
        <v>0</v>
      </c>
      <c r="BI69" s="169">
        <f ca="1">IF($E$69-SUM($I$69:BH69)&gt;BI65,BI65,$E$69-SUM($I$69:BH69))</f>
        <v>0</v>
      </c>
      <c r="BJ69" s="169">
        <f ca="1">IF($E$69-SUM($I$69:BI69)&gt;BJ65,BJ65,$E$69-SUM($I$69:BI69))</f>
        <v>0</v>
      </c>
      <c r="BK69" s="169">
        <f ca="1">IF($E$69-SUM($I$69:BJ69)&gt;BK65,BK65,$E$69-SUM($I$69:BJ69))</f>
        <v>0</v>
      </c>
      <c r="BL69" s="169">
        <f ca="1">IF($E$69-SUM($I$69:BK69)&gt;BL65,BL65,$E$69-SUM($I$69:BK69))</f>
        <v>0</v>
      </c>
      <c r="BM69" s="169">
        <f ca="1">IF($E$69-SUM($I$69:BL69)&gt;BM65,BM65,$E$69-SUM($I$69:BL69))</f>
        <v>0</v>
      </c>
      <c r="BN69" s="169">
        <f ca="1">IF($E$69-SUM($I$69:BM69)&gt;BN65,BN65,$E$69-SUM($I$69:BM69))</f>
        <v>0</v>
      </c>
      <c r="BO69" s="169">
        <f ca="1">IF($E$69-SUM($I$69:BN69)&gt;BO65,BO65,$E$69-SUM($I$69:BN69))</f>
        <v>0</v>
      </c>
      <c r="BP69" s="169">
        <f ca="1">IF($E$69-SUM($I$69:BO69)&gt;BP65,BP65,$E$69-SUM($I$69:BO69))</f>
        <v>0</v>
      </c>
      <c r="BQ69" s="169">
        <f ca="1">IF($E$69-SUM($I$69:BP69)&gt;BQ65,BQ65,$E$69-SUM($I$69:BP69))</f>
        <v>0</v>
      </c>
      <c r="BR69" s="169">
        <f ca="1">IF($E$69-SUM($I$69:BQ69)&gt;BR65,BR65,$E$69-SUM($I$69:BQ69))</f>
        <v>0</v>
      </c>
      <c r="BS69" s="169">
        <f ca="1">IF($E$69-SUM($I$69:BR69)&gt;BS65,BS65,$E$69-SUM($I$69:BR69))</f>
        <v>0</v>
      </c>
      <c r="BT69" s="169">
        <f ca="1">IF($E$69-SUM($I$69:BS69)&gt;BT65,BT65,$E$69-SUM($I$69:BS69))</f>
        <v>0</v>
      </c>
      <c r="BU69" s="169">
        <f ca="1">IF($E$69-SUM($I$69:BT69)&gt;BU65,BU65,$E$69-SUM($I$69:BT69))</f>
        <v>0</v>
      </c>
      <c r="BV69" s="169">
        <f ca="1">IF($E$69-SUM($I$69:BU69)&gt;BV65,BV65,$E$69-SUM($I$69:BU69))</f>
        <v>0</v>
      </c>
      <c r="BW69" s="169">
        <f ca="1">IF($E$69-SUM($I$69:BV69)&gt;BW65,BW65,$E$69-SUM($I$69:BV69))</f>
        <v>0</v>
      </c>
      <c r="BX69" s="169">
        <f ca="1">IF($E$69-SUM($I$69:BW69)&gt;BX65,BX65,$E$69-SUM($I$69:BW69))</f>
        <v>0</v>
      </c>
      <c r="BY69" s="169">
        <f ca="1">IF($E$69-SUM($I$69:BX69)&gt;BY65,BY65,$E$69-SUM($I$69:BX69))</f>
        <v>0</v>
      </c>
      <c r="BZ69" s="169">
        <f ca="1">IF($E$69-SUM($I$69:BY69)&gt;BZ65,BZ65,$E$69-SUM($I$69:BY69))</f>
        <v>0</v>
      </c>
      <c r="CA69" s="169">
        <f ca="1">IF($E$69-SUM($I$69:BZ69)&gt;CA65,CA65,$E$69-SUM($I$69:BZ69))</f>
        <v>0</v>
      </c>
      <c r="CB69" s="169">
        <f ca="1">IF($E$69-SUM($I$69:CA69)&gt;CB65,CB65,$E$69-SUM($I$69:CA69))</f>
        <v>0</v>
      </c>
      <c r="CC69" s="169">
        <f ca="1">IF($E$69-SUM($I$69:CB69)&gt;CC65,CC65,$E$69-SUM($I$69:CB69))</f>
        <v>0</v>
      </c>
      <c r="CD69" s="169">
        <f ca="1">IF($E$69-SUM($I$69:CC69)&gt;CD65,CD65,$E$69-SUM($I$69:CC69))</f>
        <v>0</v>
      </c>
      <c r="CE69" s="169">
        <f ca="1">IF($E$69-SUM($I$69:CD69)&gt;CE65,CE65,$E$69-SUM($I$69:CD69))</f>
        <v>0</v>
      </c>
      <c r="CF69" s="169">
        <f ca="1">IF($E$69-SUM($I$69:CE69)&gt;CF65,CF65,$E$69-SUM($I$69:CE69))</f>
        <v>0</v>
      </c>
      <c r="CG69" s="169">
        <f ca="1">IF($E$69-SUM($I$69:CF69)&gt;CG65,CG65,$E$69-SUM($I$69:CF69))</f>
        <v>0</v>
      </c>
      <c r="CH69" s="169">
        <f ca="1">IF($E$69-SUM($I$69:CG69)&gt;CH65,CH65,$E$69-SUM($I$69:CG69))</f>
        <v>0</v>
      </c>
      <c r="CI69" s="169">
        <f ca="1">IF($E$69-SUM($I$69:CH69)&gt;CI65,CI65,$E$69-SUM($I$69:CH69))</f>
        <v>0</v>
      </c>
      <c r="CJ69" s="169">
        <f ca="1">IF($E$69-SUM($I$69:CI69)&gt;CJ65,CJ65,$E$69-SUM($I$69:CI69))</f>
        <v>0</v>
      </c>
      <c r="CK69" s="169">
        <f ca="1">IF($E$69-SUM($I$69:CJ69)&gt;CK65,CK65,$E$69-SUM($I$69:CJ69))</f>
        <v>0</v>
      </c>
      <c r="CL69" s="169">
        <f ca="1">IF($E$69-SUM($I$69:CK69)&gt;CL65,CL65,$E$69-SUM($I$69:CK69))</f>
        <v>0</v>
      </c>
      <c r="CM69" s="169">
        <f ca="1">IF($E$69-SUM($I$69:CL69)&gt;CM65,CM65,$E$69-SUM($I$69:CL69))</f>
        <v>0</v>
      </c>
      <c r="CN69" s="169">
        <f ca="1">IF($E$69-SUM($I$69:CM69)&gt;CN65,CN65,$E$69-SUM($I$69:CM69))</f>
        <v>0</v>
      </c>
      <c r="CO69" s="169">
        <f ca="1">IF($E$69-SUM($I$69:CN69)&gt;CO65,CO65,$E$69-SUM($I$69:CN69))</f>
        <v>0</v>
      </c>
      <c r="CP69" s="169">
        <f ca="1">IF($E$69-SUM($I$69:CO69)&gt;CP65,CP65,$E$69-SUM($I$69:CO69))</f>
        <v>0</v>
      </c>
      <c r="CQ69" s="169">
        <f ca="1">IF($E$69-SUM($I$69:CP69)&gt;CQ65,CQ65,$E$69-SUM($I$69:CP69))</f>
        <v>0</v>
      </c>
      <c r="CR69" s="169">
        <f ca="1">IF($E$69-SUM($I$69:CQ69)&gt;CR65,CR65,$E$69-SUM($I$69:CQ69))</f>
        <v>0</v>
      </c>
      <c r="CS69" s="169">
        <f ca="1">IF($E$69-SUM($I$69:CR69)&gt;CS65,CS65,$E$69-SUM($I$69:CR69))</f>
        <v>0</v>
      </c>
      <c r="CT69" s="169">
        <f ca="1">IF($E$69-SUM($I$69:CS69)&gt;CT65,CT65,$E$69-SUM($I$69:CS69))</f>
        <v>0</v>
      </c>
      <c r="CU69" s="169">
        <f ca="1">IF($E$69-SUM($I$69:CT69)&gt;CU65,CU65,$E$69-SUM($I$69:CT69))</f>
        <v>0</v>
      </c>
      <c r="CV69" s="169">
        <f ca="1">IF($E$69-SUM($I$69:CU69)&gt;CV65,CV65,$E$69-SUM($I$69:CU69))</f>
        <v>0</v>
      </c>
      <c r="CW69" s="169">
        <f ca="1">IF($E$69-SUM($I$69:CV69)&gt;CW65,CW65,$E$69-SUM($I$69:CV69))</f>
        <v>0</v>
      </c>
      <c r="CX69" s="169">
        <f ca="1">IF($E$69-SUM($I$69:CW69)&gt;CX65,CX65,$E$69-SUM($I$69:CW69))</f>
        <v>0</v>
      </c>
      <c r="CY69" s="169">
        <f ca="1">IF($E$69-SUM($I$69:CX69)&gt;CY65,CY65,$E$69-SUM($I$69:CX69))</f>
        <v>0</v>
      </c>
      <c r="CZ69" s="169">
        <f ca="1">IF($E$69-SUM($I$69:CY69)&gt;CZ65,CZ65,$E$69-SUM($I$69:CY69))</f>
        <v>0</v>
      </c>
      <c r="DA69" s="169">
        <f ca="1">IF($E$69-SUM($I$69:CZ69)&gt;DA65,DA65,$E$69-SUM($I$69:CZ69))</f>
        <v>0</v>
      </c>
      <c r="DB69" s="169">
        <f ca="1">IF($E$69-SUM($I$69:DA69)&gt;DB65,DB65,$E$69-SUM($I$69:DA69))</f>
        <v>0</v>
      </c>
      <c r="DC69" s="169">
        <f ca="1">IF($E$69-SUM($I$69:DB69)&gt;DC65,DC65,$E$69-SUM($I$69:DB69))</f>
        <v>0</v>
      </c>
      <c r="DD69" s="169">
        <f ca="1">IF($E$69-SUM($I$69:DC69)&gt;DD65,DD65,$E$69-SUM($I$69:DC69))</f>
        <v>0</v>
      </c>
      <c r="DE69" s="166">
        <f ca="1">IF($E$69-SUM($I$69:DD69)&gt;DE65,DE65,$E$69-SUM($I$69:DD69))</f>
        <v>0</v>
      </c>
    </row>
    <row r="70" spans="2:109">
      <c r="B70" s="356"/>
      <c r="DE70" s="114"/>
    </row>
    <row r="71" spans="2:109">
      <c r="B71" s="356" t="s">
        <v>295</v>
      </c>
      <c r="E71" s="270">
        <f ca="1">SUM(I71:BN71)</f>
        <v>62712420.280000024</v>
      </c>
      <c r="F71" s="270"/>
      <c r="I71" s="270">
        <f ca="1">I65-I69</f>
        <v>14000000</v>
      </c>
      <c r="J71" s="270">
        <f t="shared" ref="J71:AS71" ca="1" si="225">J65-J69</f>
        <v>0</v>
      </c>
      <c r="K71" s="270">
        <f t="shared" ca="1" si="225"/>
        <v>0</v>
      </c>
      <c r="L71" s="270">
        <f t="shared" ca="1" si="225"/>
        <v>0</v>
      </c>
      <c r="M71" s="270">
        <f t="shared" ca="1" si="225"/>
        <v>0</v>
      </c>
      <c r="N71" s="270">
        <f t="shared" ca="1" si="225"/>
        <v>0</v>
      </c>
      <c r="O71" s="270">
        <f t="shared" ca="1" si="225"/>
        <v>0</v>
      </c>
      <c r="P71" s="270">
        <f t="shared" ca="1" si="225"/>
        <v>0</v>
      </c>
      <c r="Q71" s="270">
        <f t="shared" ca="1" si="225"/>
        <v>0</v>
      </c>
      <c r="R71" s="270">
        <f t="shared" ca="1" si="225"/>
        <v>0</v>
      </c>
      <c r="S71" s="270">
        <f t="shared" ca="1" si="225"/>
        <v>0</v>
      </c>
      <c r="T71" s="270">
        <f t="shared" ca="1" si="225"/>
        <v>0</v>
      </c>
      <c r="U71" s="270">
        <f t="shared" ca="1" si="225"/>
        <v>0</v>
      </c>
      <c r="V71" s="270">
        <f t="shared" ca="1" si="225"/>
        <v>0</v>
      </c>
      <c r="W71" s="270">
        <f t="shared" ca="1" si="225"/>
        <v>0</v>
      </c>
      <c r="X71" s="270">
        <f t="shared" ca="1" si="225"/>
        <v>0</v>
      </c>
      <c r="Y71" s="270">
        <f t="shared" ca="1" si="225"/>
        <v>0</v>
      </c>
      <c r="Z71" s="270">
        <f t="shared" ca="1" si="225"/>
        <v>0</v>
      </c>
      <c r="AA71" s="270">
        <f t="shared" ca="1" si="225"/>
        <v>0</v>
      </c>
      <c r="AB71" s="270">
        <f t="shared" ca="1" si="225"/>
        <v>0</v>
      </c>
      <c r="AC71" s="270">
        <f t="shared" ca="1" si="225"/>
        <v>0</v>
      </c>
      <c r="AD71" s="270">
        <f t="shared" ca="1" si="225"/>
        <v>0</v>
      </c>
      <c r="AE71" s="270">
        <f t="shared" ca="1" si="225"/>
        <v>0</v>
      </c>
      <c r="AF71" s="270">
        <f t="shared" ca="1" si="225"/>
        <v>0</v>
      </c>
      <c r="AG71" s="270">
        <f t="shared" ca="1" si="225"/>
        <v>0</v>
      </c>
      <c r="AH71" s="270">
        <f t="shared" ca="1" si="225"/>
        <v>0</v>
      </c>
      <c r="AI71" s="270">
        <f t="shared" ca="1" si="225"/>
        <v>0</v>
      </c>
      <c r="AJ71" s="270">
        <f t="shared" ca="1" si="225"/>
        <v>0</v>
      </c>
      <c r="AK71" s="270">
        <f t="shared" ca="1" si="225"/>
        <v>0</v>
      </c>
      <c r="AL71" s="270">
        <f t="shared" ca="1" si="225"/>
        <v>0</v>
      </c>
      <c r="AM71" s="270">
        <f t="shared" ca="1" si="225"/>
        <v>0</v>
      </c>
      <c r="AN71" s="270">
        <f t="shared" ca="1" si="225"/>
        <v>0</v>
      </c>
      <c r="AO71" s="270">
        <f t="shared" ca="1" si="225"/>
        <v>0</v>
      </c>
      <c r="AP71" s="270">
        <f t="shared" ca="1" si="225"/>
        <v>0</v>
      </c>
      <c r="AQ71" s="270">
        <f t="shared" ca="1" si="225"/>
        <v>0</v>
      </c>
      <c r="AR71" s="270">
        <f t="shared" ca="1" si="225"/>
        <v>0</v>
      </c>
      <c r="AS71" s="270">
        <f t="shared" ca="1" si="225"/>
        <v>2982313.6215341073</v>
      </c>
      <c r="AT71" s="270">
        <f t="shared" ref="AT71:BE71" ca="1" si="226">AT65-AT69</f>
        <v>2328588.0167663624</v>
      </c>
      <c r="AU71" s="270">
        <f t="shared" ca="1" si="226"/>
        <v>2383624.751925617</v>
      </c>
      <c r="AV71" s="270">
        <f t="shared" ca="1" si="226"/>
        <v>2419231.9120016852</v>
      </c>
      <c r="AW71" s="270">
        <f t="shared" ca="1" si="226"/>
        <v>2445777.0151686966</v>
      </c>
      <c r="AX71" s="270">
        <f t="shared" ca="1" si="226"/>
        <v>2514635.480601164</v>
      </c>
      <c r="AY71" s="270">
        <f t="shared" ca="1" si="226"/>
        <v>2543264.7604441997</v>
      </c>
      <c r="AZ71" s="270">
        <f t="shared" ca="1" si="226"/>
        <v>2565228.2336986633</v>
      </c>
      <c r="BA71" s="270">
        <f t="shared" ca="1" si="226"/>
        <v>2578226.7064210232</v>
      </c>
      <c r="BB71" s="270">
        <f t="shared" ca="1" si="226"/>
        <v>2580231.4179718331</v>
      </c>
      <c r="BC71" s="270">
        <f t="shared" ca="1" si="226"/>
        <v>2564299.0168260694</v>
      </c>
      <c r="BD71" s="270">
        <f t="shared" ca="1" si="226"/>
        <v>2530407.2867937684</v>
      </c>
      <c r="BE71" s="270">
        <f t="shared" ca="1" si="226"/>
        <v>3650418.6177583286</v>
      </c>
      <c r="BF71" s="270">
        <f t="shared" ref="BF71:BN71" ca="1" si="227">BF65-BF69</f>
        <v>2398614.0632004524</v>
      </c>
      <c r="BG71" s="270">
        <f t="shared" ca="1" si="227"/>
        <v>2309812.4442849881</v>
      </c>
      <c r="BH71" s="270">
        <f t="shared" ca="1" si="227"/>
        <v>2209418.1403657529</v>
      </c>
      <c r="BI71" s="270">
        <f t="shared" ca="1" si="227"/>
        <v>2102810.2642387585</v>
      </c>
      <c r="BJ71" s="270">
        <f t="shared" ca="1" si="227"/>
        <v>1994869.9360255005</v>
      </c>
      <c r="BK71" s="270">
        <f t="shared" ca="1" si="227"/>
        <v>1857526.610540556</v>
      </c>
      <c r="BL71" s="270">
        <f t="shared" ca="1" si="227"/>
        <v>1753121.9834324943</v>
      </c>
      <c r="BM71" s="270">
        <f t="shared" ca="1" si="227"/>
        <v>0</v>
      </c>
      <c r="BN71" s="270">
        <f t="shared" ca="1" si="227"/>
        <v>0</v>
      </c>
      <c r="BO71" s="270">
        <f t="shared" ref="BO71:CB71" ca="1" si="228">BO65-BO69</f>
        <v>0</v>
      </c>
      <c r="BP71" s="270">
        <f t="shared" ca="1" si="228"/>
        <v>0</v>
      </c>
      <c r="BQ71" s="270">
        <f t="shared" ca="1" si="228"/>
        <v>0</v>
      </c>
      <c r="BR71" s="270">
        <f t="shared" ca="1" si="228"/>
        <v>0</v>
      </c>
      <c r="BS71" s="270">
        <f t="shared" ca="1" si="228"/>
        <v>0</v>
      </c>
      <c r="BT71" s="270">
        <f t="shared" ca="1" si="228"/>
        <v>0</v>
      </c>
      <c r="BU71" s="270">
        <f t="shared" ca="1" si="228"/>
        <v>0</v>
      </c>
      <c r="BV71" s="270">
        <f t="shared" ca="1" si="228"/>
        <v>0</v>
      </c>
      <c r="BW71" s="270">
        <f t="shared" ca="1" si="228"/>
        <v>0</v>
      </c>
      <c r="BX71" s="270">
        <f t="shared" ca="1" si="228"/>
        <v>0</v>
      </c>
      <c r="BY71" s="270">
        <f t="shared" ca="1" si="228"/>
        <v>0</v>
      </c>
      <c r="BZ71" s="270">
        <f t="shared" ca="1" si="228"/>
        <v>0</v>
      </c>
      <c r="CA71" s="270">
        <f t="shared" ca="1" si="228"/>
        <v>0</v>
      </c>
      <c r="CB71" s="270">
        <f t="shared" ca="1" si="228"/>
        <v>0</v>
      </c>
      <c r="CC71" s="270">
        <f t="shared" ref="CC71:DE71" ca="1" si="229">CC65-CC69</f>
        <v>0</v>
      </c>
      <c r="CD71" s="270">
        <f t="shared" ca="1" si="229"/>
        <v>0</v>
      </c>
      <c r="CE71" s="270">
        <f t="shared" ca="1" si="229"/>
        <v>0</v>
      </c>
      <c r="CF71" s="270">
        <f t="shared" ca="1" si="229"/>
        <v>0</v>
      </c>
      <c r="CG71" s="270">
        <f t="shared" ca="1" si="229"/>
        <v>0</v>
      </c>
      <c r="CH71" s="270">
        <f t="shared" ca="1" si="229"/>
        <v>0</v>
      </c>
      <c r="CI71" s="270">
        <f t="shared" ca="1" si="229"/>
        <v>0</v>
      </c>
      <c r="CJ71" s="270">
        <f t="shared" ca="1" si="229"/>
        <v>0</v>
      </c>
      <c r="CK71" s="270">
        <f t="shared" ca="1" si="229"/>
        <v>0</v>
      </c>
      <c r="CL71" s="270">
        <f t="shared" ca="1" si="229"/>
        <v>0</v>
      </c>
      <c r="CM71" s="270">
        <f t="shared" ca="1" si="229"/>
        <v>0</v>
      </c>
      <c r="CN71" s="270">
        <f t="shared" ca="1" si="229"/>
        <v>0</v>
      </c>
      <c r="CO71" s="270">
        <f t="shared" ca="1" si="229"/>
        <v>0</v>
      </c>
      <c r="CP71" s="270">
        <f t="shared" ca="1" si="229"/>
        <v>0</v>
      </c>
      <c r="CQ71" s="270">
        <f t="shared" ca="1" si="229"/>
        <v>0</v>
      </c>
      <c r="CR71" s="270">
        <f t="shared" ca="1" si="229"/>
        <v>0</v>
      </c>
      <c r="CS71" s="270">
        <f t="shared" ca="1" si="229"/>
        <v>0</v>
      </c>
      <c r="CT71" s="270">
        <f t="shared" ca="1" si="229"/>
        <v>0</v>
      </c>
      <c r="CU71" s="270">
        <f t="shared" ca="1" si="229"/>
        <v>0</v>
      </c>
      <c r="CV71" s="270">
        <f t="shared" ca="1" si="229"/>
        <v>0</v>
      </c>
      <c r="CW71" s="270">
        <f t="shared" ca="1" si="229"/>
        <v>0</v>
      </c>
      <c r="CX71" s="270">
        <f t="shared" ca="1" si="229"/>
        <v>0</v>
      </c>
      <c r="CY71" s="270">
        <f t="shared" ca="1" si="229"/>
        <v>0</v>
      </c>
      <c r="CZ71" s="270">
        <f t="shared" ca="1" si="229"/>
        <v>0</v>
      </c>
      <c r="DA71" s="270">
        <f t="shared" ca="1" si="229"/>
        <v>0</v>
      </c>
      <c r="DB71" s="270">
        <f t="shared" ca="1" si="229"/>
        <v>0</v>
      </c>
      <c r="DC71" s="270">
        <f t="shared" ca="1" si="229"/>
        <v>0</v>
      </c>
      <c r="DD71" s="270">
        <f t="shared" ca="1" si="229"/>
        <v>0</v>
      </c>
      <c r="DE71" s="140">
        <f t="shared" ca="1" si="229"/>
        <v>0</v>
      </c>
    </row>
    <row r="72" spans="2:109">
      <c r="B72" s="356" t="s">
        <v>296</v>
      </c>
      <c r="E72" s="270">
        <f ca="1">MAX(I72:BN72)</f>
        <v>62712420.280000024</v>
      </c>
      <c r="I72" s="270">
        <f ca="1">IF(I5&gt;Summary!$C$11,0,SUM($I$71:I71))</f>
        <v>14000000</v>
      </c>
      <c r="J72" s="270">
        <f ca="1">IF(J5&gt;Summary!$C$11,0,SUM($I$71:J71))</f>
        <v>14000000</v>
      </c>
      <c r="K72" s="270">
        <f ca="1">IF(K5&gt;Summary!$C$11,0,SUM($I$71:K71))</f>
        <v>14000000</v>
      </c>
      <c r="L72" s="270">
        <f ca="1">IF(L5&gt;Summary!$C$11,0,SUM($I$71:L71))</f>
        <v>14000000</v>
      </c>
      <c r="M72" s="270">
        <f ca="1">IF(M5&gt;Summary!$C$11,0,SUM($I$71:M71))</f>
        <v>14000000</v>
      </c>
      <c r="N72" s="270">
        <f ca="1">IF(N5&gt;Summary!$C$11,0,SUM($I$71:N71))</f>
        <v>14000000</v>
      </c>
      <c r="O72" s="270">
        <f ca="1">IF(O5&gt;Summary!$C$11,0,SUM($I$71:O71))</f>
        <v>14000000</v>
      </c>
      <c r="P72" s="270">
        <f ca="1">IF(P5&gt;Summary!$C$11,0,SUM($I$71:P71))</f>
        <v>14000000</v>
      </c>
      <c r="Q72" s="270">
        <f ca="1">IF(Q5&gt;Summary!$C$11,0,SUM($I$71:Q71))</f>
        <v>14000000</v>
      </c>
      <c r="R72" s="270">
        <f ca="1">IF(R5&gt;Summary!$C$11,0,SUM($I$71:R71))</f>
        <v>14000000</v>
      </c>
      <c r="S72" s="270">
        <f ca="1">IF(S5&gt;Summary!$C$11,0,SUM($I$71:S71))</f>
        <v>14000000</v>
      </c>
      <c r="T72" s="270">
        <f ca="1">IF(T5&gt;Summary!$C$11,0,SUM($I$71:T71))</f>
        <v>14000000</v>
      </c>
      <c r="U72" s="270">
        <f ca="1">IF(U5&gt;Summary!$C$11,0,SUM($I$71:U71))</f>
        <v>14000000</v>
      </c>
      <c r="V72" s="270">
        <f ca="1">IF(V5&gt;Summary!$C$11,0,SUM($I$71:V71))</f>
        <v>14000000</v>
      </c>
      <c r="W72" s="270">
        <f ca="1">IF(W5&gt;Summary!$C$11,0,SUM($I$71:W71))</f>
        <v>14000000</v>
      </c>
      <c r="X72" s="270">
        <f ca="1">IF(X5&gt;Summary!$C$11,0,SUM($I$71:X71))</f>
        <v>14000000</v>
      </c>
      <c r="Y72" s="270">
        <f ca="1">IF(Y5&gt;Summary!$C$11,0,SUM($I$71:Y71))</f>
        <v>14000000</v>
      </c>
      <c r="Z72" s="270">
        <f ca="1">IF(Z5&gt;Summary!$C$11,0,SUM($I$71:Z71))</f>
        <v>14000000</v>
      </c>
      <c r="AA72" s="270">
        <f ca="1">IF(AA5&gt;Summary!$C$11,0,SUM($I$71:AA71))</f>
        <v>14000000</v>
      </c>
      <c r="AB72" s="270">
        <f ca="1">IF(AB5&gt;Summary!$C$11,0,SUM($I$71:AB71))</f>
        <v>14000000</v>
      </c>
      <c r="AC72" s="270">
        <f ca="1">IF(AC5&gt;Summary!$C$11,0,SUM($I$71:AC71))</f>
        <v>14000000</v>
      </c>
      <c r="AD72" s="270">
        <f ca="1">IF(AD5&gt;Summary!$C$11,0,SUM($I$71:AD71))</f>
        <v>14000000</v>
      </c>
      <c r="AE72" s="270">
        <f ca="1">IF(AE5&gt;Summary!$C$11,0,SUM($I$71:AE71))</f>
        <v>14000000</v>
      </c>
      <c r="AF72" s="270">
        <f ca="1">IF(AF5&gt;Summary!$C$11,0,SUM($I$71:AF71))</f>
        <v>14000000</v>
      </c>
      <c r="AG72" s="270">
        <f ca="1">IF(AG5&gt;Summary!$C$11,0,SUM($I$71:AG71))</f>
        <v>14000000</v>
      </c>
      <c r="AH72" s="270">
        <f ca="1">IF(AH5&gt;Summary!$C$11,0,SUM($I$71:AH71))</f>
        <v>14000000</v>
      </c>
      <c r="AI72" s="270">
        <f ca="1">IF(AI5&gt;Summary!$C$11,0,SUM($I$71:AI71))</f>
        <v>14000000</v>
      </c>
      <c r="AJ72" s="270">
        <f ca="1">IF(AJ5&gt;Summary!$C$11,0,SUM($I$71:AJ71))</f>
        <v>14000000</v>
      </c>
      <c r="AK72" s="270">
        <f ca="1">IF(AK5&gt;Summary!$C$11,0,SUM($I$71:AK71))</f>
        <v>14000000</v>
      </c>
      <c r="AL72" s="270">
        <f ca="1">IF(AL5&gt;Summary!$C$11,0,SUM($I$71:AL71))</f>
        <v>14000000</v>
      </c>
      <c r="AM72" s="270">
        <f ca="1">IF(AM5&gt;Summary!$C$11,0,SUM($I$71:AM71))</f>
        <v>14000000</v>
      </c>
      <c r="AN72" s="270">
        <f ca="1">IF(AN5&gt;Summary!$C$11,0,SUM($I$71:AN71))</f>
        <v>14000000</v>
      </c>
      <c r="AO72" s="270">
        <f ca="1">IF(AO5&gt;Summary!$C$11,0,SUM($I$71:AO71))</f>
        <v>14000000</v>
      </c>
      <c r="AP72" s="270">
        <f ca="1">IF(AP5&gt;Summary!$C$11,0,SUM($I$71:AP71))</f>
        <v>14000000</v>
      </c>
      <c r="AQ72" s="270">
        <f ca="1">IF(AQ5&gt;Summary!$C$11,0,SUM($I$71:AQ71))</f>
        <v>14000000</v>
      </c>
      <c r="AR72" s="270">
        <f ca="1">IF(AR5&gt;Summary!$C$11,0,SUM($I$71:AR71))</f>
        <v>14000000</v>
      </c>
      <c r="AS72" s="270">
        <f ca="1">IF(AS5&gt;Summary!$C$11,0,SUM($I$71:AS71))</f>
        <v>16982313.621534109</v>
      </c>
      <c r="AT72" s="270">
        <f ca="1">IF(AT5&gt;Summary!$C$11,0,SUM($I$71:AT71))</f>
        <v>19310901.638300471</v>
      </c>
      <c r="AU72" s="270">
        <f ca="1">IF(AU5&gt;Summary!$C$11,0,SUM($I$71:AU71))</f>
        <v>21694526.390226088</v>
      </c>
      <c r="AV72" s="270">
        <f ca="1">IF(AV5&gt;Summary!$C$11,0,SUM($I$71:AV71))</f>
        <v>24113758.302227773</v>
      </c>
      <c r="AW72" s="270">
        <f ca="1">IF(AW5&gt;Summary!$C$11,0,SUM($I$71:AW71))</f>
        <v>26559535.317396469</v>
      </c>
      <c r="AX72" s="270">
        <f ca="1">IF(AX5&gt;Summary!$C$11,0,SUM($I$71:AX71))</f>
        <v>29074170.797997635</v>
      </c>
      <c r="AY72" s="270">
        <f ca="1">IF(AY5&gt;Summary!$C$11,0,SUM($I$71:AY71))</f>
        <v>31617435.558441833</v>
      </c>
      <c r="AZ72" s="270">
        <f ca="1">IF(AZ5&gt;Summary!$C$11,0,SUM($I$71:AZ71))</f>
        <v>34182663.792140499</v>
      </c>
      <c r="BA72" s="270">
        <f ca="1">IF(BA5&gt;Summary!$C$11,0,SUM($I$71:BA71))</f>
        <v>36760890.498561524</v>
      </c>
      <c r="BB72" s="270">
        <f ca="1">IF(BB5&gt;Summary!$C$11,0,SUM($I$71:BB71))</f>
        <v>39341121.916533358</v>
      </c>
      <c r="BC72" s="270">
        <f ca="1">IF(BC5&gt;Summary!$C$11,0,SUM($I$71:BC71))</f>
        <v>41905420.933359429</v>
      </c>
      <c r="BD72" s="270">
        <f ca="1">IF(BD5&gt;Summary!$C$11,0,SUM($I$71:BD71))</f>
        <v>44435828.220153198</v>
      </c>
      <c r="BE72" s="270">
        <f ca="1">IF(BE5&gt;Summary!$C$11,0,SUM($I$71:BE71))</f>
        <v>48086246.837911524</v>
      </c>
      <c r="BF72" s="270">
        <f ca="1">IF(BF5&gt;Summary!$C$11,0,SUM($I$71:BF71))</f>
        <v>50484860.901111975</v>
      </c>
      <c r="BG72" s="270">
        <f ca="1">IF(BG5&gt;Summary!$C$11,0,SUM($I$71:BG71))</f>
        <v>52794673.345396966</v>
      </c>
      <c r="BH72" s="270">
        <f ca="1">IF(BH5&gt;Summary!$C$11,0,SUM($I$71:BH71))</f>
        <v>55004091.485762715</v>
      </c>
      <c r="BI72" s="270">
        <f ca="1">IF(BI5&gt;Summary!$C$11,0,SUM($I$71:BI71))</f>
        <v>57106901.750001475</v>
      </c>
      <c r="BJ72" s="270">
        <f ca="1">IF(BJ5&gt;Summary!$C$11,0,SUM($I$71:BJ71))</f>
        <v>59101771.686026976</v>
      </c>
      <c r="BK72" s="270">
        <f ca="1">IF(BK5&gt;Summary!$C$11,0,SUM($I$71:BK71))</f>
        <v>60959298.296567529</v>
      </c>
      <c r="BL72" s="270">
        <f ca="1">IF(BL5&gt;Summary!$C$11,0,SUM($I$71:BL71))</f>
        <v>62712420.280000024</v>
      </c>
      <c r="BM72" s="270">
        <f>IF(BM5&gt;Summary!$C$11,0,SUM($I$71:BM71))</f>
        <v>0</v>
      </c>
      <c r="BN72" s="270">
        <f>IF(BN5&gt;Summary!$C$11,0,SUM($I$71:BN71))</f>
        <v>0</v>
      </c>
      <c r="BO72" s="270">
        <f>IF(BO5&gt;Summary!$C$11,0,SUM($I$71:BO71))</f>
        <v>0</v>
      </c>
      <c r="BP72" s="270">
        <f>IF(BP5&gt;Summary!$C$11,0,SUM($I$71:BP71))</f>
        <v>0</v>
      </c>
      <c r="BQ72" s="270">
        <f>IF(BQ5&gt;Summary!$C$11,0,SUM($I$71:BQ71))</f>
        <v>0</v>
      </c>
      <c r="BR72" s="270">
        <f>IF(BR5&gt;Summary!$C$11,0,SUM($I$71:BR71))</f>
        <v>0</v>
      </c>
      <c r="BS72" s="270">
        <f>IF(BS5&gt;Summary!$C$11,0,SUM($I$71:BS71))</f>
        <v>0</v>
      </c>
      <c r="BT72" s="270">
        <f>IF(BT5&gt;Summary!$C$11,0,SUM($I$71:BT71))</f>
        <v>0</v>
      </c>
      <c r="BU72" s="270">
        <f>IF(BU5&gt;Summary!$C$11,0,SUM($I$71:BU71))</f>
        <v>0</v>
      </c>
      <c r="BV72" s="270">
        <f>IF(BV5&gt;Summary!$C$11,0,SUM($I$71:BV71))</f>
        <v>0</v>
      </c>
      <c r="BW72" s="270">
        <f>IF(BW5&gt;Summary!$C$11,0,SUM($I$71:BW71))</f>
        <v>0</v>
      </c>
      <c r="BX72" s="270">
        <f>IF(BX5&gt;Summary!$C$11,0,SUM($I$71:BX71))</f>
        <v>0</v>
      </c>
      <c r="BY72" s="270">
        <f>IF(BY5&gt;Summary!$C$11,0,SUM($I$71:BY71))</f>
        <v>0</v>
      </c>
      <c r="BZ72" s="270">
        <f>IF(BZ5&gt;Summary!$C$11,0,SUM($I$71:BZ71))</f>
        <v>0</v>
      </c>
      <c r="CA72" s="270">
        <f>IF(CA5&gt;Summary!$C$11,0,SUM($I$71:CA71))</f>
        <v>0</v>
      </c>
      <c r="CB72" s="270">
        <f>IF(CB5&gt;Summary!$C$11,0,SUM($I$71:CB71))</f>
        <v>0</v>
      </c>
      <c r="CC72" s="270">
        <f>IF(CC5&gt;Summary!$C$11,0,SUM($I$71:CC71))</f>
        <v>0</v>
      </c>
      <c r="CD72" s="270">
        <f>IF(CD5&gt;Summary!$C$11,0,SUM($I$71:CD71))</f>
        <v>0</v>
      </c>
      <c r="CE72" s="270">
        <f>IF(CE5&gt;Summary!$C$11,0,SUM($I$71:CE71))</f>
        <v>0</v>
      </c>
      <c r="CF72" s="270">
        <f>IF(CF5&gt;Summary!$C$11,0,SUM($I$71:CF71))</f>
        <v>0</v>
      </c>
      <c r="CG72" s="270">
        <f>IF(CG5&gt;Summary!$C$11,0,SUM($I$71:CG71))</f>
        <v>0</v>
      </c>
      <c r="CH72" s="270">
        <f>IF(CH5&gt;Summary!$C$11,0,SUM($I$71:CH71))</f>
        <v>0</v>
      </c>
      <c r="CI72" s="270">
        <f>IF(CI5&gt;Summary!$C$11,0,SUM($I$71:CI71))</f>
        <v>0</v>
      </c>
      <c r="CJ72" s="270">
        <f>IF(CJ5&gt;Summary!$C$11,0,SUM($I$71:CJ71))</f>
        <v>0</v>
      </c>
      <c r="CK72" s="270">
        <f>IF(CK5&gt;Summary!$C$11,0,SUM($I$71:CK71))</f>
        <v>0</v>
      </c>
      <c r="CL72" s="270">
        <f>IF(CL5&gt;Summary!$C$11,0,SUM($I$71:CL71))</f>
        <v>0</v>
      </c>
      <c r="CM72" s="270">
        <f>IF(CM5&gt;Summary!$C$11,0,SUM($I$71:CM71))</f>
        <v>0</v>
      </c>
      <c r="CN72" s="270">
        <f>IF(CN5&gt;Summary!$C$11,0,SUM($I$71:CN71))</f>
        <v>0</v>
      </c>
      <c r="CO72" s="270">
        <f>IF(CO5&gt;Summary!$C$11,0,SUM($I$71:CO71))</f>
        <v>0</v>
      </c>
      <c r="CP72" s="270">
        <f>IF(CP5&gt;Summary!$C$11,0,SUM($I$71:CP71))</f>
        <v>0</v>
      </c>
      <c r="CQ72" s="270">
        <f>IF(CQ5&gt;Summary!$C$11,0,SUM($I$71:CQ71))</f>
        <v>0</v>
      </c>
      <c r="CR72" s="270">
        <f>IF(CR5&gt;Summary!$C$11,0,SUM($I$71:CR71))</f>
        <v>0</v>
      </c>
      <c r="CS72" s="270">
        <f>IF(CS5&gt;Summary!$C$11,0,SUM($I$71:CS71))</f>
        <v>0</v>
      </c>
      <c r="CT72" s="270">
        <f>IF(CT5&gt;Summary!$C$11,0,SUM($I$71:CT71))</f>
        <v>0</v>
      </c>
      <c r="CU72" s="270">
        <f>IF(CU5&gt;Summary!$C$11,0,SUM($I$71:CU71))</f>
        <v>0</v>
      </c>
      <c r="CV72" s="270">
        <f>IF(CV5&gt;Summary!$C$11,0,SUM($I$71:CV71))</f>
        <v>0</v>
      </c>
      <c r="CW72" s="270">
        <f>IF(CW5&gt;Summary!$C$11,0,SUM($I$71:CW71))</f>
        <v>0</v>
      </c>
      <c r="CX72" s="270">
        <f>IF(CX5&gt;Summary!$C$11,0,SUM($I$71:CX71))</f>
        <v>0</v>
      </c>
      <c r="CY72" s="270">
        <f>IF(CY5&gt;Summary!$C$11,0,SUM($I$71:CY71))</f>
        <v>0</v>
      </c>
      <c r="CZ72" s="270">
        <f>IF(CZ5&gt;Summary!$C$11,0,SUM($I$71:CZ71))</f>
        <v>0</v>
      </c>
      <c r="DA72" s="270">
        <f>IF(DA5&gt;Summary!$C$11,0,SUM($I$71:DA71))</f>
        <v>0</v>
      </c>
      <c r="DB72" s="270">
        <f>IF(DB5&gt;Summary!$C$11,0,SUM($I$71:DB71))</f>
        <v>0</v>
      </c>
      <c r="DC72" s="270">
        <f>IF(DC5&gt;Summary!$C$11,0,SUM($I$71:DC71))</f>
        <v>0</v>
      </c>
      <c r="DD72" s="270">
        <f>IF(DD5&gt;Summary!$C$11,0,SUM($I$71:DD71))</f>
        <v>0</v>
      </c>
      <c r="DE72" s="140">
        <f>IF(DE5&gt;Summary!$C$11,0,SUM($I$71:DE71))</f>
        <v>0</v>
      </c>
    </row>
    <row r="73" spans="2:109" ht="17" thickBot="1">
      <c r="B73" s="361" t="s">
        <v>297</v>
      </c>
      <c r="C73" s="131"/>
      <c r="D73" s="131"/>
      <c r="E73" s="286">
        <f ca="1">MAX(I73:BN73)</f>
        <v>116143693.90858305</v>
      </c>
      <c r="F73" s="131"/>
      <c r="G73" s="131"/>
      <c r="H73" s="131"/>
      <c r="I73" s="286">
        <f ca="1">IF(I5&gt;Summary!$C$11,0,SUM($I$71:I71,SUM($I$69:I69)))</f>
        <v>31787505.109999999</v>
      </c>
      <c r="J73" s="286">
        <f ca="1">IF(J5&gt;Summary!$C$11,0,SUM($I$71:J71,SUM($I$69:J69)))</f>
        <v>31919520.52411994</v>
      </c>
      <c r="K73" s="286">
        <f ca="1">IF(K5&gt;Summary!$C$11,0,SUM($I$71:K71,SUM($I$69:K69)))</f>
        <v>32062519.35227523</v>
      </c>
      <c r="L73" s="286">
        <f ca="1">IF(L5&gt;Summary!$C$11,0,SUM($I$71:L71,SUM($I$69:L69)))</f>
        <v>32218147.549010839</v>
      </c>
      <c r="M73" s="286">
        <f ca="1">IF(M5&gt;Summary!$C$11,0,SUM($I$71:M71,SUM($I$69:M69)))</f>
        <v>32388969.205725465</v>
      </c>
      <c r="N73" s="286">
        <f ca="1">IF(N5&gt;Summary!$C$11,0,SUM($I$71:N71,SUM($I$69:N69)))</f>
        <v>32579434.746783741</v>
      </c>
      <c r="O73" s="286">
        <f ca="1">IF(O5&gt;Summary!$C$11,0,SUM($I$71:O71,SUM($I$69:O69)))</f>
        <v>32791180.653042164</v>
      </c>
      <c r="P73" s="286">
        <f ca="1">IF(P5&gt;Summary!$C$11,0,SUM($I$71:P71,SUM($I$69:P69)))</f>
        <v>33027886.08699505</v>
      </c>
      <c r="Q73" s="286">
        <f ca="1">IF(Q5&gt;Summary!$C$11,0,SUM($I$71:Q71,SUM($I$69:Q69)))</f>
        <v>33284928.936879907</v>
      </c>
      <c r="R73" s="286">
        <f ca="1">IF(R5&gt;Summary!$C$11,0,SUM($I$71:R71,SUM($I$69:R69)))</f>
        <v>33571758.965056099</v>
      </c>
      <c r="S73" s="286">
        <f ca="1">IF(S5&gt;Summary!$C$11,0,SUM($I$71:S71,SUM($I$69:S69)))</f>
        <v>33888999.109763972</v>
      </c>
      <c r="T73" s="286">
        <f ca="1">IF(T5&gt;Summary!$C$11,0,SUM($I$71:T71,SUM($I$69:T69)))</f>
        <v>34246503.836044729</v>
      </c>
      <c r="U73" s="286">
        <f ca="1">IF(U5&gt;Summary!$C$11,0,SUM($I$71:U71,SUM($I$69:U69)))</f>
        <v>35827996.910677239</v>
      </c>
      <c r="V73" s="286">
        <f ca="1">IF(V5&gt;Summary!$C$11,0,SUM($I$71:V71,SUM($I$69:V69)))</f>
        <v>36279213.752497897</v>
      </c>
      <c r="W73" s="286">
        <f ca="1">IF(W5&gt;Summary!$C$11,0,SUM($I$71:W71,SUM($I$69:W69)))</f>
        <v>36784179.430350199</v>
      </c>
      <c r="X73" s="286">
        <f ca="1">IF(X5&gt;Summary!$C$11,0,SUM($I$71:X71,SUM($I$69:X69)))</f>
        <v>37347656.124770239</v>
      </c>
      <c r="Y73" s="286">
        <f ca="1">IF(Y5&gt;Summary!$C$11,0,SUM($I$71:Y71,SUM($I$69:Y69)))</f>
        <v>37974391.563123733</v>
      </c>
      <c r="Z73" s="286">
        <f ca="1">IF(Z5&gt;Summary!$C$11,0,SUM($I$71:Z71,SUM($I$69:Z69)))</f>
        <v>38669182.529434025</v>
      </c>
      <c r="AA73" s="286">
        <f ca="1">IF(AA5&gt;Summary!$C$11,0,SUM($I$71:AA71,SUM($I$69:AA69)))</f>
        <v>39436249.252461523</v>
      </c>
      <c r="AB73" s="286">
        <f ca="1">IF(AB5&gt;Summary!$C$11,0,SUM($I$71:AB71,SUM($I$69:AB69)))</f>
        <v>40280009.666409649</v>
      </c>
      <c r="AC73" s="286">
        <f ca="1">IF(AC5&gt;Summary!$C$11,0,SUM($I$71:AC71,SUM($I$69:AC69)))</f>
        <v>41204585.643994376</v>
      </c>
      <c r="AD73" s="286">
        <f ca="1">IF(AD5&gt;Summary!$C$11,0,SUM($I$71:AD71,SUM($I$69:AD69)))</f>
        <v>42213734.129591972</v>
      </c>
      <c r="AE73" s="286">
        <f ca="1">IF(AE5&gt;Summary!$C$11,0,SUM($I$71:AE71,SUM($I$69:AE69)))</f>
        <v>43310408.221291356</v>
      </c>
      <c r="AF73" s="286">
        <f ca="1">IF(AF5&gt;Summary!$C$11,0,SUM($I$71:AF71,SUM($I$69:AF69)))</f>
        <v>44497252.201759055</v>
      </c>
      <c r="AG73" s="286">
        <f ca="1">IF(AG5&gt;Summary!$C$11,0,SUM($I$71:AG71,SUM($I$69:AG69)))</f>
        <v>46955772.732635163</v>
      </c>
      <c r="AH73" s="286">
        <f ca="1">IF(AH5&gt;Summary!$C$11,0,SUM($I$71:AH71,SUM($I$69:AH69)))</f>
        <v>48328258.557064161</v>
      </c>
      <c r="AI73" s="286">
        <f ca="1">IF(AI5&gt;Summary!$C$11,0,SUM($I$71:AI71,SUM($I$69:AI69)))</f>
        <v>49794432.736191459</v>
      </c>
      <c r="AJ73" s="286">
        <f ca="1">IF(AJ5&gt;Summary!$C$11,0,SUM($I$71:AJ71,SUM($I$69:AJ69)))</f>
        <v>51353860.366537295</v>
      </c>
      <c r="AK73" s="286">
        <f ca="1">IF(AK5&gt;Summary!$C$11,0,SUM($I$71:AK71,SUM($I$69:AK69)))</f>
        <v>53005112.277434342</v>
      </c>
      <c r="AL73" s="286">
        <f ca="1">IF(AL5&gt;Summary!$C$11,0,SUM($I$71:AL71,SUM($I$69:AL69)))</f>
        <v>54745856.859175086</v>
      </c>
      <c r="AM73" s="286">
        <f ca="1">IF(AM5&gt;Summary!$C$11,0,SUM($I$71:AM71,SUM($I$69:AM69)))</f>
        <v>56572526.644814454</v>
      </c>
      <c r="AN73" s="286">
        <f ca="1">IF(AN5&gt;Summary!$C$11,0,SUM($I$71:AN71,SUM($I$69:AN69)))</f>
        <v>58481199.35387475</v>
      </c>
      <c r="AO73" s="286">
        <f ca="1">IF(AO5&gt;Summary!$C$11,0,SUM($I$71:AO71,SUM($I$69:AO69)))</f>
        <v>60468759.467160635</v>
      </c>
      <c r="AP73" s="286">
        <f ca="1">IF(AP5&gt;Summary!$C$11,0,SUM($I$71:AP71,SUM($I$69:AP69)))</f>
        <v>62528360.654779062</v>
      </c>
      <c r="AQ73" s="286">
        <f ca="1">IF(AQ5&gt;Summary!$C$11,0,SUM($I$71:AQ71,SUM($I$69:AQ69)))</f>
        <v>64654241.273729824</v>
      </c>
      <c r="AR73" s="286">
        <f ca="1">IF(AR5&gt;Summary!$C$11,0,SUM($I$71:AR71,SUM($I$69:AR69)))</f>
        <v>66840497.389124148</v>
      </c>
      <c r="AS73" s="286">
        <f ca="1">IF(AS5&gt;Summary!$C$11,0,SUM($I$71:AS71,SUM($I$69:AS69)))</f>
        <v>70413587.250117123</v>
      </c>
      <c r="AT73" s="286">
        <f ca="1">IF(AT5&gt;Summary!$C$11,0,SUM($I$71:AT71,SUM($I$69:AT69)))</f>
        <v>72742175.266883492</v>
      </c>
      <c r="AU73" s="286">
        <f ca="1">IF(AU5&gt;Summary!$C$11,0,SUM($I$71:AU71,SUM($I$69:AU69)))</f>
        <v>75125800.01880911</v>
      </c>
      <c r="AV73" s="286">
        <f ca="1">IF(AV5&gt;Summary!$C$11,0,SUM($I$71:AV71,SUM($I$69:AV69)))</f>
        <v>77545031.930810779</v>
      </c>
      <c r="AW73" s="286">
        <f ca="1">IF(AW5&gt;Summary!$C$11,0,SUM($I$71:AW71,SUM($I$69:AW69)))</f>
        <v>79990808.945979476</v>
      </c>
      <c r="AX73" s="286">
        <f ca="1">IF(AX5&gt;Summary!$C$11,0,SUM($I$71:AX71,SUM($I$69:AX69)))</f>
        <v>82505444.426580653</v>
      </c>
      <c r="AY73" s="286">
        <f ca="1">IF(AY5&gt;Summary!$C$11,0,SUM($I$71:AY71,SUM($I$69:AY69)))</f>
        <v>85048709.187024847</v>
      </c>
      <c r="AZ73" s="286">
        <f ca="1">IF(AZ5&gt;Summary!$C$11,0,SUM($I$71:AZ71,SUM($I$69:AZ69)))</f>
        <v>87613937.420723513</v>
      </c>
      <c r="BA73" s="286">
        <f ca="1">IF(BA5&gt;Summary!$C$11,0,SUM($I$71:BA71,SUM($I$69:BA69)))</f>
        <v>90192164.127144545</v>
      </c>
      <c r="BB73" s="286">
        <f ca="1">IF(BB5&gt;Summary!$C$11,0,SUM($I$71:BB71,SUM($I$69:BB69)))</f>
        <v>92772395.545116365</v>
      </c>
      <c r="BC73" s="286">
        <f ca="1">IF(BC5&gt;Summary!$C$11,0,SUM($I$71:BC71,SUM($I$69:BC69)))</f>
        <v>95336694.561942443</v>
      </c>
      <c r="BD73" s="286">
        <f ca="1">IF(BD5&gt;Summary!$C$11,0,SUM($I$71:BD71,SUM($I$69:BD69)))</f>
        <v>97867101.848736212</v>
      </c>
      <c r="BE73" s="286">
        <f ca="1">IF(BE5&gt;Summary!$C$11,0,SUM($I$71:BE71,SUM($I$69:BE69)))</f>
        <v>101517520.46649453</v>
      </c>
      <c r="BF73" s="286">
        <f ca="1">IF(BF5&gt;Summary!$C$11,0,SUM($I$71:BF71,SUM($I$69:BF69)))</f>
        <v>103916134.52969499</v>
      </c>
      <c r="BG73" s="286">
        <f ca="1">IF(BG5&gt;Summary!$C$11,0,SUM($I$71:BG71,SUM($I$69:BG69)))</f>
        <v>106225946.97397998</v>
      </c>
      <c r="BH73" s="286">
        <f ca="1">IF(BH5&gt;Summary!$C$11,0,SUM($I$71:BH71,SUM($I$69:BH69)))</f>
        <v>108435365.11434573</v>
      </c>
      <c r="BI73" s="286">
        <f ca="1">IF(BI5&gt;Summary!$C$11,0,SUM($I$71:BI71,SUM($I$69:BI69)))</f>
        <v>110538175.37858449</v>
      </c>
      <c r="BJ73" s="286">
        <f ca="1">IF(BJ5&gt;Summary!$C$11,0,SUM($I$71:BJ71,SUM($I$69:BJ69)))</f>
        <v>112533045.31460999</v>
      </c>
      <c r="BK73" s="286">
        <f ca="1">IF(BK5&gt;Summary!$C$11,0,SUM($I$71:BK71,SUM($I$69:BK69)))</f>
        <v>114390571.92515054</v>
      </c>
      <c r="BL73" s="286">
        <f ca="1">IF(BL5&gt;Summary!$C$11,0,SUM($I$71:BL71,SUM($I$69:BL69)))</f>
        <v>116143693.90858305</v>
      </c>
      <c r="BM73" s="286">
        <f>IF(BM5&gt;Summary!$C$11,0,SUM($I$71:BM71,SUM($I$69:BM69)))</f>
        <v>0</v>
      </c>
      <c r="BN73" s="286">
        <f>IF(BN5&gt;Summary!$C$11,0,SUM($I$71:BN71,SUM($I$69:BN69)))</f>
        <v>0</v>
      </c>
      <c r="BO73" s="286">
        <f>IF(BO5&gt;Summary!$C$11,0,SUM($I$71:BO71,SUM($I$69:BO69)))</f>
        <v>0</v>
      </c>
      <c r="BP73" s="286">
        <f>IF(BP5&gt;Summary!$C$11,0,SUM($I$71:BP71,SUM($I$69:BP69)))</f>
        <v>0</v>
      </c>
      <c r="BQ73" s="286">
        <f>IF(BQ5&gt;Summary!$C$11,0,SUM($I$71:BQ71,SUM($I$69:BQ69)))</f>
        <v>0</v>
      </c>
      <c r="BR73" s="286">
        <f>IF(BR5&gt;Summary!$C$11,0,SUM($I$71:BR71,SUM($I$69:BR69)))</f>
        <v>0</v>
      </c>
      <c r="BS73" s="286">
        <f>IF(BS5&gt;Summary!$C$11,0,SUM($I$71:BS71,SUM($I$69:BS69)))</f>
        <v>0</v>
      </c>
      <c r="BT73" s="286">
        <f>IF(BT5&gt;Summary!$C$11,0,SUM($I$71:BT71,SUM($I$69:BT69)))</f>
        <v>0</v>
      </c>
      <c r="BU73" s="286">
        <f>IF(BU5&gt;Summary!$C$11,0,SUM($I$71:BU71,SUM($I$69:BU69)))</f>
        <v>0</v>
      </c>
      <c r="BV73" s="286">
        <f>IF(BV5&gt;Summary!$C$11,0,SUM($I$71:BV71,SUM($I$69:BV69)))</f>
        <v>0</v>
      </c>
      <c r="BW73" s="286">
        <f>IF(BW5&gt;Summary!$C$11,0,SUM($I$71:BW71,SUM($I$69:BW69)))</f>
        <v>0</v>
      </c>
      <c r="BX73" s="286">
        <f>IF(BX5&gt;Summary!$C$11,0,SUM($I$71:BX71,SUM($I$69:BX69)))</f>
        <v>0</v>
      </c>
      <c r="BY73" s="286">
        <f>IF(BY5&gt;Summary!$C$11,0,SUM($I$71:BY71,SUM($I$69:BY69)))</f>
        <v>0</v>
      </c>
      <c r="BZ73" s="286">
        <f>IF(BZ5&gt;Summary!$C$11,0,SUM($I$71:BZ71,SUM($I$69:BZ69)))</f>
        <v>0</v>
      </c>
      <c r="CA73" s="286">
        <f>IF(CA5&gt;Summary!$C$11,0,SUM($I$71:CA71,SUM($I$69:CA69)))</f>
        <v>0</v>
      </c>
      <c r="CB73" s="286">
        <f>IF(CB5&gt;Summary!$C$11,0,SUM($I$71:CB71,SUM($I$69:CB69)))</f>
        <v>0</v>
      </c>
      <c r="CC73" s="286">
        <f>IF(CC5&gt;Summary!$C$11,0,SUM($I$71:CC71,SUM($I$69:CC69)))</f>
        <v>0</v>
      </c>
      <c r="CD73" s="286">
        <f>IF(CD5&gt;Summary!$C$11,0,SUM($I$71:CD71,SUM($I$69:CD69)))</f>
        <v>0</v>
      </c>
      <c r="CE73" s="286">
        <f>IF(CE5&gt;Summary!$C$11,0,SUM($I$71:CE71,SUM($I$69:CE69)))</f>
        <v>0</v>
      </c>
      <c r="CF73" s="286">
        <f>IF(CF5&gt;Summary!$C$11,0,SUM($I$71:CF71,SUM($I$69:CF69)))</f>
        <v>0</v>
      </c>
      <c r="CG73" s="286">
        <f>IF(CG5&gt;Summary!$C$11,0,SUM($I$71:CG71,SUM($I$69:CG69)))</f>
        <v>0</v>
      </c>
      <c r="CH73" s="286">
        <f>IF(CH5&gt;Summary!$C$11,0,SUM($I$71:CH71,SUM($I$69:CH69)))</f>
        <v>0</v>
      </c>
      <c r="CI73" s="286">
        <f>IF(CI5&gt;Summary!$C$11,0,SUM($I$71:CI71,SUM($I$69:CI69)))</f>
        <v>0</v>
      </c>
      <c r="CJ73" s="286">
        <f>IF(CJ5&gt;Summary!$C$11,0,SUM($I$71:CJ71,SUM($I$69:CJ69)))</f>
        <v>0</v>
      </c>
      <c r="CK73" s="286">
        <f>IF(CK5&gt;Summary!$C$11,0,SUM($I$71:CK71,SUM($I$69:CK69)))</f>
        <v>0</v>
      </c>
      <c r="CL73" s="286">
        <f>IF(CL5&gt;Summary!$C$11,0,SUM($I$71:CL71,SUM($I$69:CL69)))</f>
        <v>0</v>
      </c>
      <c r="CM73" s="286">
        <f>IF(CM5&gt;Summary!$C$11,0,SUM($I$71:CM71,SUM($I$69:CM69)))</f>
        <v>0</v>
      </c>
      <c r="CN73" s="286">
        <f>IF(CN5&gt;Summary!$C$11,0,SUM($I$71:CN71,SUM($I$69:CN69)))</f>
        <v>0</v>
      </c>
      <c r="CO73" s="286">
        <f>IF(CO5&gt;Summary!$C$11,0,SUM($I$71:CO71,SUM($I$69:CO69)))</f>
        <v>0</v>
      </c>
      <c r="CP73" s="286">
        <f>IF(CP5&gt;Summary!$C$11,0,SUM($I$71:CP71,SUM($I$69:CP69)))</f>
        <v>0</v>
      </c>
      <c r="CQ73" s="286">
        <f>IF(CQ5&gt;Summary!$C$11,0,SUM($I$71:CQ71,SUM($I$69:CQ69)))</f>
        <v>0</v>
      </c>
      <c r="CR73" s="286">
        <f>IF(CR5&gt;Summary!$C$11,0,SUM($I$71:CR71,SUM($I$69:CR69)))</f>
        <v>0</v>
      </c>
      <c r="CS73" s="286">
        <f>IF(CS5&gt;Summary!$C$11,0,SUM($I$71:CS71,SUM($I$69:CS69)))</f>
        <v>0</v>
      </c>
      <c r="CT73" s="286">
        <f>IF(CT5&gt;Summary!$C$11,0,SUM($I$71:CT71,SUM($I$69:CT69)))</f>
        <v>0</v>
      </c>
      <c r="CU73" s="286">
        <f>IF(CU5&gt;Summary!$C$11,0,SUM($I$71:CU71,SUM($I$69:CU69)))</f>
        <v>0</v>
      </c>
      <c r="CV73" s="286">
        <f>IF(CV5&gt;Summary!$C$11,0,SUM($I$71:CV71,SUM($I$69:CV69)))</f>
        <v>0</v>
      </c>
      <c r="CW73" s="286">
        <f>IF(CW5&gt;Summary!$C$11,0,SUM($I$71:CW71,SUM($I$69:CW69)))</f>
        <v>0</v>
      </c>
      <c r="CX73" s="286">
        <f>IF(CX5&gt;Summary!$C$11,0,SUM($I$71:CX71,SUM($I$69:CX69)))</f>
        <v>0</v>
      </c>
      <c r="CY73" s="286">
        <f>IF(CY5&gt;Summary!$C$11,0,SUM($I$71:CY71,SUM($I$69:CY69)))</f>
        <v>0</v>
      </c>
      <c r="CZ73" s="286">
        <f>IF(CZ5&gt;Summary!$C$11,0,SUM($I$71:CZ71,SUM($I$69:CZ69)))</f>
        <v>0</v>
      </c>
      <c r="DA73" s="286">
        <f>IF(DA5&gt;Summary!$C$11,0,SUM($I$71:DA71,SUM($I$69:DA69)))</f>
        <v>0</v>
      </c>
      <c r="DB73" s="286">
        <f>IF(DB5&gt;Summary!$C$11,0,SUM($I$71:DB71,SUM($I$69:DB69)))</f>
        <v>0</v>
      </c>
      <c r="DC73" s="286">
        <f>IF(DC5&gt;Summary!$C$11,0,SUM($I$71:DC71,SUM($I$69:DC69)))</f>
        <v>0</v>
      </c>
      <c r="DD73" s="286">
        <f>IF(DD5&gt;Summary!$C$11,0,SUM($I$71:DD71,SUM($I$69:DD69)))</f>
        <v>0</v>
      </c>
      <c r="DE73" s="478">
        <f>IF(DE5&gt;Summary!$C$11,0,SUM($I$71:DE71,SUM($I$69:DE69)))</f>
        <v>0</v>
      </c>
    </row>
    <row r="74" spans="2:109">
      <c r="B74" s="235"/>
      <c r="CB74" s="236"/>
    </row>
    <row r="75" spans="2:109">
      <c r="B75" s="120"/>
    </row>
    <row r="76" spans="2:109">
      <c r="B76" s="120"/>
      <c r="AB76" s="270"/>
    </row>
    <row r="77" spans="2:109">
      <c r="B77" s="120"/>
    </row>
    <row r="78" spans="2:109" ht="17" thickBot="1">
      <c r="B78" s="239"/>
      <c r="BO78" s="131"/>
      <c r="CB78" s="131"/>
    </row>
    <row r="79" spans="2:109">
      <c r="B79" s="409" t="s">
        <v>343</v>
      </c>
      <c r="C79" s="372"/>
      <c r="D79" s="372"/>
      <c r="E79" s="372"/>
      <c r="F79" s="372"/>
      <c r="G79" s="372"/>
      <c r="H79" s="372"/>
      <c r="I79" s="372"/>
      <c r="J79" s="372"/>
      <c r="K79" s="372"/>
      <c r="L79" s="372"/>
      <c r="M79" s="372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  <c r="AB79" s="372"/>
      <c r="AC79" s="372"/>
      <c r="AD79" s="372"/>
      <c r="AE79" s="372"/>
      <c r="AF79" s="372"/>
      <c r="AG79" s="372"/>
      <c r="AH79" s="372"/>
      <c r="AI79" s="372"/>
      <c r="AJ79" s="372"/>
      <c r="AK79" s="372"/>
      <c r="AL79" s="372"/>
      <c r="AM79" s="372"/>
      <c r="AN79" s="372"/>
      <c r="AO79" s="372"/>
      <c r="AP79" s="372"/>
      <c r="AQ79" s="372"/>
      <c r="AR79" s="372"/>
      <c r="AS79" s="372"/>
      <c r="AT79" s="372"/>
      <c r="AU79" s="372"/>
      <c r="AV79" s="372"/>
      <c r="AW79" s="372"/>
      <c r="AX79" s="372"/>
      <c r="AY79" s="372"/>
      <c r="AZ79" s="372"/>
      <c r="BA79" s="372"/>
      <c r="BB79" s="372"/>
      <c r="BC79" s="372"/>
      <c r="BD79" s="372"/>
      <c r="BE79" s="372"/>
      <c r="BF79" s="372"/>
      <c r="BG79" s="372"/>
      <c r="BH79" s="372"/>
      <c r="BI79" s="372"/>
      <c r="BJ79" s="372"/>
      <c r="BK79" s="372"/>
      <c r="BL79" s="372"/>
      <c r="BM79" s="372"/>
      <c r="BN79" s="372"/>
      <c r="BO79" s="372"/>
      <c r="BP79" s="372"/>
      <c r="BQ79" s="372"/>
      <c r="BR79" s="372"/>
      <c r="BS79" s="372"/>
      <c r="BT79" s="372"/>
      <c r="BU79" s="372"/>
      <c r="BV79" s="372"/>
      <c r="BW79" s="372"/>
      <c r="BX79" s="372"/>
      <c r="BY79" s="372"/>
      <c r="BZ79" s="372"/>
      <c r="CA79" s="372"/>
      <c r="CB79" s="372"/>
      <c r="CC79" s="372"/>
      <c r="CD79" s="372"/>
      <c r="CE79" s="372"/>
      <c r="CF79" s="372"/>
      <c r="CG79" s="372"/>
      <c r="CH79" s="372"/>
      <c r="CI79" s="372"/>
      <c r="CJ79" s="372"/>
      <c r="CK79" s="372"/>
      <c r="CL79" s="372"/>
      <c r="CM79" s="372"/>
      <c r="CN79" s="372"/>
      <c r="CO79" s="372"/>
      <c r="CP79" s="372"/>
      <c r="CQ79" s="372"/>
      <c r="CR79" s="372"/>
      <c r="CS79" s="372"/>
      <c r="CT79" s="372"/>
      <c r="CU79" s="372"/>
      <c r="CV79" s="372"/>
      <c r="CW79" s="372"/>
      <c r="CX79" s="372"/>
      <c r="CY79" s="372"/>
      <c r="CZ79" s="372"/>
      <c r="DA79" s="372"/>
      <c r="DB79" s="372"/>
      <c r="DC79" s="372"/>
      <c r="DD79" s="372"/>
      <c r="DE79" s="373"/>
    </row>
    <row r="80" spans="2:109">
      <c r="B80" s="381"/>
      <c r="C80" s="382"/>
      <c r="D80" s="382"/>
      <c r="E80" s="382"/>
      <c r="F80" s="383"/>
      <c r="G80" s="383"/>
      <c r="H80" s="382"/>
      <c r="I80" s="382"/>
      <c r="J80" s="382"/>
      <c r="K80" s="382"/>
      <c r="L80" s="382"/>
      <c r="M80" s="382"/>
      <c r="N80" s="382"/>
      <c r="O80" s="382"/>
      <c r="P80" s="382"/>
      <c r="Q80" s="382"/>
      <c r="R80" s="382"/>
      <c r="S80" s="382"/>
      <c r="T80" s="382"/>
      <c r="U80" s="382"/>
      <c r="V80" s="382"/>
      <c r="W80" s="382"/>
      <c r="X80" s="382"/>
      <c r="Y80" s="382"/>
      <c r="Z80" s="382"/>
      <c r="AA80" s="382"/>
      <c r="AB80" s="382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2"/>
      <c r="AW80" s="382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82"/>
      <c r="BQ80" s="382"/>
      <c r="BR80" s="382"/>
      <c r="BS80" s="382"/>
      <c r="BT80" s="382"/>
      <c r="BU80" s="382"/>
      <c r="BV80" s="382"/>
      <c r="BW80" s="382"/>
      <c r="BX80" s="382"/>
      <c r="BY80" s="382"/>
      <c r="BZ80" s="382"/>
      <c r="CA80" s="382"/>
      <c r="CB80" s="382"/>
      <c r="CC80" s="382"/>
      <c r="CD80" s="382"/>
      <c r="CE80" s="382"/>
      <c r="CF80" s="382"/>
      <c r="CG80" s="382"/>
      <c r="CH80" s="382"/>
      <c r="CI80" s="382"/>
      <c r="CJ80" s="382"/>
      <c r="CK80" s="382"/>
      <c r="CL80" s="382"/>
      <c r="CM80" s="382"/>
      <c r="CN80" s="382"/>
      <c r="CO80" s="382"/>
      <c r="CP80" s="382"/>
      <c r="CQ80" s="382"/>
      <c r="CR80" s="382"/>
      <c r="CS80" s="382"/>
      <c r="CT80" s="382"/>
      <c r="CU80" s="382"/>
      <c r="CV80" s="382"/>
      <c r="CW80" s="382"/>
      <c r="CX80" s="382"/>
      <c r="CY80" s="382"/>
      <c r="CZ80" s="382"/>
      <c r="DA80" s="382"/>
      <c r="DB80" s="382"/>
      <c r="DC80" s="382"/>
      <c r="DD80" s="382"/>
      <c r="DE80" s="480"/>
    </row>
    <row r="81" spans="2:109">
      <c r="B81" s="355" t="s">
        <v>84</v>
      </c>
      <c r="C81" s="505">
        <f>Summary!O18</f>
        <v>92</v>
      </c>
      <c r="F81" s="102"/>
      <c r="G81" s="102"/>
      <c r="DE81" s="114"/>
    </row>
    <row r="82" spans="2:109">
      <c r="B82" s="350" t="s">
        <v>344</v>
      </c>
      <c r="F82" s="102"/>
      <c r="G82" s="102"/>
      <c r="AW82">
        <f ca="1">ROUND(AW84*(Summary!$O$18-Summary!$K$48),0)</f>
        <v>0</v>
      </c>
      <c r="AX82">
        <f ca="1">ROUND(AX84*(Summary!$O$18-Summary!$K$48),0)</f>
        <v>0</v>
      </c>
      <c r="AY82">
        <f ca="1">ROUND(AY84*(Summary!$O$18-Summary!$K$48),0)</f>
        <v>0</v>
      </c>
      <c r="AZ82">
        <f ca="1">ROUND(AZ84*(Summary!$O$18-Summary!$K$48),0)</f>
        <v>0</v>
      </c>
      <c r="BA82">
        <f ca="1">ROUND(BA84*(Summary!$O$18-Summary!$K$48),0)</f>
        <v>0</v>
      </c>
      <c r="BB82">
        <f ca="1">ROUND(BB84*(Summary!$O$18-Summary!$K$48),0)</f>
        <v>0</v>
      </c>
      <c r="BC82">
        <f ca="1">ROUND(BC84*(Summary!$O$18-Summary!$K$48),0)</f>
        <v>0</v>
      </c>
      <c r="BD82">
        <f ca="1">ROUND(BD84*(Summary!$O$18-Summary!$K$48),0)</f>
        <v>0</v>
      </c>
      <c r="BE82">
        <f ca="1">ROUND(BE84*(Summary!$O$18-Summary!$K$48),0)</f>
        <v>0</v>
      </c>
      <c r="BF82">
        <f ca="1">ROUND(BF84*(Summary!$O$18-Summary!$K$48),0)</f>
        <v>0</v>
      </c>
      <c r="BG82">
        <f ca="1">ROUND(BG84*(Summary!$O$18-Summary!$K$48),0)</f>
        <v>0</v>
      </c>
      <c r="BH82">
        <f ca="1">ROUND(BH84*(Summary!$O$18-Summary!$K$48),0)</f>
        <v>0</v>
      </c>
      <c r="BI82">
        <f ca="1">ROUND(BI84*(Summary!$O$18-Summary!$K$48),0)</f>
        <v>0</v>
      </c>
      <c r="BJ82">
        <f ca="1">ROUND(BJ84*(Summary!$O$18-Summary!$K$48),0)</f>
        <v>0</v>
      </c>
      <c r="BK82">
        <f ca="1">ROUND(BK84*(Summary!$O$18-Summary!$K$48),0)</f>
        <v>0</v>
      </c>
      <c r="BL82">
        <f ca="1">ROUND(BL84*(Summary!$O$18-Summary!$K$48),0)</f>
        <v>0</v>
      </c>
      <c r="BM82">
        <f ca="1">ROUND(BM84*(Summary!$O$18-Summary!$K$48),0)</f>
        <v>6</v>
      </c>
      <c r="BN82">
        <f ca="1">ROUND(BN84*(Summary!$O$18-Summary!$K$48),0)</f>
        <v>6</v>
      </c>
      <c r="BO82">
        <f ca="1">ROUND(BO84*(Summary!$O$18-Summary!$K$48),0)</f>
        <v>6</v>
      </c>
      <c r="BP82">
        <f ca="1">ROUND(BP84*(Summary!$O$18-Summary!$K$48),0)</f>
        <v>6</v>
      </c>
      <c r="BQ82">
        <f ca="1">ROUND(BQ84*(Summary!$O$18-Summary!$K$48),0)</f>
        <v>6</v>
      </c>
      <c r="BR82">
        <f ca="1">ROUND(BR84*(Summary!$O$18-Summary!$K$48),0)</f>
        <v>6</v>
      </c>
      <c r="BS82">
        <f ca="1">ROUND(BS84*(Summary!$O$18-Summary!$K$48),0)</f>
        <v>6</v>
      </c>
      <c r="BT82">
        <f ca="1">ROUND(BT84*(Summary!$O$18-Summary!$K$48),0)</f>
        <v>6</v>
      </c>
      <c r="BU82">
        <f ca="1">ROUND(BU84*(Summary!$O$18-Summary!$K$48),0)</f>
        <v>6</v>
      </c>
      <c r="BV82">
        <f ca="1">ROUND(BV84*(Summary!$O$18-Summary!$K$48),0)</f>
        <v>6</v>
      </c>
      <c r="BW82">
        <f ca="1">ROUND(BW84*(Summary!$O$18-Summary!$K$48),0)</f>
        <v>6</v>
      </c>
      <c r="BX82">
        <f ca="1">ROUND(BX84*(Summary!$O$18-Summary!$K$48),0)</f>
        <v>6</v>
      </c>
      <c r="BY82">
        <f ca="1">ROUND(BY84*(Summary!$O$18-Summary!$K$48),0)</f>
        <v>6</v>
      </c>
      <c r="BZ82">
        <f ca="1">ROUND(BZ84*(Summary!$O$18-Summary!$K$48),0)</f>
        <v>6</v>
      </c>
      <c r="CA82">
        <f ca="1">ROUND(CA84*(Summary!$O$18-Summary!$K$48),0)</f>
        <v>6</v>
      </c>
      <c r="CB82">
        <f ca="1">ROUND(CB84*(Summary!$O$18-Summary!$K$48),0)</f>
        <v>6</v>
      </c>
      <c r="CC82">
        <f ca="1">ROUND(CC84*(Summary!$O$18-Summary!$K$48),0)</f>
        <v>6</v>
      </c>
      <c r="CD82">
        <f ca="1">ROUND(CD84*(Summary!$O$18-Summary!$K$48),0)</f>
        <v>0</v>
      </c>
      <c r="CE82">
        <f ca="1">ROUND(CE84*(Summary!$O$18-Summary!$K$48),0)</f>
        <v>0</v>
      </c>
      <c r="CF82">
        <f ca="1">ROUND(CF84*(Summary!$O$18-Summary!$K$48),0)</f>
        <v>0</v>
      </c>
      <c r="CG82">
        <f ca="1">ROUND(CG84*(Summary!$O$18-Summary!$K$48),0)</f>
        <v>0</v>
      </c>
      <c r="CH82">
        <f ca="1">ROUND(CH84*(Summary!$O$18-Summary!$K$48),0)</f>
        <v>0</v>
      </c>
      <c r="CI82">
        <f ca="1">ROUND(CI84*(Summary!$O$18-Summary!$K$48),0)</f>
        <v>0</v>
      </c>
      <c r="CJ82">
        <f ca="1">ROUND(CJ84*(Summary!$O$18-Summary!$K$48),0)</f>
        <v>0</v>
      </c>
      <c r="CK82">
        <f ca="1">ROUND(CK84*(Summary!$O$18-Summary!$K$48),0)</f>
        <v>0</v>
      </c>
      <c r="CL82">
        <f ca="1">ROUND(CL84*(Summary!$O$18-Summary!$K$48),0)</f>
        <v>0</v>
      </c>
      <c r="CM82">
        <f ca="1">ROUND(CM84*(Summary!$O$18-Summary!$K$48),0)</f>
        <v>0</v>
      </c>
      <c r="CN82">
        <f ca="1">ROUND(CN84*(Summary!$O$18-Summary!$K$48),0)</f>
        <v>0</v>
      </c>
      <c r="CO82">
        <f ca="1">ROUND(CO84*(Summary!$O$18-Summary!$K$48),0)</f>
        <v>0</v>
      </c>
      <c r="CP82">
        <f ca="1">ROUND(CP84*(Summary!$O$18-Summary!$K$48),0)</f>
        <v>0</v>
      </c>
      <c r="CQ82">
        <f ca="1">ROUND(CQ84*(Summary!$O$18-Summary!$K$48),0)</f>
        <v>0</v>
      </c>
      <c r="CR82">
        <f ca="1">ROUND(CR84*(Summary!$O$18-Summary!$K$48),0)</f>
        <v>0</v>
      </c>
      <c r="CS82">
        <f ca="1">ROUND(CS84*(Summary!$O$18-Summary!$K$48),0)</f>
        <v>0</v>
      </c>
      <c r="CT82">
        <f ca="1">ROUND(CT84*(Summary!$O$18-Summary!$K$48),0)</f>
        <v>0</v>
      </c>
      <c r="CU82">
        <f ca="1">ROUND(CU84*(Summary!$O$18-Summary!$K$48),0)</f>
        <v>0</v>
      </c>
      <c r="CV82">
        <f ca="1">ROUND(CV84*(Summary!$O$18-Summary!$K$48),0)</f>
        <v>0</v>
      </c>
      <c r="CW82">
        <f ca="1">ROUND(CW84*(Summary!$O$18-Summary!$K$48),0)</f>
        <v>0</v>
      </c>
      <c r="CX82">
        <f ca="1">ROUND(CX84*(Summary!$O$18-Summary!$K$48),0)</f>
        <v>0</v>
      </c>
      <c r="CY82">
        <f ca="1">ROUND(CY84*(Summary!$O$18-Summary!$K$48),0)</f>
        <v>0</v>
      </c>
      <c r="CZ82">
        <f ca="1">ROUND(CZ84*(Summary!$O$18-Summary!$K$48),0)</f>
        <v>0</v>
      </c>
      <c r="DA82">
        <f ca="1">ROUND(DA84*(Summary!$O$18-Summary!$K$48),0)</f>
        <v>0</v>
      </c>
      <c r="DB82">
        <f ca="1">ROUND(DB84*(Summary!$O$18-Summary!$K$48),0)</f>
        <v>0</v>
      </c>
      <c r="DC82">
        <f ca="1">ROUND(DC84*(Summary!$O$18-Summary!$K$48),0)</f>
        <v>0</v>
      </c>
      <c r="DD82">
        <f ca="1">ROUND(DD84*(Summary!$O$18-Summary!$K$48),0)</f>
        <v>0</v>
      </c>
      <c r="DE82" s="114">
        <f ca="1">ROUND(DE84*(Summary!$O$18-Summary!$K$48),0)</f>
        <v>0</v>
      </c>
    </row>
    <row r="83" spans="2:109">
      <c r="B83" s="350" t="s">
        <v>345</v>
      </c>
      <c r="AW83">
        <f ca="1">ROUND(IF(SUM($AW$82:AW82)&gt;(Summary!$O$18-Summary!$K$48)*(1-Summary!$C$49),(Summary!$O$18-Summary!$K$48)*(1-Summary!$C$49),SUM($AW$82:AW82)),0)</f>
        <v>0</v>
      </c>
      <c r="AX83">
        <f ca="1">ROUND(IF(SUM($AW$82:AX82)&gt;(Summary!$O$18-Summary!$K$48)*(1-Summary!$C$49),(Summary!$O$18-Summary!$K$48)*(1-Summary!$C$49),SUM($AW$82:AX82)),0)</f>
        <v>0</v>
      </c>
      <c r="AY83">
        <f ca="1">ROUND(IF(SUM($AW$82:AY82)&gt;(Summary!$O$18-Summary!$K$48)*(1-Summary!$C$49),(Summary!$O$18-Summary!$K$48)*(1-Summary!$C$49),SUM($AW$82:AY82)),0)</f>
        <v>0</v>
      </c>
      <c r="AZ83">
        <f ca="1">ROUND(IF(SUM($AW$82:AZ82)&gt;(Summary!$O$18-Summary!$K$48)*(1-Summary!$C$49),(Summary!$O$18-Summary!$K$48)*(1-Summary!$C$49),SUM($AW$82:AZ82)),0)</f>
        <v>0</v>
      </c>
      <c r="BA83">
        <f ca="1">ROUND(IF(SUM($AW$82:BA82)&gt;(Summary!$O$18-Summary!$K$48)*(1-Summary!$C$49),(Summary!$O$18-Summary!$K$48)*(1-Summary!$C$49),SUM($AW$82:BA82)),0)</f>
        <v>0</v>
      </c>
      <c r="BB83">
        <f ca="1">ROUND(IF(SUM($AW$82:BB82)&gt;(Summary!$O$18-Summary!$K$48)*(1-Summary!$C$49),(Summary!$O$18-Summary!$K$48)*(1-Summary!$C$49),SUM($AW$82:BB82)),0)</f>
        <v>0</v>
      </c>
      <c r="BC83">
        <f ca="1">ROUND(IF(SUM($AW$82:BC82)&gt;(Summary!$O$18-Summary!$K$48)*(1-Summary!$C$49),(Summary!$O$18-Summary!$K$48)*(1-Summary!$C$49),SUM($AW$82:BC82)),0)</f>
        <v>0</v>
      </c>
      <c r="BD83">
        <f ca="1">ROUND(IF(SUM($AW$82:BD82)&gt;(Summary!$O$18-Summary!$K$48)*(1-Summary!$C$49),(Summary!$O$18-Summary!$K$48)*(1-Summary!$C$49),SUM($AW$82:BD82)),0)</f>
        <v>0</v>
      </c>
      <c r="BE83">
        <f ca="1">ROUND(IF(SUM($AW$82:BE82)&gt;(Summary!$O$18-Summary!$K$48)*(1-Summary!$C$49),(Summary!$O$18-Summary!$K$48)*(1-Summary!$C$49),SUM($AW$82:BE82)),0)</f>
        <v>0</v>
      </c>
      <c r="BF83">
        <f ca="1">ROUND(IF(SUM($AW$82:BF82)&gt;(Summary!$O$18-Summary!$K$48)*(1-Summary!$C$49),(Summary!$O$18-Summary!$K$48)*(1-Summary!$C$49),SUM($AW$82:BF82)),0)</f>
        <v>0</v>
      </c>
      <c r="BG83">
        <f ca="1">ROUND(IF(SUM($AW$82:BG82)&gt;(Summary!$O$18-Summary!$K$48)*(1-Summary!$C$49),(Summary!$O$18-Summary!$K$48)*(1-Summary!$C$49),SUM($AW$82:BG82)),0)</f>
        <v>0</v>
      </c>
      <c r="BH83">
        <f ca="1">ROUND(IF(SUM($AW$82:BH82)&gt;(Summary!$O$18-Summary!$K$48)*(1-Summary!$C$49),(Summary!$O$18-Summary!$K$48)*(1-Summary!$C$49),SUM($AW$82:BH82)),0)</f>
        <v>0</v>
      </c>
      <c r="BI83">
        <f ca="1">ROUND(IF(SUM($AW$82:BI82)&gt;(Summary!$O$18-Summary!$K$48)*(1-Summary!$C$49),(Summary!$O$18-Summary!$K$48)*(1-Summary!$C$49),SUM($AW$82:BI82)),0)</f>
        <v>0</v>
      </c>
      <c r="BJ83">
        <f ca="1">ROUND(IF(SUM($AW$82:BJ82)&gt;(Summary!$O$18-Summary!$K$48)*(1-Summary!$C$49),(Summary!$O$18-Summary!$K$48)*(1-Summary!$C$49),SUM($AW$82:BJ82)),0)</f>
        <v>0</v>
      </c>
      <c r="BK83">
        <f ca="1">ROUND(IF(SUM($AW$82:BK82)&gt;(Summary!$O$18-Summary!$K$48)*(1-Summary!$C$49),(Summary!$O$18-Summary!$K$48)*(1-Summary!$C$49),SUM($AW$82:BK82)),0)</f>
        <v>0</v>
      </c>
      <c r="BL83">
        <f ca="1">ROUND(IF(SUM($AW$82:BL82)&gt;(Summary!$O$18-Summary!$K$48)*(1-Summary!$C$49),(Summary!$O$18-Summary!$K$48)*(1-Summary!$C$49),SUM($AW$82:BL82)),0)</f>
        <v>0</v>
      </c>
      <c r="BM83">
        <f ca="1">ROUND(IF(SUM($AW$82:BM82)&gt;(Summary!$O$18-Summary!$K$48)*(1-Summary!$C$49),(Summary!$O$18-Summary!$K$48)*(1-Summary!$C$49),SUM($AW$82:BM82)),0)</f>
        <v>6</v>
      </c>
      <c r="BN83">
        <f ca="1">ROUND(IF(SUM($AW$82:BN82)&gt;(Summary!$O$18-Summary!$K$48)*(1-Summary!$C$49),(Summary!$O$18-Summary!$K$48)*(1-Summary!$C$49),SUM($AW$82:BN82)),0)</f>
        <v>12</v>
      </c>
      <c r="BO83">
        <f ca="1">ROUND(IF(SUM($AW$82:BO82)&gt;(Summary!$O$18-Summary!$K$48)*(1-Summary!$C$49),(Summary!$O$18-Summary!$K$48)*(1-Summary!$C$49),SUM($AW$82:BO82)),0)</f>
        <v>18</v>
      </c>
      <c r="BP83">
        <f ca="1">ROUND(IF(SUM($AW$82:BP82)&gt;(Summary!$O$18-Summary!$K$48)*(1-Summary!$C$49),(Summary!$O$18-Summary!$K$48)*(1-Summary!$C$49),SUM($AW$82:BP82)),0)</f>
        <v>24</v>
      </c>
      <c r="BQ83">
        <f ca="1">ROUND(IF(SUM($AW$82:BQ82)&gt;(Summary!$O$18-Summary!$K$48)*(1-Summary!$C$49),(Summary!$O$18-Summary!$K$48)*(1-Summary!$C$49),SUM($AW$82:BQ82)),0)</f>
        <v>30</v>
      </c>
      <c r="BR83">
        <f ca="1">ROUND(IF(SUM($AW$82:BR82)&gt;(Summary!$O$18-Summary!$K$48)*(1-Summary!$C$49),(Summary!$O$18-Summary!$K$48)*(1-Summary!$C$49),SUM($AW$82:BR82)),0)</f>
        <v>36</v>
      </c>
      <c r="BS83">
        <f ca="1">ROUND(IF(SUM($AW$82:BS82)&gt;(Summary!$O$18-Summary!$K$48)*(1-Summary!$C$49),(Summary!$O$18-Summary!$K$48)*(1-Summary!$C$49),SUM($AW$82:BS82)),0)</f>
        <v>42</v>
      </c>
      <c r="BT83">
        <f ca="1">ROUND(IF(SUM($AW$82:BT82)&gt;(Summary!$O$18-Summary!$K$48)*(1-Summary!$C$49),(Summary!$O$18-Summary!$K$48)*(1-Summary!$C$49),SUM($AW$82:BT82)),0)</f>
        <v>48</v>
      </c>
      <c r="BU83">
        <f ca="1">ROUND(IF(SUM($AW$82:BU82)&gt;(Summary!$O$18-Summary!$K$48)*(1-Summary!$C$49),(Summary!$O$18-Summary!$K$48)*(1-Summary!$C$49),SUM($AW$82:BU82)),0)</f>
        <v>54</v>
      </c>
      <c r="BV83">
        <f ca="1">ROUND(IF(SUM($AW$82:BV82)&gt;(Summary!$O$18-Summary!$K$48)*(1-Summary!$C$49),(Summary!$O$18-Summary!$K$48)*(1-Summary!$C$49),SUM($AW$82:BV82)),0)</f>
        <v>60</v>
      </c>
      <c r="BW83">
        <f ca="1">ROUND(IF(SUM($AW$82:BW82)&gt;(Summary!$O$18-Summary!$K$48)*(1-Summary!$C$49),(Summary!$O$18-Summary!$K$48)*(1-Summary!$C$49),SUM($AW$82:BW82)),0)</f>
        <v>66</v>
      </c>
      <c r="BX83">
        <f ca="1">ROUND(IF(SUM($AW$82:BX82)&gt;(Summary!$O$18-Summary!$K$48)*(1-Summary!$C$49),(Summary!$O$18-Summary!$K$48)*(1-Summary!$C$49),SUM($AW$82:BX82)),0)</f>
        <v>72</v>
      </c>
      <c r="BY83">
        <f ca="1">ROUND(IF(SUM($AW$82:BY82)&gt;(Summary!$O$18-Summary!$K$48)*(1-Summary!$C$49),(Summary!$O$18-Summary!$K$48)*(1-Summary!$C$49),SUM($AW$82:BY82)),0)</f>
        <v>78</v>
      </c>
      <c r="BZ83">
        <f ca="1">ROUND(IF(SUM($AW$82:BZ82)&gt;(Summary!$O$18-Summary!$K$48)*(1-Summary!$C$49),(Summary!$O$18-Summary!$K$48)*(1-Summary!$C$49),SUM($AW$82:BZ82)),0)</f>
        <v>84</v>
      </c>
      <c r="CA83">
        <f ca="1">ROUND(IF(SUM($AW$82:CA82)&gt;(Summary!$O$18-Summary!$K$48)*(1-Summary!$C$49),(Summary!$O$18-Summary!$K$48)*(1-Summary!$C$49),SUM($AW$82:CA82)),0)</f>
        <v>86</v>
      </c>
      <c r="CB83">
        <f ca="1">ROUND(IF(SUM($AW$82:CB82)&gt;(Summary!$O$18-Summary!$K$48)*(1-Summary!$C$49),(Summary!$O$18-Summary!$K$48)*(1-Summary!$C$49),SUM($AW$82:CB82)),0)</f>
        <v>86</v>
      </c>
      <c r="CC83">
        <f ca="1">ROUND(IF(SUM($AW$82:CC82)&gt;(Summary!$O$18-Summary!$K$48)*(1-Summary!$C$49),(Summary!$O$18-Summary!$K$48)*(1-Summary!$C$49),SUM($AW$82:CC82)),0)</f>
        <v>86</v>
      </c>
      <c r="CD83">
        <f ca="1">ROUND(IF(SUM($AW$82:CD82)&gt;(Summary!$O$18-Summary!$K$48)*(1-Summary!$C$49),(Summary!$O$18-Summary!$K$48)*(1-Summary!$C$49),SUM($AW$82:CD82)),0)</f>
        <v>86</v>
      </c>
      <c r="CE83">
        <f ca="1">ROUND(IF(SUM($AW$82:CE82)&gt;(Summary!$O$18-Summary!$K$48)*(1-Summary!$C$49),(Summary!$O$18-Summary!$K$48)*(1-Summary!$C$49),SUM($AW$82:CE82)),0)</f>
        <v>86</v>
      </c>
      <c r="CF83">
        <f ca="1">ROUND(IF(SUM($AW$82:CF82)&gt;(Summary!$O$18-Summary!$K$48)*(1-Summary!$C$49),(Summary!$O$18-Summary!$K$48)*(1-Summary!$C$49),SUM($AW$82:CF82)),0)</f>
        <v>86</v>
      </c>
      <c r="CG83">
        <f ca="1">ROUND(IF(SUM($AW$82:CG82)&gt;(Summary!$O$18-Summary!$K$48)*(1-Summary!$C$49),(Summary!$O$18-Summary!$K$48)*(1-Summary!$C$49),SUM($AW$82:CG82)),0)</f>
        <v>86</v>
      </c>
      <c r="CH83">
        <f ca="1">ROUND(IF(SUM($AW$82:CH82)&gt;(Summary!$O$18-Summary!$K$48)*(1-Summary!$C$49),(Summary!$O$18-Summary!$K$48)*(1-Summary!$C$49),SUM($AW$82:CH82)),0)</f>
        <v>86</v>
      </c>
      <c r="CI83">
        <f ca="1">ROUND(IF(SUM($AW$82:CI82)&gt;(Summary!$O$18-Summary!$K$48)*(1-Summary!$C$49),(Summary!$O$18-Summary!$K$48)*(1-Summary!$C$49),SUM($AW$82:CI82)),0)</f>
        <v>86</v>
      </c>
      <c r="CJ83">
        <f ca="1">ROUND(IF(SUM($AW$82:CJ82)&gt;(Summary!$O$18-Summary!$K$48)*(1-Summary!$C$49),(Summary!$O$18-Summary!$K$48)*(1-Summary!$C$49),SUM($AW$82:CJ82)),0)</f>
        <v>86</v>
      </c>
      <c r="CK83">
        <f ca="1">ROUND(IF(SUM($AW$82:CK82)&gt;(Summary!$O$18-Summary!$K$48)*(1-Summary!$C$49),(Summary!$O$18-Summary!$K$48)*(1-Summary!$C$49),SUM($AW$82:CK82)),0)</f>
        <v>86</v>
      </c>
      <c r="CL83">
        <f ca="1">ROUND(IF(SUM($AW$82:CL82)&gt;(Summary!$O$18-Summary!$K$48)*(1-Summary!$C$49),(Summary!$O$18-Summary!$K$48)*(1-Summary!$C$49),SUM($AW$82:CL82)),0)</f>
        <v>86</v>
      </c>
      <c r="CM83">
        <f ca="1">ROUND(IF(SUM($AW$82:CM82)&gt;(Summary!$O$18-Summary!$K$48)*(1-Summary!$C$49),(Summary!$O$18-Summary!$K$48)*(1-Summary!$C$49),SUM($AW$82:CM82)),0)</f>
        <v>86</v>
      </c>
      <c r="CN83">
        <f ca="1">ROUND(IF(SUM($AW$82:CN82)&gt;(Summary!$O$18-Summary!$K$48)*(1-Summary!$C$49),(Summary!$O$18-Summary!$K$48)*(1-Summary!$C$49),SUM($AW$82:CN82)),0)</f>
        <v>86</v>
      </c>
      <c r="CO83">
        <f ca="1">ROUND(IF(SUM($AW$82:CO82)&gt;(Summary!$O$18-Summary!$K$48)*(1-Summary!$C$49),(Summary!$O$18-Summary!$K$48)*(1-Summary!$C$49),SUM($AW$82:CO82)),0)</f>
        <v>86</v>
      </c>
      <c r="CP83">
        <f ca="1">ROUND(IF(SUM($AW$82:CP82)&gt;(Summary!$O$18-Summary!$K$48)*(1-Summary!$C$49),(Summary!$O$18-Summary!$K$48)*(1-Summary!$C$49),SUM($AW$82:CP82)),0)</f>
        <v>86</v>
      </c>
      <c r="CQ83">
        <f ca="1">ROUND(IF(SUM($AW$82:CQ82)&gt;(Summary!$O$18-Summary!$K$48)*(1-Summary!$C$49),(Summary!$O$18-Summary!$K$48)*(1-Summary!$C$49),SUM($AW$82:CQ82)),0)</f>
        <v>86</v>
      </c>
      <c r="CR83">
        <f ca="1">ROUND(IF(SUM($AW$82:CR82)&gt;(Summary!$O$18-Summary!$K$48)*(1-Summary!$C$49),(Summary!$O$18-Summary!$K$48)*(1-Summary!$C$49),SUM($AW$82:CR82)),0)</f>
        <v>86</v>
      </c>
      <c r="CS83">
        <f ca="1">ROUND(IF(SUM($AW$82:CS82)&gt;(Summary!$O$18-Summary!$K$48)*(1-Summary!$C$49),(Summary!$O$18-Summary!$K$48)*(1-Summary!$C$49),SUM($AW$82:CS82)),0)</f>
        <v>86</v>
      </c>
      <c r="CT83">
        <f ca="1">ROUND(IF(SUM($AW$82:CT82)&gt;(Summary!$O$18-Summary!$K$48)*(1-Summary!$C$49),(Summary!$O$18-Summary!$K$48)*(1-Summary!$C$49),SUM($AW$82:CT82)),0)</f>
        <v>86</v>
      </c>
      <c r="CU83">
        <f ca="1">ROUND(IF(SUM($AW$82:CU82)&gt;(Summary!$O$18-Summary!$K$48)*(1-Summary!$C$49),(Summary!$O$18-Summary!$K$48)*(1-Summary!$C$49),SUM($AW$82:CU82)),0)</f>
        <v>86</v>
      </c>
      <c r="CV83">
        <f ca="1">ROUND(IF(SUM($AW$82:CV82)&gt;(Summary!$O$18-Summary!$K$48)*(1-Summary!$C$49),(Summary!$O$18-Summary!$K$48)*(1-Summary!$C$49),SUM($AW$82:CV82)),0)</f>
        <v>86</v>
      </c>
      <c r="CW83">
        <f ca="1">ROUND(IF(SUM($AW$82:CW82)&gt;(Summary!$O$18-Summary!$K$48)*(1-Summary!$C$49),(Summary!$O$18-Summary!$K$48)*(1-Summary!$C$49),SUM($AW$82:CW82)),0)</f>
        <v>86</v>
      </c>
      <c r="CX83">
        <f ca="1">ROUND(IF(SUM($AW$82:CX82)&gt;(Summary!$O$18-Summary!$K$48)*(1-Summary!$C$49),(Summary!$O$18-Summary!$K$48)*(1-Summary!$C$49),SUM($AW$82:CX82)),0)</f>
        <v>86</v>
      </c>
      <c r="CY83">
        <f ca="1">ROUND(IF(SUM($AW$82:CY82)&gt;(Summary!$O$18-Summary!$K$48)*(1-Summary!$C$49),(Summary!$O$18-Summary!$K$48)*(1-Summary!$C$49),SUM($AW$82:CY82)),0)</f>
        <v>86</v>
      </c>
      <c r="CZ83">
        <f ca="1">ROUND(IF(SUM($AW$82:CZ82)&gt;(Summary!$O$18-Summary!$K$48)*(1-Summary!$C$49),(Summary!$O$18-Summary!$K$48)*(1-Summary!$C$49),SUM($AW$82:CZ82)),0)</f>
        <v>86</v>
      </c>
      <c r="DA83">
        <f ca="1">ROUND(IF(SUM($AW$82:DA82)&gt;(Summary!$O$18-Summary!$K$48)*(1-Summary!$C$49),(Summary!$O$18-Summary!$K$48)*(1-Summary!$C$49),SUM($AW$82:DA82)),0)</f>
        <v>86</v>
      </c>
      <c r="DB83">
        <f ca="1">ROUND(IF(SUM($AW$82:DB82)&gt;(Summary!$O$18-Summary!$K$48)*(1-Summary!$C$49),(Summary!$O$18-Summary!$K$48)*(1-Summary!$C$49),SUM($AW$82:DB82)),0)</f>
        <v>86</v>
      </c>
      <c r="DC83">
        <f ca="1">ROUND(IF(SUM($AW$82:DC82)&gt;(Summary!$O$18-Summary!$K$48)*(1-Summary!$C$49),(Summary!$O$18-Summary!$K$48)*(1-Summary!$C$49),SUM($AW$82:DC82)),0)</f>
        <v>86</v>
      </c>
      <c r="DD83">
        <f ca="1">ROUND(IF(SUM($AW$82:DD82)&gt;(Summary!$O$18-Summary!$K$48)*(1-Summary!$C$49),(Summary!$O$18-Summary!$K$48)*(1-Summary!$C$49),SUM($AW$82:DD82)),0)</f>
        <v>86</v>
      </c>
      <c r="DE83" s="114">
        <f ca="1">ROUND(IF(SUM($AW$82:DE82)&gt;(Summary!$O$18-Summary!$K$48)*(1-Summary!$C$49),(Summary!$O$18-Summary!$K$48)*(1-Summary!$C$49),SUM($AW$82:DE82)),0)</f>
        <v>86</v>
      </c>
    </row>
    <row r="84" spans="2:109">
      <c r="B84" s="350" t="s">
        <v>346</v>
      </c>
      <c r="AW84" s="138">
        <f>IF(AND(AW7&gt;=EDATE(Summary!$C$13,-6),AW7&lt;=Summary!$C$13),Summary!$C$28,IF(AND('Construction Schedule'!AW7&gt;=EDATE(Summary!$C$13,1),'Construction Schedule'!AW7&lt;=EDATE(Summary!$C$13,18)),Summary!$C$29,0))</f>
        <v>0</v>
      </c>
      <c r="AX84" s="138">
        <f>IF(AND(AX7&gt;=EDATE(Summary!$C$13,-6),AX7&lt;=Summary!$C$13),Summary!$C$28,IF(AND('Construction Schedule'!AX7&gt;=EDATE(Summary!$C$13,1),'Construction Schedule'!AX7&lt;=EDATE(Summary!$C$13,18)),Summary!$C$29,0))</f>
        <v>0</v>
      </c>
      <c r="AY84" s="138">
        <f>IF(AND(AY7&gt;=EDATE(Summary!$C$13,-6),AY7&lt;=Summary!$C$13),Summary!$C$28,IF(AND('Construction Schedule'!AY7&gt;=EDATE(Summary!$C$13,1),'Construction Schedule'!AY7&lt;=EDATE(Summary!$C$13,18)),Summary!$C$29,0))</f>
        <v>0</v>
      </c>
      <c r="AZ84" s="138">
        <f>IF(AND(AZ7&gt;=EDATE(Summary!$C$13,-6),AZ7&lt;=Summary!$C$13),Summary!$C$28,IF(AND('Construction Schedule'!AZ7&gt;=EDATE(Summary!$C$13,1),'Construction Schedule'!AZ7&lt;=EDATE(Summary!$C$13,18)),Summary!$C$29,0))</f>
        <v>0</v>
      </c>
      <c r="BA84" s="138">
        <f>IF(AND(BA7&gt;=EDATE(Summary!$C$13,-6),BA7&lt;=Summary!$C$13),Summary!$C$28,IF(AND('Construction Schedule'!BA7&gt;=EDATE(Summary!$C$13,1),'Construction Schedule'!BA7&lt;=EDATE(Summary!$C$13,18)),Summary!$C$29,0))</f>
        <v>0</v>
      </c>
      <c r="BB84" s="138">
        <f>IF(AND(BB7&gt;=EDATE(Summary!$C$13,-6),BB7&lt;=Summary!$C$13),Summary!$C$28,IF(AND('Construction Schedule'!BB7&gt;=EDATE(Summary!$C$13,1),'Construction Schedule'!BB7&lt;=EDATE(Summary!$C$13,18)),Summary!$C$29,0))</f>
        <v>0</v>
      </c>
      <c r="BC84" s="138">
        <f>IF(AND(BC7&gt;=EDATE(Summary!$C$13,-6),BC7&lt;=Summary!$C$13),Summary!$C$28,IF(AND('Construction Schedule'!BC7&gt;=EDATE(Summary!$C$13,1),'Construction Schedule'!BC7&lt;=EDATE(Summary!$C$13,18)),Summary!$C$29,0))</f>
        <v>0</v>
      </c>
      <c r="BD84" s="138">
        <f>IF(AND(BD7&gt;=EDATE(Summary!$C$13,-6),BD7&lt;=Summary!$C$13),Summary!$C$28,IF(AND('Construction Schedule'!BD7&gt;=EDATE(Summary!$C$13,1),'Construction Schedule'!BD7&lt;=EDATE(Summary!$C$13,18)),Summary!$C$29,0))</f>
        <v>0</v>
      </c>
      <c r="BE84" s="138">
        <f>IF(AND(BE7&gt;=EDATE(Summary!$C$13,-6),BE7&lt;=Summary!$C$13),Summary!$C$28,IF(AND('Construction Schedule'!BE7&gt;=EDATE(Summary!$C$13,1),'Construction Schedule'!BE7&lt;=EDATE(Summary!$C$13,18)),Summary!$C$29,0))</f>
        <v>0</v>
      </c>
      <c r="BF84" s="138">
        <f>IF(AND(BF7&gt;=EDATE(Summary!$C$13,-6),BF7&lt;=Summary!$C$13),Summary!$C$28,IF(AND('Construction Schedule'!BF7&gt;=EDATE(Summary!$C$13,1),'Construction Schedule'!BF7&lt;=EDATE(Summary!$C$13,18)),Summary!$C$29,0))</f>
        <v>0</v>
      </c>
      <c r="BG84" s="138">
        <f>IF(AND(BG7&gt;=EDATE(Summary!$C$13,-6),BG7&lt;=Summary!$C$13),Summary!$C$28,IF(AND('Construction Schedule'!BG7&gt;=EDATE(Summary!$C$13,1),'Construction Schedule'!BG7&lt;=EDATE(Summary!$C$13,18)),Summary!$C$29,0))</f>
        <v>0</v>
      </c>
      <c r="BH84" s="138">
        <f>IF(AND(BH7&gt;=EDATE(Summary!$C$13,-6),BH7&lt;=Summary!$C$13),Summary!$C$28,IF(AND('Construction Schedule'!BH7&gt;=EDATE(Summary!$C$13,1),'Construction Schedule'!BH7&lt;=EDATE(Summary!$C$13,18)),Summary!$C$29,0))</f>
        <v>0</v>
      </c>
      <c r="BI84" s="138">
        <f>IF(AND(BI7&gt;=EDATE(Summary!$C$13,-6),BI7&lt;=Summary!$C$13),Summary!$C$28,IF(AND('Construction Schedule'!BI7&gt;=EDATE(Summary!$C$13,1),'Construction Schedule'!BI7&lt;=EDATE(Summary!$C$13,18)),Summary!$C$29,0))</f>
        <v>0</v>
      </c>
      <c r="BJ84" s="138">
        <f>IF(AND(BJ7&gt;=EDATE(Summary!$C$13,-6),BJ7&lt;=Summary!$C$13),Summary!$C$28,IF(AND('Construction Schedule'!BJ7&gt;=EDATE(Summary!$C$13,1),'Construction Schedule'!BJ7&lt;=EDATE(Summary!$C$13,18)),Summary!$C$29,0))</f>
        <v>0</v>
      </c>
      <c r="BK84" s="138">
        <f>IF(AND(BK7&gt;=EDATE(Summary!$C$13,-6),BK7&lt;=Summary!$C$13),Summary!$C$28,IF(AND('Construction Schedule'!BK7&gt;=EDATE(Summary!$C$13,1),'Construction Schedule'!BK7&lt;=EDATE(Summary!$C$13,18)),Summary!$C$29,0))</f>
        <v>0</v>
      </c>
      <c r="BL84" s="138">
        <f>IF(AND(BL7&gt;=EDATE(Summary!$C$13,-6),BL7&lt;=Summary!$C$13),Summary!$C$28,IF(AND('Construction Schedule'!BL7&gt;=EDATE(Summary!$C$13,1),'Construction Schedule'!BL7&lt;=EDATE(Summary!$C$13,18)),Summary!$C$29,0))</f>
        <v>0</v>
      </c>
      <c r="BM84" s="138">
        <f>IF(AND(BM7&gt;=EDATE(Summary!$C$13,-6),BM7&lt;=Summary!$C$13),Summary!$C$28,IF(AND('Construction Schedule'!BM7&gt;=EDATE(Summary!$C$13,1),'Construction Schedule'!BM7&lt;=EDATE(Summary!$C$13,18)),Summary!$C$29,0))</f>
        <v>0.06</v>
      </c>
      <c r="BN84" s="138">
        <f>IF(AND(BN7&gt;=EDATE(Summary!$C$13,-6),BN7&lt;=Summary!$C$13),Summary!$C$28,IF(AND('Construction Schedule'!BN7&gt;=EDATE(Summary!$C$13,1),'Construction Schedule'!BN7&lt;=EDATE(Summary!$C$13,18)),Summary!$C$29,0))</f>
        <v>0.06</v>
      </c>
      <c r="BO84" s="138">
        <f>IF(AND(BO7&gt;=EDATE(Summary!$C$13,-6),BO7&lt;=Summary!$C$13),Summary!$C$28,IF(AND('Construction Schedule'!BO7&gt;=EDATE(Summary!$C$13,1),'Construction Schedule'!BO7&lt;=EDATE(Summary!$C$13,18)),Summary!$C$29,0))</f>
        <v>0.06</v>
      </c>
      <c r="BP84" s="138">
        <f>IF(AND(BP7&gt;=EDATE(Summary!$C$13,-6),BP7&lt;=Summary!$C$13),Summary!$C$28,IF(AND('Construction Schedule'!BP7&gt;=EDATE(Summary!$C$13,1),'Construction Schedule'!BP7&lt;=EDATE(Summary!$C$13,18)),Summary!$C$29,0))</f>
        <v>0.06</v>
      </c>
      <c r="BQ84" s="138">
        <f>IF(AND(BQ7&gt;=EDATE(Summary!$C$13,-6),BQ7&lt;=Summary!$C$13),Summary!$C$28,IF(AND('Construction Schedule'!BQ7&gt;=EDATE(Summary!$C$13,1),'Construction Schedule'!BQ7&lt;=EDATE(Summary!$C$13,18)),Summary!$C$29,0))</f>
        <v>0.06</v>
      </c>
      <c r="BR84" s="138">
        <f>IF(AND(BR7&gt;=EDATE(Summary!$C$13,-6),BR7&lt;=Summary!$C$13),Summary!$C$28,IF(AND('Construction Schedule'!BR7&gt;=EDATE(Summary!$C$13,1),'Construction Schedule'!BR7&lt;=EDATE(Summary!$C$13,18)),Summary!$C$29,0))</f>
        <v>0.06</v>
      </c>
      <c r="BS84" s="138">
        <f>IF(AND(BS7&gt;=EDATE(Summary!$C$13,-6),BS7&lt;=Summary!$C$13),Summary!$C$28,IF(AND('Construction Schedule'!BS7&gt;=EDATE(Summary!$C$13,1),'Construction Schedule'!BS7&lt;=EDATE(Summary!$C$13,18)),Summary!$C$29,0))</f>
        <v>0.06</v>
      </c>
      <c r="BT84" s="138">
        <f>IF(AND(BT7&gt;=EDATE(Summary!$C$13,-6),BT7&lt;=Summary!$C$13),Summary!$C$28,IF(AND('Construction Schedule'!BT7&gt;=EDATE(Summary!$C$13,1),'Construction Schedule'!BT7&lt;=EDATE(Summary!$C$13,18)),Summary!$C$29,0))</f>
        <v>0.06</v>
      </c>
      <c r="BU84" s="138">
        <f>IF(AND(BU7&gt;=EDATE(Summary!$C$13,-6),BU7&lt;=Summary!$C$13),Summary!$C$28,IF(AND('Construction Schedule'!BU7&gt;=EDATE(Summary!$C$13,1),'Construction Schedule'!BU7&lt;=EDATE(Summary!$C$13,18)),Summary!$C$29,0))</f>
        <v>0.06</v>
      </c>
      <c r="BV84" s="138">
        <f>IF(AND(BV7&gt;=EDATE(Summary!$C$13,-6),BV7&lt;=Summary!$C$13),Summary!$C$28,IF(AND('Construction Schedule'!BV7&gt;=EDATE(Summary!$C$13,1),'Construction Schedule'!BV7&lt;=EDATE(Summary!$C$13,18)),Summary!$C$29,0))</f>
        <v>0.06</v>
      </c>
      <c r="BW84" s="138">
        <f>IF(AND(BW7&gt;=EDATE(Summary!$C$13,-6),BW7&lt;=Summary!$C$13),Summary!$C$28,IF(AND('Construction Schedule'!BW7&gt;=EDATE(Summary!$C$13,1),'Construction Schedule'!BW7&lt;=EDATE(Summary!$C$13,18)),Summary!$C$29,0))</f>
        <v>0.06</v>
      </c>
      <c r="BX84" s="138">
        <f>IF(AND(BX7&gt;=EDATE(Summary!$C$13,-6),BX7&lt;=Summary!$C$13),Summary!$C$28,IF(AND('Construction Schedule'!BX7&gt;=EDATE(Summary!$C$13,1),'Construction Schedule'!BX7&lt;=EDATE(Summary!$C$13,18)),Summary!$C$29,0))</f>
        <v>0.06</v>
      </c>
      <c r="BY84" s="138">
        <f>IF(AND(BY7&gt;=EDATE(Summary!$C$13,-6),BY7&lt;=Summary!$C$13),Summary!$C$28,IF(AND('Construction Schedule'!BY7&gt;=EDATE(Summary!$C$13,1),'Construction Schedule'!BY7&lt;=EDATE(Summary!$C$13,18)),Summary!$C$29,0))</f>
        <v>0.06</v>
      </c>
      <c r="BZ84" s="138">
        <f>IF(AND(BZ7&gt;=EDATE(Summary!$C$13,-6),BZ7&lt;=Summary!$C$13),Summary!$C$28,IF(AND('Construction Schedule'!BZ7&gt;=EDATE(Summary!$C$13,1),'Construction Schedule'!BZ7&lt;=EDATE(Summary!$C$13,18)),Summary!$C$29,0))</f>
        <v>0.06</v>
      </c>
      <c r="CA84" s="138">
        <f>IF(AND(CA7&gt;=EDATE(Summary!$C$13,-6),CA7&lt;=Summary!$C$13),Summary!$C$28,IF(AND('Construction Schedule'!CA7&gt;=EDATE(Summary!$C$13,1),'Construction Schedule'!CA7&lt;=EDATE(Summary!$C$13,18)),Summary!$C$29,0))</f>
        <v>0.06</v>
      </c>
      <c r="CB84" s="138">
        <f>IF(AND(CB7&gt;=EDATE(Summary!$C$13,-6),CB7&lt;=Summary!$C$13),Summary!$C$28,IF(AND('Construction Schedule'!CB7&gt;=EDATE(Summary!$C$13,1),'Construction Schedule'!CB7&lt;=EDATE(Summary!$C$13,18)),Summary!$C$29,0))</f>
        <v>0.06</v>
      </c>
      <c r="CC84" s="138">
        <f>IF(AND(CC7&gt;=EDATE(Summary!$C$13,-6),CC7&lt;=Summary!$C$13),Summary!$C$28,IF(AND('Construction Schedule'!CC7&gt;=EDATE(Summary!$C$13,1),'Construction Schedule'!CC7&lt;=EDATE(Summary!$C$13,18)),Summary!$C$29,0))</f>
        <v>0.06</v>
      </c>
      <c r="CD84" s="138">
        <f>IF(AND(CD7&gt;=EDATE(Summary!$C$13,-6),CD7&lt;=Summary!$C$13),Summary!$C$28,IF(AND('Construction Schedule'!CD7&gt;=EDATE(Summary!$C$13,1),'Construction Schedule'!CD7&lt;=EDATE(Summary!$C$13,18)),Summary!$C$29,0))</f>
        <v>0</v>
      </c>
      <c r="CE84" s="138">
        <f>IF(AND(CE7&gt;=EDATE(Summary!$C$13,-6),CE7&lt;=Summary!$C$13),Summary!$C$28,IF(AND('Construction Schedule'!CE7&gt;=EDATE(Summary!$C$13,1),'Construction Schedule'!CE7&lt;=EDATE(Summary!$C$13,18)),Summary!$C$29,0))</f>
        <v>0</v>
      </c>
      <c r="CF84" s="138">
        <f>IF(AND(CF7&gt;=EDATE(Summary!$C$13,-6),CF7&lt;=Summary!$C$13),Summary!$C$28,IF(AND('Construction Schedule'!CF7&gt;=EDATE(Summary!$C$13,1),'Construction Schedule'!CF7&lt;=EDATE(Summary!$C$13,18)),Summary!$C$29,0))</f>
        <v>0</v>
      </c>
      <c r="CG84" s="138">
        <f>IF(AND(CG7&gt;=EDATE(Summary!$C$13,-6),CG7&lt;=Summary!$C$13),Summary!$C$28,IF(AND('Construction Schedule'!CG7&gt;=EDATE(Summary!$C$13,1),'Construction Schedule'!CG7&lt;=EDATE(Summary!$C$13,18)),Summary!$C$29,0))</f>
        <v>0</v>
      </c>
      <c r="CH84" s="138">
        <f>IF(AND(CH7&gt;=EDATE(Summary!$C$13,-6),CH7&lt;=Summary!$C$13),Summary!$C$28,IF(AND('Construction Schedule'!CH7&gt;=EDATE(Summary!$C$13,1),'Construction Schedule'!CH7&lt;=EDATE(Summary!$C$13,18)),Summary!$C$29,0))</f>
        <v>0</v>
      </c>
      <c r="CI84" s="138">
        <f>IF(AND(CI7&gt;=EDATE(Summary!$C$13,-6),CI7&lt;=Summary!$C$13),Summary!$C$28,IF(AND('Construction Schedule'!CI7&gt;=EDATE(Summary!$C$13,1),'Construction Schedule'!CI7&lt;=EDATE(Summary!$C$13,18)),Summary!$C$29,0))</f>
        <v>0</v>
      </c>
      <c r="CJ84" s="138">
        <f>IF(AND(CJ7&gt;=EDATE(Summary!$C$13,-6),CJ7&lt;=Summary!$C$13),Summary!$C$28,IF(AND('Construction Schedule'!CJ7&gt;=EDATE(Summary!$C$13,1),'Construction Schedule'!CJ7&lt;=EDATE(Summary!$C$13,18)),Summary!$C$29,0))</f>
        <v>0</v>
      </c>
      <c r="CK84" s="138">
        <f>IF(AND(CK7&gt;=EDATE(Summary!$C$13,-6),CK7&lt;=Summary!$C$13),Summary!$C$28,IF(AND('Construction Schedule'!CK7&gt;=EDATE(Summary!$C$13,1),'Construction Schedule'!CK7&lt;=EDATE(Summary!$C$13,18)),Summary!$C$29,0))</f>
        <v>0</v>
      </c>
      <c r="CL84" s="138">
        <f>IF(AND(CL7&gt;=EDATE(Summary!$C$13,-6),CL7&lt;=Summary!$C$13),Summary!$C$28,IF(AND('Construction Schedule'!CL7&gt;=EDATE(Summary!$C$13,1),'Construction Schedule'!CL7&lt;=EDATE(Summary!$C$13,18)),Summary!$C$29,0))</f>
        <v>0</v>
      </c>
      <c r="CM84" s="138">
        <f>IF(AND(CM7&gt;=EDATE(Summary!$C$13,-6),CM7&lt;=Summary!$C$13),Summary!$C$28,IF(AND('Construction Schedule'!CM7&gt;=EDATE(Summary!$C$13,1),'Construction Schedule'!CM7&lt;=EDATE(Summary!$C$13,18)),Summary!$C$29,0))</f>
        <v>0</v>
      </c>
      <c r="CN84" s="138">
        <f>IF(AND(CN7&gt;=EDATE(Summary!$C$13,-6),CN7&lt;=Summary!$C$13),Summary!$C$28,IF(AND('Construction Schedule'!CN7&gt;=EDATE(Summary!$C$13,1),'Construction Schedule'!CN7&lt;=EDATE(Summary!$C$13,18)),Summary!$C$29,0))</f>
        <v>0</v>
      </c>
      <c r="CO84" s="138">
        <f>IF(AND(CO7&gt;=EDATE(Summary!$C$13,-6),CO7&lt;=Summary!$C$13),Summary!$C$28,IF(AND('Construction Schedule'!CO7&gt;=EDATE(Summary!$C$13,1),'Construction Schedule'!CO7&lt;=EDATE(Summary!$C$13,18)),Summary!$C$29,0))</f>
        <v>0</v>
      </c>
      <c r="CP84" s="138">
        <f>IF(AND(CP7&gt;=EDATE(Summary!$C$13,-6),CP7&lt;=Summary!$C$13),Summary!$C$28,IF(AND('Construction Schedule'!CP7&gt;=EDATE(Summary!$C$13,1),'Construction Schedule'!CP7&lt;=EDATE(Summary!$C$13,18)),Summary!$C$29,0))</f>
        <v>0</v>
      </c>
      <c r="CQ84" s="138">
        <f>IF(AND(CQ7&gt;=EDATE(Summary!$C$13,-6),CQ7&lt;=Summary!$C$13),Summary!$C$28,IF(AND('Construction Schedule'!CQ7&gt;=EDATE(Summary!$C$13,1),'Construction Schedule'!CQ7&lt;=EDATE(Summary!$C$13,18)),Summary!$C$29,0))</f>
        <v>0</v>
      </c>
      <c r="CR84" s="138">
        <f>IF(AND(CR7&gt;=EDATE(Summary!$C$13,-6),CR7&lt;=Summary!$C$13),Summary!$C$28,IF(AND('Construction Schedule'!CR7&gt;=EDATE(Summary!$C$13,1),'Construction Schedule'!CR7&lt;=EDATE(Summary!$C$13,18)),Summary!$C$29,0))</f>
        <v>0</v>
      </c>
      <c r="CS84" s="138">
        <f>IF(AND(CS7&gt;=EDATE(Summary!$C$13,-6),CS7&lt;=Summary!$C$13),Summary!$C$28,IF(AND('Construction Schedule'!CS7&gt;=EDATE(Summary!$C$13,1),'Construction Schedule'!CS7&lt;=EDATE(Summary!$C$13,18)),Summary!$C$29,0))</f>
        <v>0</v>
      </c>
      <c r="CT84" s="138">
        <f>IF(AND(CT7&gt;=EDATE(Summary!$C$13,-6),CT7&lt;=Summary!$C$13),Summary!$C$28,IF(AND('Construction Schedule'!CT7&gt;=EDATE(Summary!$C$13,1),'Construction Schedule'!CT7&lt;=EDATE(Summary!$C$13,18)),Summary!$C$29,0))</f>
        <v>0</v>
      </c>
      <c r="CU84" s="138">
        <f>IF(AND(CU7&gt;=EDATE(Summary!$C$13,-6),CU7&lt;=Summary!$C$13),Summary!$C$28,IF(AND('Construction Schedule'!CU7&gt;=EDATE(Summary!$C$13,1),'Construction Schedule'!CU7&lt;=EDATE(Summary!$C$13,18)),Summary!$C$29,0))</f>
        <v>0</v>
      </c>
      <c r="CV84" s="138">
        <f>IF(AND(CV7&gt;=EDATE(Summary!$C$13,-6),CV7&lt;=Summary!$C$13),Summary!$C$28,IF(AND('Construction Schedule'!CV7&gt;=EDATE(Summary!$C$13,1),'Construction Schedule'!CV7&lt;=EDATE(Summary!$C$13,18)),Summary!$C$29,0))</f>
        <v>0</v>
      </c>
      <c r="CW84" s="138">
        <f>IF(AND(CW7&gt;=EDATE(Summary!$C$13,-6),CW7&lt;=Summary!$C$13),Summary!$C$28,IF(AND('Construction Schedule'!CW7&gt;=EDATE(Summary!$C$13,1),'Construction Schedule'!CW7&lt;=EDATE(Summary!$C$13,18)),Summary!$C$29,0))</f>
        <v>0</v>
      </c>
      <c r="CX84" s="138">
        <f>IF(AND(CX7&gt;=EDATE(Summary!$C$13,-6),CX7&lt;=Summary!$C$13),Summary!$C$28,IF(AND('Construction Schedule'!CX7&gt;=EDATE(Summary!$C$13,1),'Construction Schedule'!CX7&lt;=EDATE(Summary!$C$13,18)),Summary!$C$29,0))</f>
        <v>0</v>
      </c>
      <c r="CY84" s="138">
        <f>IF(AND(CY7&gt;=EDATE(Summary!$C$13,-6),CY7&lt;=Summary!$C$13),Summary!$C$28,IF(AND('Construction Schedule'!CY7&gt;=EDATE(Summary!$C$13,1),'Construction Schedule'!CY7&lt;=EDATE(Summary!$C$13,18)),Summary!$C$29,0))</f>
        <v>0</v>
      </c>
      <c r="CZ84" s="138">
        <f>IF(AND(CZ7&gt;=EDATE(Summary!$C$13,-6),CZ7&lt;=Summary!$C$13),Summary!$C$28,IF(AND('Construction Schedule'!CZ7&gt;=EDATE(Summary!$C$13,1),'Construction Schedule'!CZ7&lt;=EDATE(Summary!$C$13,18)),Summary!$C$29,0))</f>
        <v>0</v>
      </c>
      <c r="DA84" s="138">
        <f>IF(AND(DA7&gt;=EDATE(Summary!$C$13,-6),DA7&lt;=Summary!$C$13),Summary!$C$28,IF(AND('Construction Schedule'!DA7&gt;=EDATE(Summary!$C$13,1),'Construction Schedule'!DA7&lt;=EDATE(Summary!$C$13,18)),Summary!$C$29,0))</f>
        <v>0</v>
      </c>
      <c r="DB84" s="138">
        <f>IF(AND(DB7&gt;=EDATE(Summary!$C$13,-6),DB7&lt;=Summary!$C$13),Summary!$C$28,IF(AND('Construction Schedule'!DB7&gt;=EDATE(Summary!$C$13,1),'Construction Schedule'!DB7&lt;=EDATE(Summary!$C$13,18)),Summary!$C$29,0))</f>
        <v>0</v>
      </c>
      <c r="DC84" s="138">
        <f>IF(AND(DC7&gt;=EDATE(Summary!$C$13,-6),DC7&lt;=Summary!$C$13),Summary!$C$28,IF(AND('Construction Schedule'!DC7&gt;=EDATE(Summary!$C$13,1),'Construction Schedule'!DC7&lt;=EDATE(Summary!$C$13,18)),Summary!$C$29,0))</f>
        <v>0</v>
      </c>
      <c r="DD84" s="138">
        <f>IF(AND(DD7&gt;=EDATE(Summary!$C$13,-6),DD7&lt;=Summary!$C$13),Summary!$C$28,IF(AND('Construction Schedule'!DD7&gt;=EDATE(Summary!$C$13,1),'Construction Schedule'!DD7&lt;=EDATE(Summary!$C$13,18)),Summary!$C$29,0))</f>
        <v>0</v>
      </c>
      <c r="DE84" s="243">
        <f>IF(AND(DE7&gt;=EDATE(Summary!$C$13,-6),DE7&lt;=Summary!$C$13),Summary!$C$28,IF(AND('Construction Schedule'!DE7&gt;=EDATE(Summary!$C$13,1),'Construction Schedule'!DE7&lt;=EDATE(Summary!$C$13,18)),Summary!$C$29,0))</f>
        <v>0</v>
      </c>
    </row>
    <row r="85" spans="2:109">
      <c r="B85" s="351" t="s">
        <v>347</v>
      </c>
      <c r="C85" s="251"/>
      <c r="D85" s="25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349">
        <f ca="1">AW83/Summary!$O$18</f>
        <v>0</v>
      </c>
      <c r="AX85" s="349">
        <f ca="1">AX83/Summary!$O$18</f>
        <v>0</v>
      </c>
      <c r="AY85" s="349">
        <f ca="1">AY83/Summary!$O$18</f>
        <v>0</v>
      </c>
      <c r="AZ85" s="349">
        <f ca="1">AZ83/Summary!$O$18</f>
        <v>0</v>
      </c>
      <c r="BA85" s="349">
        <f ca="1">BA83/Summary!$O$18</f>
        <v>0</v>
      </c>
      <c r="BB85" s="349">
        <f ca="1">BB83/Summary!$O$18</f>
        <v>0</v>
      </c>
      <c r="BC85" s="349">
        <f ca="1">BC83/Summary!$O$18</f>
        <v>0</v>
      </c>
      <c r="BD85" s="349">
        <f ca="1">BD83/Summary!$O$18</f>
        <v>0</v>
      </c>
      <c r="BE85" s="349">
        <f ca="1">BE83/Summary!$O$18</f>
        <v>0</v>
      </c>
      <c r="BF85" s="349">
        <f ca="1">BF83/Summary!$O$18</f>
        <v>0</v>
      </c>
      <c r="BG85" s="349">
        <f ca="1">BG83/Summary!$O$18</f>
        <v>0</v>
      </c>
      <c r="BH85" s="349">
        <f ca="1">BH83/Summary!$O$18</f>
        <v>0</v>
      </c>
      <c r="BI85" s="349">
        <f ca="1">BI83/Summary!$O$18</f>
        <v>0</v>
      </c>
      <c r="BJ85" s="349">
        <f ca="1">BJ83/Summary!$O$18</f>
        <v>0</v>
      </c>
      <c r="BK85" s="349">
        <f ca="1">BK83/Summary!$O$18</f>
        <v>0</v>
      </c>
      <c r="BL85" s="349">
        <f ca="1">BL83/Summary!$O$18</f>
        <v>0</v>
      </c>
      <c r="BM85" s="349">
        <f ca="1">BM83/Summary!$O$18</f>
        <v>6.5217391304347824E-2</v>
      </c>
      <c r="BN85" s="349">
        <f ca="1">BN83/Summary!$O$18</f>
        <v>0.13043478260869565</v>
      </c>
      <c r="BO85" s="349">
        <f ca="1">BO83/Summary!$O$18</f>
        <v>0.19565217391304349</v>
      </c>
      <c r="BP85" s="349">
        <f ca="1">BP83/Summary!$O$18</f>
        <v>0.2608695652173913</v>
      </c>
      <c r="BQ85" s="349">
        <f ca="1">BQ83/Summary!$O$18</f>
        <v>0.32608695652173914</v>
      </c>
      <c r="BR85" s="349">
        <f ca="1">BR83/Summary!$O$18</f>
        <v>0.39130434782608697</v>
      </c>
      <c r="BS85" s="349">
        <f ca="1">BS83/Summary!$O$18</f>
        <v>0.45652173913043476</v>
      </c>
      <c r="BT85" s="349">
        <f ca="1">BT83/Summary!$O$18</f>
        <v>0.52173913043478259</v>
      </c>
      <c r="BU85" s="349">
        <f ca="1">BU83/Summary!$O$18</f>
        <v>0.58695652173913049</v>
      </c>
      <c r="BV85" s="349">
        <f ca="1">BV83/Summary!$O$18</f>
        <v>0.65217391304347827</v>
      </c>
      <c r="BW85" s="349">
        <f ca="1">BW83/Summary!$O$18</f>
        <v>0.71739130434782605</v>
      </c>
      <c r="BX85" s="349">
        <f ca="1">BX83/Summary!$O$18</f>
        <v>0.78260869565217395</v>
      </c>
      <c r="BY85" s="349">
        <f ca="1">BY83/Summary!$O$18</f>
        <v>0.84782608695652173</v>
      </c>
      <c r="BZ85" s="349">
        <f ca="1">BZ83/Summary!$O$18</f>
        <v>0.91304347826086951</v>
      </c>
      <c r="CA85" s="349">
        <f ca="1">CA83/Summary!$O$18</f>
        <v>0.93478260869565222</v>
      </c>
      <c r="CB85" s="349">
        <f ca="1">CB83/Summary!$O$18</f>
        <v>0.93478260869565222</v>
      </c>
      <c r="CC85" s="349">
        <f ca="1">CC83/Summary!$O$18</f>
        <v>0.93478260869565222</v>
      </c>
      <c r="CD85" s="349">
        <f ca="1">CD83/Summary!$O$18</f>
        <v>0.93478260869565222</v>
      </c>
      <c r="CE85" s="349">
        <f ca="1">CE83/Summary!$O$18</f>
        <v>0.93478260869565222</v>
      </c>
      <c r="CF85" s="349">
        <f ca="1">CF83/Summary!$O$18</f>
        <v>0.93478260869565222</v>
      </c>
      <c r="CG85" s="349">
        <f ca="1">CG83/Summary!$O$18</f>
        <v>0.93478260869565222</v>
      </c>
      <c r="CH85" s="349">
        <f ca="1">CH83/Summary!$O$18</f>
        <v>0.93478260869565222</v>
      </c>
      <c r="CI85" s="349">
        <f ca="1">CI83/Summary!$O$18</f>
        <v>0.93478260869565222</v>
      </c>
      <c r="CJ85" s="349">
        <f ca="1">CJ83/Summary!$O$18</f>
        <v>0.93478260869565222</v>
      </c>
      <c r="CK85" s="349">
        <f ca="1">CK83/Summary!$O$18</f>
        <v>0.93478260869565222</v>
      </c>
      <c r="CL85" s="349">
        <f ca="1">CL83/Summary!$O$18</f>
        <v>0.93478260869565222</v>
      </c>
      <c r="CM85" s="349">
        <f ca="1">CM83/Summary!$O$18</f>
        <v>0.93478260869565222</v>
      </c>
      <c r="CN85" s="349">
        <f ca="1">CN83/Summary!$O$18</f>
        <v>0.93478260869565222</v>
      </c>
      <c r="CO85" s="349">
        <f ca="1">CO83/Summary!$O$18</f>
        <v>0.93478260869565222</v>
      </c>
      <c r="CP85" s="349">
        <f ca="1">CP83/Summary!$O$18</f>
        <v>0.93478260869565222</v>
      </c>
      <c r="CQ85" s="349">
        <f ca="1">CQ83/Summary!$O$18</f>
        <v>0.93478260869565222</v>
      </c>
      <c r="CR85" s="349">
        <f ca="1">CR83/Summary!$O$18</f>
        <v>0.93478260869565222</v>
      </c>
      <c r="CS85" s="349">
        <f ca="1">CS83/Summary!$O$18</f>
        <v>0.93478260869565222</v>
      </c>
      <c r="CT85" s="349">
        <f ca="1">CT83/Summary!$O$18</f>
        <v>0.93478260869565222</v>
      </c>
      <c r="CU85" s="349">
        <f ca="1">CU83/Summary!$O$18</f>
        <v>0.93478260869565222</v>
      </c>
      <c r="CV85" s="349">
        <f ca="1">CV83/Summary!$O$18</f>
        <v>0.93478260869565222</v>
      </c>
      <c r="CW85" s="349">
        <f ca="1">CW83/Summary!$O$18</f>
        <v>0.93478260869565222</v>
      </c>
      <c r="CX85" s="349">
        <f ca="1">CX83/Summary!$O$18</f>
        <v>0.93478260869565222</v>
      </c>
      <c r="CY85" s="349">
        <f ca="1">CY83/Summary!$O$18</f>
        <v>0.93478260869565222</v>
      </c>
      <c r="CZ85" s="349">
        <f ca="1">CZ83/Summary!$O$18</f>
        <v>0.93478260869565222</v>
      </c>
      <c r="DA85" s="349">
        <f ca="1">DA83/Summary!$O$18</f>
        <v>0.93478260869565222</v>
      </c>
      <c r="DB85" s="349">
        <f ca="1">DB83/Summary!$O$18</f>
        <v>0.93478260869565222</v>
      </c>
      <c r="DC85" s="349">
        <f ca="1">DC83/Summary!$O$18</f>
        <v>0.93478260869565222</v>
      </c>
      <c r="DD85" s="349">
        <f ca="1">DD83/Summary!$O$18</f>
        <v>0.93478260869565222</v>
      </c>
      <c r="DE85" s="481">
        <f ca="1">DE83/Summary!$O$18</f>
        <v>0.93478260869565222</v>
      </c>
    </row>
    <row r="86" spans="2:109">
      <c r="B86" s="351"/>
      <c r="C86" s="251"/>
      <c r="D86" s="25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1"/>
      <c r="BG86" s="251"/>
      <c r="BH86" s="251"/>
      <c r="BI86" s="251"/>
      <c r="BJ86" s="251"/>
      <c r="BK86" s="251"/>
      <c r="BL86" s="251"/>
      <c r="BM86" s="251"/>
      <c r="BN86" s="251"/>
      <c r="BO86" s="251"/>
      <c r="BP86" s="251"/>
      <c r="BQ86" s="251"/>
      <c r="BR86" s="251"/>
      <c r="BS86" s="251"/>
      <c r="BT86" s="251"/>
      <c r="BU86" s="251"/>
      <c r="BV86" s="251"/>
      <c r="BW86" s="251"/>
      <c r="BX86" s="251"/>
      <c r="BY86" s="251"/>
      <c r="BZ86" s="251"/>
      <c r="CA86" s="251"/>
      <c r="CB86" s="251"/>
      <c r="CC86" s="251"/>
      <c r="CD86" s="251"/>
      <c r="CE86" s="251"/>
      <c r="CF86" s="251"/>
      <c r="CG86" s="251"/>
      <c r="CH86" s="251"/>
      <c r="CI86" s="251"/>
      <c r="CJ86" s="251"/>
      <c r="CK86" s="251"/>
      <c r="CL86" s="251"/>
      <c r="CM86" s="251"/>
      <c r="CN86" s="251"/>
      <c r="CO86" s="251"/>
      <c r="CP86" s="251"/>
      <c r="CQ86" s="251"/>
      <c r="CR86" s="251"/>
      <c r="CS86" s="251"/>
      <c r="CT86" s="251"/>
      <c r="CU86" s="251"/>
      <c r="CV86" s="251"/>
      <c r="CW86" s="251"/>
      <c r="CX86" s="251"/>
      <c r="CY86" s="251"/>
      <c r="CZ86" s="251"/>
      <c r="DA86" s="251"/>
      <c r="DB86" s="251"/>
      <c r="DC86" s="251"/>
      <c r="DD86" s="251"/>
      <c r="DE86" s="418"/>
    </row>
    <row r="87" spans="2:109">
      <c r="B87" s="355" t="s">
        <v>348</v>
      </c>
      <c r="DE87" s="114"/>
    </row>
    <row r="88" spans="2:109">
      <c r="B88" s="350" t="s">
        <v>344</v>
      </c>
      <c r="AW88">
        <f>ROUND(AW90*Summary!$O$29,0)</f>
        <v>0</v>
      </c>
      <c r="AX88">
        <f>ROUND(AX90*Summary!$O$29,0)</f>
        <v>0</v>
      </c>
      <c r="AY88">
        <f>ROUND(AY90*Summary!$O$29,0)</f>
        <v>0</v>
      </c>
      <c r="AZ88">
        <f>ROUND(AZ90*Summary!$O$29,0)</f>
        <v>0</v>
      </c>
      <c r="BA88">
        <f>ROUND(BA90*Summary!$O$29,0)</f>
        <v>0</v>
      </c>
      <c r="BB88">
        <f>ROUND(BB90*Summary!$O$29,0)</f>
        <v>0</v>
      </c>
      <c r="BC88">
        <f>ROUND(BC90*Summary!$O$29,0)</f>
        <v>0</v>
      </c>
      <c r="BD88">
        <f>ROUND(BD90*Summary!$O$29,0)</f>
        <v>0</v>
      </c>
      <c r="BE88">
        <f>ROUND(BE90*Summary!$O$29,0)</f>
        <v>0</v>
      </c>
      <c r="BF88">
        <f>ROUND(BF90*Summary!$O$29,0)</f>
        <v>0</v>
      </c>
      <c r="BG88">
        <f>ROUND(BG90*Summary!$O$29,0)</f>
        <v>0</v>
      </c>
      <c r="BH88">
        <f>ROUND(BH90*Summary!$O$29,0)</f>
        <v>0</v>
      </c>
      <c r="BI88">
        <f>ROUND(BI90*Summary!$O$29,0)</f>
        <v>0</v>
      </c>
      <c r="BJ88">
        <f>ROUND(BJ90*Summary!$O$29,0)</f>
        <v>0</v>
      </c>
      <c r="BK88">
        <f>ROUND(BK90*Summary!$O$29,0)</f>
        <v>0</v>
      </c>
      <c r="BL88">
        <f>ROUND(BL90*Summary!$O$29,0)</f>
        <v>0</v>
      </c>
      <c r="BM88">
        <f>ROUND(BM90*Summary!$O$29,0)</f>
        <v>1</v>
      </c>
      <c r="BN88">
        <f>ROUND(BN90*Summary!$O$29,0)</f>
        <v>1</v>
      </c>
      <c r="BO88">
        <f>ROUND(BO90*Summary!$O$29,0)</f>
        <v>1</v>
      </c>
      <c r="BP88">
        <f>ROUND(BP90*Summary!$O$29,0)</f>
        <v>1</v>
      </c>
      <c r="BQ88">
        <f>ROUND(BQ90*Summary!$O$29,0)</f>
        <v>1</v>
      </c>
      <c r="BR88">
        <f>ROUND(BR90*Summary!$O$29,0)</f>
        <v>1</v>
      </c>
      <c r="BS88">
        <f>ROUND(BS90*Summary!$O$29,0)</f>
        <v>1</v>
      </c>
      <c r="BT88">
        <f>ROUND(BT90*Summary!$O$29,0)</f>
        <v>1</v>
      </c>
      <c r="BU88">
        <f>ROUND(BU90*Summary!$O$29,0)</f>
        <v>1</v>
      </c>
      <c r="BV88">
        <f>ROUND(BV90*Summary!$O$29,0)</f>
        <v>1</v>
      </c>
      <c r="BW88">
        <f>ROUND(BW90*Summary!$O$29,0)</f>
        <v>1</v>
      </c>
      <c r="BX88">
        <f>ROUND(BX90*Summary!$O$29,0)</f>
        <v>1</v>
      </c>
      <c r="BY88">
        <f>ROUND(BY90*Summary!$O$29,0)</f>
        <v>1</v>
      </c>
      <c r="BZ88">
        <f>ROUND(BZ90*Summary!$O$29,0)</f>
        <v>1</v>
      </c>
      <c r="CA88">
        <f>ROUND(CA90*Summary!$O$29,0)</f>
        <v>1</v>
      </c>
      <c r="CB88">
        <f>ROUND(CB90*Summary!$O$29,0)</f>
        <v>1</v>
      </c>
      <c r="CC88">
        <f>ROUND(CC90*Summary!$O$29,0)</f>
        <v>1</v>
      </c>
      <c r="CD88">
        <f>ROUND(CD90*Summary!$O$29,0)</f>
        <v>0</v>
      </c>
      <c r="CE88">
        <f>ROUND(CE90*Summary!$O$29,0)</f>
        <v>0</v>
      </c>
      <c r="CF88">
        <f>ROUND(CF90*Summary!$O$29,0)</f>
        <v>0</v>
      </c>
      <c r="CG88">
        <f>ROUND(CG90*Summary!$O$29,0)</f>
        <v>0</v>
      </c>
      <c r="CH88">
        <f>ROUND(CH90*Summary!$O$29,0)</f>
        <v>0</v>
      </c>
      <c r="CI88">
        <f>ROUND(CI90*Summary!$O$29,0)</f>
        <v>0</v>
      </c>
      <c r="CJ88">
        <f>ROUND(CJ90*Summary!$O$29,0)</f>
        <v>0</v>
      </c>
      <c r="CK88">
        <f>ROUND(CK90*Summary!$O$29,0)</f>
        <v>0</v>
      </c>
      <c r="CL88">
        <f>ROUND(CL90*Summary!$O$29,0)</f>
        <v>0</v>
      </c>
      <c r="CM88">
        <f>ROUND(CM90*Summary!$O$29,0)</f>
        <v>0</v>
      </c>
      <c r="CN88">
        <f>ROUND(CN90*Summary!$O$29,0)</f>
        <v>0</v>
      </c>
      <c r="CO88">
        <f>ROUND(CO90*Summary!$O$29,0)</f>
        <v>0</v>
      </c>
      <c r="CP88">
        <f>ROUND(CP90*Summary!$O$29,0)</f>
        <v>0</v>
      </c>
      <c r="CQ88">
        <f>ROUND(CQ90*Summary!$O$29,0)</f>
        <v>0</v>
      </c>
      <c r="CR88">
        <f>ROUND(CR90*Summary!$O$29,0)</f>
        <v>0</v>
      </c>
      <c r="CS88">
        <f>ROUND(CS90*Summary!$O$29,0)</f>
        <v>0</v>
      </c>
      <c r="CT88">
        <f>ROUND(CT90*Summary!$O$29,0)</f>
        <v>0</v>
      </c>
      <c r="CU88">
        <f>ROUND(CU90*Summary!$O$29,0)</f>
        <v>0</v>
      </c>
      <c r="CV88">
        <f>ROUND(CV90*Summary!$O$29,0)</f>
        <v>0</v>
      </c>
      <c r="CW88">
        <f>ROUND(CW90*Summary!$O$29,0)</f>
        <v>0</v>
      </c>
      <c r="CX88">
        <f>ROUND(CX90*Summary!$O$29,0)</f>
        <v>0</v>
      </c>
      <c r="CY88">
        <f>ROUND(CY90*Summary!$O$29,0)</f>
        <v>0</v>
      </c>
      <c r="CZ88">
        <f>ROUND(CZ90*Summary!$O$29,0)</f>
        <v>0</v>
      </c>
      <c r="DA88">
        <f>ROUND(DA90*Summary!$O$29,0)</f>
        <v>0</v>
      </c>
      <c r="DB88">
        <f>ROUND(DB90*Summary!$O$29,0)</f>
        <v>0</v>
      </c>
      <c r="DC88">
        <f>ROUND(DC90*Summary!$O$29,0)</f>
        <v>0</v>
      </c>
      <c r="DD88">
        <f>ROUND(DD90*Summary!$O$29,0)</f>
        <v>0</v>
      </c>
      <c r="DE88" s="114">
        <f>ROUND(DE90*Summary!$O$29,0)</f>
        <v>0</v>
      </c>
    </row>
    <row r="89" spans="2:109">
      <c r="B89" s="350" t="s">
        <v>345</v>
      </c>
      <c r="AW89">
        <f>ROUND(IF(SUM($AW$88:AW88)&gt;Summary!$O$29*(1-Summary!$C$51),Summary!$O$29*(1-Summary!$C$51),SUM($AW$88:AW88)),0)</f>
        <v>0</v>
      </c>
      <c r="AX89">
        <f>ROUND(IF(SUM($AW$88:AX88)&gt;Summary!$O$29*(1-Summary!$C$51),Summary!$O$29*(1-Summary!$C$51),SUM($AW$88:AX88)),0)</f>
        <v>0</v>
      </c>
      <c r="AY89">
        <f>ROUND(IF(SUM($AW$88:AY88)&gt;Summary!$O$29*(1-Summary!$C$51),Summary!$O$29*(1-Summary!$C$51),SUM($AW$88:AY88)),0)</f>
        <v>0</v>
      </c>
      <c r="AZ89">
        <f>ROUND(IF(SUM($AW$88:AZ88)&gt;Summary!$O$29*(1-Summary!$C$51),Summary!$O$29*(1-Summary!$C$51),SUM($AW$88:AZ88)),0)</f>
        <v>0</v>
      </c>
      <c r="BA89">
        <f>ROUND(IF(SUM($AW$88:BA88)&gt;Summary!$O$29*(1-Summary!$C$51),Summary!$O$29*(1-Summary!$C$51),SUM($AW$88:BA88)),0)</f>
        <v>0</v>
      </c>
      <c r="BB89">
        <f>ROUND(IF(SUM($AW$88:BB88)&gt;Summary!$O$29*(1-Summary!$C$51),Summary!$O$29*(1-Summary!$C$51),SUM($AW$88:BB88)),0)</f>
        <v>0</v>
      </c>
      <c r="BC89">
        <f>ROUND(IF(SUM($AW$88:BC88)&gt;Summary!$O$29*(1-Summary!$C$51),Summary!$O$29*(1-Summary!$C$51),SUM($AW$88:BC88)),0)</f>
        <v>0</v>
      </c>
      <c r="BD89">
        <f>ROUND(IF(SUM($AW$88:BD88)&gt;Summary!$O$29*(1-Summary!$C$51),Summary!$O$29*(1-Summary!$C$51),SUM($AW$88:BD88)),0)</f>
        <v>0</v>
      </c>
      <c r="BE89">
        <f>ROUND(IF(SUM($AW$88:BE88)&gt;Summary!$O$29*(1-Summary!$C$51),Summary!$O$29*(1-Summary!$C$51),SUM($AW$88:BE88)),0)</f>
        <v>0</v>
      </c>
      <c r="BF89">
        <f>ROUND(IF(SUM($AW$88:BF88)&gt;Summary!$O$29*(1-Summary!$C$51),Summary!$O$29*(1-Summary!$C$51),SUM($AW$88:BF88)),0)</f>
        <v>0</v>
      </c>
      <c r="BG89">
        <f>ROUND(IF(SUM($AW$88:BG88)&gt;Summary!$O$29*(1-Summary!$C$51),Summary!$O$29*(1-Summary!$C$51),SUM($AW$88:BG88)),0)</f>
        <v>0</v>
      </c>
      <c r="BH89">
        <f>ROUND(IF(SUM($AW$88:BH88)&gt;Summary!$O$29*(1-Summary!$C$51),Summary!$O$29*(1-Summary!$C$51),SUM($AW$88:BH88)),0)</f>
        <v>0</v>
      </c>
      <c r="BI89">
        <f>ROUND(IF(SUM($AW$88:BI88)&gt;Summary!$O$29*(1-Summary!$C$51),Summary!$O$29*(1-Summary!$C$51),SUM($AW$88:BI88)),0)</f>
        <v>0</v>
      </c>
      <c r="BJ89">
        <f>ROUND(IF(SUM($AW$88:BJ88)&gt;Summary!$O$29*(1-Summary!$C$51),Summary!$O$29*(1-Summary!$C$51),SUM($AW$88:BJ88)),0)</f>
        <v>0</v>
      </c>
      <c r="BK89">
        <f>ROUND(IF(SUM($AW$88:BK88)&gt;Summary!$O$29*(1-Summary!$C$51),Summary!$O$29*(1-Summary!$C$51),SUM($AW$88:BK88)),0)</f>
        <v>0</v>
      </c>
      <c r="BL89">
        <f>ROUND(IF(SUM($AW$88:BL88)&gt;Summary!$O$29*(1-Summary!$C$51),Summary!$O$29*(1-Summary!$C$51),SUM($AW$88:BL88)),0)</f>
        <v>0</v>
      </c>
      <c r="BM89">
        <f>ROUND(IF(SUM($AW$88:BM88)&gt;Summary!$O$29*(1-Summary!$C$51),Summary!$O$29*(1-Summary!$C$51),SUM($AW$88:BM88)),0)</f>
        <v>1</v>
      </c>
      <c r="BN89">
        <f>ROUND(IF(SUM($AW$88:BN88)&gt;Summary!$O$29*(1-Summary!$C$51),Summary!$O$29*(1-Summary!$C$51),SUM($AW$88:BN88)),0)</f>
        <v>1</v>
      </c>
      <c r="BO89">
        <f>ROUND(IF(SUM($AW$88:BO88)&gt;Summary!$O$29*(1-Summary!$C$51),Summary!$O$29*(1-Summary!$C$51),SUM($AW$88:BO88)),0)</f>
        <v>1</v>
      </c>
      <c r="BP89">
        <f>ROUND(IF(SUM($AW$88:BP88)&gt;Summary!$O$29*(1-Summary!$C$51),Summary!$O$29*(1-Summary!$C$51),SUM($AW$88:BP88)),0)</f>
        <v>1</v>
      </c>
      <c r="BQ89">
        <f>ROUND(IF(SUM($AW$88:BQ88)&gt;Summary!$O$29*(1-Summary!$C$51),Summary!$O$29*(1-Summary!$C$51),SUM($AW$88:BQ88)),0)</f>
        <v>1</v>
      </c>
      <c r="BR89">
        <f>ROUND(IF(SUM($AW$88:BR88)&gt;Summary!$O$29*(1-Summary!$C$51),Summary!$O$29*(1-Summary!$C$51),SUM($AW$88:BR88)),0)</f>
        <v>1</v>
      </c>
      <c r="BS89">
        <f>ROUND(IF(SUM($AW$88:BS88)&gt;Summary!$O$29*(1-Summary!$C$51),Summary!$O$29*(1-Summary!$C$51),SUM($AW$88:BS88)),0)</f>
        <v>1</v>
      </c>
      <c r="BT89">
        <f>ROUND(IF(SUM($AW$88:BT88)&gt;Summary!$O$29*(1-Summary!$C$51),Summary!$O$29*(1-Summary!$C$51),SUM($AW$88:BT88)),0)</f>
        <v>1</v>
      </c>
      <c r="BU89">
        <f>ROUND(IF(SUM($AW$88:BU88)&gt;Summary!$O$29*(1-Summary!$C$51),Summary!$O$29*(1-Summary!$C$51),SUM($AW$88:BU88)),0)</f>
        <v>1</v>
      </c>
      <c r="BV89">
        <f>ROUND(IF(SUM($AW$88:BV88)&gt;Summary!$O$29*(1-Summary!$C$51),Summary!$O$29*(1-Summary!$C$51),SUM($AW$88:BV88)),0)</f>
        <v>1</v>
      </c>
      <c r="BW89">
        <f>ROUND(IF(SUM($AW$88:BW88)&gt;Summary!$O$29*(1-Summary!$C$51),Summary!$O$29*(1-Summary!$C$51),SUM($AW$88:BW88)),0)</f>
        <v>1</v>
      </c>
      <c r="BX89">
        <f>ROUND(IF(SUM($AW$88:BX88)&gt;Summary!$O$29*(1-Summary!$C$51),Summary!$O$29*(1-Summary!$C$51),SUM($AW$88:BX88)),0)</f>
        <v>1</v>
      </c>
      <c r="BY89">
        <f>ROUND(IF(SUM($AW$88:BY88)&gt;Summary!$O$29*(1-Summary!$C$51),Summary!$O$29*(1-Summary!$C$51),SUM($AW$88:BY88)),0)</f>
        <v>1</v>
      </c>
      <c r="BZ89">
        <f>ROUND(IF(SUM($AW$88:BZ88)&gt;Summary!$O$29*(1-Summary!$C$51),Summary!$O$29*(1-Summary!$C$51),SUM($AW$88:BZ88)),0)</f>
        <v>1</v>
      </c>
      <c r="CA89">
        <f>ROUND(IF(SUM($AW$88:CA88)&gt;Summary!$O$29*(1-Summary!$C$51),Summary!$O$29*(1-Summary!$C$51),SUM($AW$88:CA88)),0)</f>
        <v>1</v>
      </c>
      <c r="CB89">
        <f>ROUND(IF(SUM($AW$88:CB88)&gt;Summary!$O$29*(1-Summary!$C$51),Summary!$O$29*(1-Summary!$C$51),SUM($AW$88:CB88)),0)</f>
        <v>1</v>
      </c>
      <c r="CC89">
        <f>ROUND(IF(SUM($AW$88:CC88)&gt;Summary!$O$29*(1-Summary!$C$51),Summary!$O$29*(1-Summary!$C$51),SUM($AW$88:CC88)),0)</f>
        <v>1</v>
      </c>
      <c r="CD89">
        <f>ROUND(IF(SUM($AW$88:CD88)&gt;Summary!$O$29*(1-Summary!$C$51),Summary!$O$29*(1-Summary!$C$51),SUM($AW$88:CD88)),0)</f>
        <v>1</v>
      </c>
      <c r="CE89">
        <f>ROUND(IF(SUM($AW$88:CE88)&gt;Summary!$O$29*(1-Summary!$C$51),Summary!$O$29*(1-Summary!$C$51),SUM($AW$88:CE88)),0)</f>
        <v>1</v>
      </c>
      <c r="CF89">
        <f>ROUND(IF(SUM($AW$88:CF88)&gt;Summary!$O$29*(1-Summary!$C$51),Summary!$O$29*(1-Summary!$C$51),SUM($AW$88:CF88)),0)</f>
        <v>1</v>
      </c>
      <c r="CG89">
        <f>ROUND(IF(SUM($AW$88:CG88)&gt;Summary!$O$29*(1-Summary!$C$51),Summary!$O$29*(1-Summary!$C$51),SUM($AW$88:CG88)),0)</f>
        <v>1</v>
      </c>
      <c r="CH89">
        <f>ROUND(IF(SUM($AW$88:CH88)&gt;Summary!$O$29*(1-Summary!$C$51),Summary!$O$29*(1-Summary!$C$51),SUM($AW$88:CH88)),0)</f>
        <v>1</v>
      </c>
      <c r="CI89">
        <f>ROUND(IF(SUM($AW$88:CI88)&gt;Summary!$O$29*(1-Summary!$C$51),Summary!$O$29*(1-Summary!$C$51),SUM($AW$88:CI88)),0)</f>
        <v>1</v>
      </c>
      <c r="CJ89">
        <f>ROUND(IF(SUM($AW$88:CJ88)&gt;Summary!$O$29*(1-Summary!$C$51),Summary!$O$29*(1-Summary!$C$51),SUM($AW$88:CJ88)),0)</f>
        <v>1</v>
      </c>
      <c r="CK89">
        <f>ROUND(IF(SUM($AW$88:CK88)&gt;Summary!$O$29*(1-Summary!$C$51),Summary!$O$29*(1-Summary!$C$51),SUM($AW$88:CK88)),0)</f>
        <v>1</v>
      </c>
      <c r="CL89">
        <f>ROUND(IF(SUM($AW$88:CL88)&gt;Summary!$O$29*(1-Summary!$C$51),Summary!$O$29*(1-Summary!$C$51),SUM($AW$88:CL88)),0)</f>
        <v>1</v>
      </c>
      <c r="CM89">
        <f>ROUND(IF(SUM($AW$88:CM88)&gt;Summary!$O$29*(1-Summary!$C$51),Summary!$O$29*(1-Summary!$C$51),SUM($AW$88:CM88)),0)</f>
        <v>1</v>
      </c>
      <c r="CN89">
        <f>ROUND(IF(SUM($AW$88:CN88)&gt;Summary!$O$29*(1-Summary!$C$51),Summary!$O$29*(1-Summary!$C$51),SUM($AW$88:CN88)),0)</f>
        <v>1</v>
      </c>
      <c r="CO89">
        <f>ROUND(IF(SUM($AW$88:CO88)&gt;Summary!$O$29*(1-Summary!$C$51),Summary!$O$29*(1-Summary!$C$51),SUM($AW$88:CO88)),0)</f>
        <v>1</v>
      </c>
      <c r="CP89">
        <f>ROUND(IF(SUM($AW$88:CP88)&gt;Summary!$O$29*(1-Summary!$C$51),Summary!$O$29*(1-Summary!$C$51),SUM($AW$88:CP88)),0)</f>
        <v>1</v>
      </c>
      <c r="CQ89">
        <f>ROUND(IF(SUM($AW$88:CQ88)&gt;Summary!$O$29*(1-Summary!$C$51),Summary!$O$29*(1-Summary!$C$51),SUM($AW$88:CQ88)),0)</f>
        <v>1</v>
      </c>
      <c r="CR89">
        <f>ROUND(IF(SUM($AW$88:CR88)&gt;Summary!$O$29*(1-Summary!$C$51),Summary!$O$29*(1-Summary!$C$51),SUM($AW$88:CR88)),0)</f>
        <v>1</v>
      </c>
      <c r="CS89">
        <f>ROUND(IF(SUM($AW$88:CS88)&gt;Summary!$O$29*(1-Summary!$C$51),Summary!$O$29*(1-Summary!$C$51),SUM($AW$88:CS88)),0)</f>
        <v>1</v>
      </c>
      <c r="CT89">
        <f>ROUND(IF(SUM($AW$88:CT88)&gt;Summary!$O$29*(1-Summary!$C$51),Summary!$O$29*(1-Summary!$C$51),SUM($AW$88:CT88)),0)</f>
        <v>1</v>
      </c>
      <c r="CU89">
        <f>ROUND(IF(SUM($AW$88:CU88)&gt;Summary!$O$29*(1-Summary!$C$51),Summary!$O$29*(1-Summary!$C$51),SUM($AW$88:CU88)),0)</f>
        <v>1</v>
      </c>
      <c r="CV89">
        <f>ROUND(IF(SUM($AW$88:CV88)&gt;Summary!$O$29*(1-Summary!$C$51),Summary!$O$29*(1-Summary!$C$51),SUM($AW$88:CV88)),0)</f>
        <v>1</v>
      </c>
      <c r="CW89">
        <f>ROUND(IF(SUM($AW$88:CW88)&gt;Summary!$O$29*(1-Summary!$C$51),Summary!$O$29*(1-Summary!$C$51),SUM($AW$88:CW88)),0)</f>
        <v>1</v>
      </c>
      <c r="CX89">
        <f>ROUND(IF(SUM($AW$88:CX88)&gt;Summary!$O$29*(1-Summary!$C$51),Summary!$O$29*(1-Summary!$C$51),SUM($AW$88:CX88)),0)</f>
        <v>1</v>
      </c>
      <c r="CY89">
        <f>ROUND(IF(SUM($AW$88:CY88)&gt;Summary!$O$29*(1-Summary!$C$51),Summary!$O$29*(1-Summary!$C$51),SUM($AW$88:CY88)),0)</f>
        <v>1</v>
      </c>
      <c r="CZ89">
        <f>ROUND(IF(SUM($AW$88:CZ88)&gt;Summary!$O$29*(1-Summary!$C$51),Summary!$O$29*(1-Summary!$C$51),SUM($AW$88:CZ88)),0)</f>
        <v>1</v>
      </c>
      <c r="DA89">
        <f>ROUND(IF(SUM($AW$88:DA88)&gt;Summary!$O$29*(1-Summary!$C$51),Summary!$O$29*(1-Summary!$C$51),SUM($AW$88:DA88)),0)</f>
        <v>1</v>
      </c>
      <c r="DB89">
        <f>ROUND(IF(SUM($AW$88:DB88)&gt;Summary!$O$29*(1-Summary!$C$51),Summary!$O$29*(1-Summary!$C$51),SUM($AW$88:DB88)),0)</f>
        <v>1</v>
      </c>
      <c r="DC89">
        <f>ROUND(IF(SUM($AW$88:DC88)&gt;Summary!$O$29*(1-Summary!$C$51),Summary!$O$29*(1-Summary!$C$51),SUM($AW$88:DC88)),0)</f>
        <v>1</v>
      </c>
      <c r="DD89">
        <f>ROUND(IF(SUM($AW$88:DD88)&gt;Summary!$O$29*(1-Summary!$C$51),Summary!$O$29*(1-Summary!$C$51),SUM($AW$88:DD88)),0)</f>
        <v>1</v>
      </c>
      <c r="DE89" s="114">
        <f>ROUND(IF(SUM($AW$88:DE88)&gt;Summary!$O$29*(1-Summary!$C$51),Summary!$O$29*(1-Summary!$C$51),SUM($AW$88:DE88)),0)</f>
        <v>1</v>
      </c>
    </row>
    <row r="90" spans="2:109">
      <c r="B90" s="350" t="s">
        <v>346</v>
      </c>
      <c r="AW90" s="138">
        <f>IF(AND(AW7&gt;=EDATE(Summary!$C$13,-6),AW7&lt;=Summary!$C$13),Summary!$C$37,IF(AND('Construction Schedule'!AW7&gt;=EDATE(Summary!$C$13,1),'Construction Schedule'!AW7&lt;=EDATE(Summary!$C$13,18)),Summary!$C$38,0))</f>
        <v>0</v>
      </c>
      <c r="AX90" s="138">
        <f>IF(AND(AX7&gt;=EDATE(Summary!$C$13,-6),AX7&lt;=Summary!$C$13),Summary!$C$37,IF(AND('Construction Schedule'!AX7&gt;=EDATE(Summary!$C$13,1),'Construction Schedule'!AX7&lt;=EDATE(Summary!$C$13,18)),Summary!$C$38,0))</f>
        <v>0</v>
      </c>
      <c r="AY90" s="138">
        <f>IF(AND(AY7&gt;=EDATE(Summary!$C$13,-6),AY7&lt;=Summary!$C$13),Summary!$C$37,IF(AND('Construction Schedule'!AY7&gt;=EDATE(Summary!$C$13,1),'Construction Schedule'!AY7&lt;=EDATE(Summary!$C$13,18)),Summary!$C$38,0))</f>
        <v>0</v>
      </c>
      <c r="AZ90" s="138">
        <f>IF(AND(AZ7&gt;=EDATE(Summary!$C$13,-6),AZ7&lt;=Summary!$C$13),Summary!$C$37,IF(AND('Construction Schedule'!AZ7&gt;=EDATE(Summary!$C$13,1),'Construction Schedule'!AZ7&lt;=EDATE(Summary!$C$13,18)),Summary!$C$38,0))</f>
        <v>0</v>
      </c>
      <c r="BA90" s="138">
        <f>IF(AND(BA7&gt;=EDATE(Summary!$C$13,-6),BA7&lt;=Summary!$C$13),Summary!$C$37,IF(AND('Construction Schedule'!BA7&gt;=EDATE(Summary!$C$13,1),'Construction Schedule'!BA7&lt;=EDATE(Summary!$C$13,18)),Summary!$C$38,0))</f>
        <v>0</v>
      </c>
      <c r="BB90" s="138">
        <f>IF(AND(BB7&gt;=EDATE(Summary!$C$13,-6),BB7&lt;=Summary!$C$13),Summary!$C$37,IF(AND('Construction Schedule'!BB7&gt;=EDATE(Summary!$C$13,1),'Construction Schedule'!BB7&lt;=EDATE(Summary!$C$13,18)),Summary!$C$38,0))</f>
        <v>0</v>
      </c>
      <c r="BC90" s="138">
        <f>IF(AND(BC7&gt;=EDATE(Summary!$C$13,-6),BC7&lt;=Summary!$C$13),Summary!$C$37,IF(AND('Construction Schedule'!BC7&gt;=EDATE(Summary!$C$13,1),'Construction Schedule'!BC7&lt;=EDATE(Summary!$C$13,18)),Summary!$C$38,0))</f>
        <v>0</v>
      </c>
      <c r="BD90" s="138">
        <f>IF(AND(BD7&gt;=EDATE(Summary!$C$13,-6),BD7&lt;=Summary!$C$13),Summary!$C$37,IF(AND('Construction Schedule'!BD7&gt;=EDATE(Summary!$C$13,1),'Construction Schedule'!BD7&lt;=EDATE(Summary!$C$13,18)),Summary!$C$38,0))</f>
        <v>0</v>
      </c>
      <c r="BE90" s="138">
        <f>IF(AND(BE7&gt;=EDATE(Summary!$C$13,-6),BE7&lt;=Summary!$C$13),Summary!$C$37,IF(AND('Construction Schedule'!BE7&gt;=EDATE(Summary!$C$13,1),'Construction Schedule'!BE7&lt;=EDATE(Summary!$C$13,18)),Summary!$C$38,0))</f>
        <v>0</v>
      </c>
      <c r="BF90" s="138">
        <f>IF(AND(BF7&gt;=EDATE(Summary!$C$13,-6),BF7&lt;=Summary!$C$13),Summary!$C$37,IF(AND('Construction Schedule'!BF7&gt;=EDATE(Summary!$C$13,1),'Construction Schedule'!BF7&lt;=EDATE(Summary!$C$13,18)),Summary!$C$38,0))</f>
        <v>0</v>
      </c>
      <c r="BG90" s="138">
        <f>IF(AND(BG7&gt;=EDATE(Summary!$C$13,-6),BG7&lt;=Summary!$C$13),Summary!$C$37,IF(AND('Construction Schedule'!BG7&gt;=EDATE(Summary!$C$13,1),'Construction Schedule'!BG7&lt;=EDATE(Summary!$C$13,18)),Summary!$C$38,0))</f>
        <v>0</v>
      </c>
      <c r="BH90" s="138">
        <f>IF(AND(BH7&gt;=EDATE(Summary!$C$13,-6),BH7&lt;=Summary!$C$13),Summary!$C$37,IF(AND('Construction Schedule'!BH7&gt;=EDATE(Summary!$C$13,1),'Construction Schedule'!BH7&lt;=EDATE(Summary!$C$13,18)),Summary!$C$38,0))</f>
        <v>0</v>
      </c>
      <c r="BI90" s="138">
        <f>IF(AND(BI7&gt;=EDATE(Summary!$C$13,-6),BI7&lt;=Summary!$C$13),Summary!$C$37,IF(AND('Construction Schedule'!BI7&gt;=EDATE(Summary!$C$13,1),'Construction Schedule'!BI7&lt;=EDATE(Summary!$C$13,18)),Summary!$C$38,0))</f>
        <v>0</v>
      </c>
      <c r="BJ90" s="138">
        <f>IF(AND(BJ7&gt;=EDATE(Summary!$C$13,-6),BJ7&lt;=Summary!$C$13),Summary!$C$37,IF(AND('Construction Schedule'!BJ7&gt;=EDATE(Summary!$C$13,1),'Construction Schedule'!BJ7&lt;=EDATE(Summary!$C$13,18)),Summary!$C$38,0))</f>
        <v>0</v>
      </c>
      <c r="BK90" s="138">
        <f>IF(AND(BK7&gt;=EDATE(Summary!$C$13,-6),BK7&lt;=Summary!$C$13),Summary!$C$37,IF(AND('Construction Schedule'!BK7&gt;=EDATE(Summary!$C$13,1),'Construction Schedule'!BK7&lt;=EDATE(Summary!$C$13,18)),Summary!$C$38,0))</f>
        <v>0</v>
      </c>
      <c r="BL90" s="138">
        <f>IF(AND(BL7&gt;=EDATE(Summary!$C$13,-6),BL7&lt;=Summary!$C$13),Summary!$C$37,IF(AND('Construction Schedule'!BL7&gt;=EDATE(Summary!$C$13,1),'Construction Schedule'!BL7&lt;=EDATE(Summary!$C$13,18)),Summary!$C$38,0))</f>
        <v>0</v>
      </c>
      <c r="BM90" s="138">
        <f>IF(AND(BM7&gt;=EDATE(Summary!$C$13,-6),BM7&lt;=Summary!$C$13),Summary!$C$37,IF(AND('Construction Schedule'!BM7&gt;=EDATE(Summary!$C$13,1),'Construction Schedule'!BM7&lt;=EDATE(Summary!$C$13,18)),Summary!$C$38,0))</f>
        <v>1</v>
      </c>
      <c r="BN90" s="138">
        <f>IF(AND(BN7&gt;=EDATE(Summary!$C$13,-6),BN7&lt;=Summary!$C$13),Summary!$C$37,IF(AND('Construction Schedule'!BN7&gt;=EDATE(Summary!$C$13,1),'Construction Schedule'!BN7&lt;=EDATE(Summary!$C$13,18)),Summary!$C$38,0))</f>
        <v>1</v>
      </c>
      <c r="BO90" s="138">
        <f>IF(AND(BO7&gt;=EDATE(Summary!$C$13,-6),BO7&lt;=Summary!$C$13),Summary!$C$37,IF(AND('Construction Schedule'!BO7&gt;=EDATE(Summary!$C$13,1),'Construction Schedule'!BO7&lt;=EDATE(Summary!$C$13,18)),Summary!$C$38,0))</f>
        <v>1</v>
      </c>
      <c r="BP90" s="138">
        <f>IF(AND(BP7&gt;=EDATE(Summary!$C$13,-6),BP7&lt;=Summary!$C$13),Summary!$C$37,IF(AND('Construction Schedule'!BP7&gt;=EDATE(Summary!$C$13,1),'Construction Schedule'!BP7&lt;=EDATE(Summary!$C$13,18)),Summary!$C$38,0))</f>
        <v>1</v>
      </c>
      <c r="BQ90" s="138">
        <f>IF(AND(BQ7&gt;=EDATE(Summary!$C$13,-6),BQ7&lt;=Summary!$C$13),Summary!$C$37,IF(AND('Construction Schedule'!BQ7&gt;=EDATE(Summary!$C$13,1),'Construction Schedule'!BQ7&lt;=EDATE(Summary!$C$13,18)),Summary!$C$38,0))</f>
        <v>1</v>
      </c>
      <c r="BR90" s="138">
        <f>IF(AND(BR7&gt;=EDATE(Summary!$C$13,-6),BR7&lt;=Summary!$C$13),Summary!$C$37,IF(AND('Construction Schedule'!BR7&gt;=EDATE(Summary!$C$13,1),'Construction Schedule'!BR7&lt;=EDATE(Summary!$C$13,18)),Summary!$C$38,0))</f>
        <v>1</v>
      </c>
      <c r="BS90" s="138">
        <f>IF(AND(BS7&gt;=EDATE(Summary!$C$13,-6),BS7&lt;=Summary!$C$13),Summary!$C$37,IF(AND('Construction Schedule'!BS7&gt;=EDATE(Summary!$C$13,1),'Construction Schedule'!BS7&lt;=EDATE(Summary!$C$13,18)),Summary!$C$38,0))</f>
        <v>1</v>
      </c>
      <c r="BT90" s="138">
        <f>IF(AND(BT7&gt;=EDATE(Summary!$C$13,-6),BT7&lt;=Summary!$C$13),Summary!$C$37,IF(AND('Construction Schedule'!BT7&gt;=EDATE(Summary!$C$13,1),'Construction Schedule'!BT7&lt;=EDATE(Summary!$C$13,18)),Summary!$C$38,0))</f>
        <v>1</v>
      </c>
      <c r="BU90" s="138">
        <f>IF(AND(BU7&gt;=EDATE(Summary!$C$13,-6),BU7&lt;=Summary!$C$13),Summary!$C$37,IF(AND('Construction Schedule'!BU7&gt;=EDATE(Summary!$C$13,1),'Construction Schedule'!BU7&lt;=EDATE(Summary!$C$13,18)),Summary!$C$38,0))</f>
        <v>1</v>
      </c>
      <c r="BV90" s="138">
        <f>IF(AND(BV7&gt;=EDATE(Summary!$C$13,-6),BV7&lt;=Summary!$C$13),Summary!$C$37,IF(AND('Construction Schedule'!BV7&gt;=EDATE(Summary!$C$13,1),'Construction Schedule'!BV7&lt;=EDATE(Summary!$C$13,18)),Summary!$C$38,0))</f>
        <v>1</v>
      </c>
      <c r="BW90" s="138">
        <f>IF(AND(BW7&gt;=EDATE(Summary!$C$13,-6),BW7&lt;=Summary!$C$13),Summary!$C$37,IF(AND('Construction Schedule'!BW7&gt;=EDATE(Summary!$C$13,1),'Construction Schedule'!BW7&lt;=EDATE(Summary!$C$13,18)),Summary!$C$38,0))</f>
        <v>1</v>
      </c>
      <c r="BX90" s="138">
        <f>IF(AND(BX7&gt;=EDATE(Summary!$C$13,-6),BX7&lt;=Summary!$C$13),Summary!$C$37,IF(AND('Construction Schedule'!BX7&gt;=EDATE(Summary!$C$13,1),'Construction Schedule'!BX7&lt;=EDATE(Summary!$C$13,18)),Summary!$C$38,0))</f>
        <v>1</v>
      </c>
      <c r="BY90" s="138">
        <f>IF(AND(BY7&gt;=EDATE(Summary!$C$13,-6),BY7&lt;=Summary!$C$13),Summary!$C$37,IF(AND('Construction Schedule'!BY7&gt;=EDATE(Summary!$C$13,1),'Construction Schedule'!BY7&lt;=EDATE(Summary!$C$13,18)),Summary!$C$38,0))</f>
        <v>1</v>
      </c>
      <c r="BZ90" s="138">
        <f>IF(AND(BZ7&gt;=EDATE(Summary!$C$13,-6),BZ7&lt;=Summary!$C$13),Summary!$C$37,IF(AND('Construction Schedule'!BZ7&gt;=EDATE(Summary!$C$13,1),'Construction Schedule'!BZ7&lt;=EDATE(Summary!$C$13,18)),Summary!$C$38,0))</f>
        <v>1</v>
      </c>
      <c r="CA90" s="138">
        <f>IF(AND(CA7&gt;=EDATE(Summary!$C$13,-6),CA7&lt;=Summary!$C$13),Summary!$C$37,IF(AND('Construction Schedule'!CA7&gt;=EDATE(Summary!$C$13,1),'Construction Schedule'!CA7&lt;=EDATE(Summary!$C$13,18)),Summary!$C$38,0))</f>
        <v>1</v>
      </c>
      <c r="CB90" s="138">
        <f>IF(AND(CB7&gt;=EDATE(Summary!$C$13,-6),CB7&lt;=Summary!$C$13),Summary!$C$37,IF(AND('Construction Schedule'!CB7&gt;=EDATE(Summary!$C$13,1),'Construction Schedule'!CB7&lt;=EDATE(Summary!$C$13,18)),Summary!$C$38,0))</f>
        <v>1</v>
      </c>
      <c r="CC90" s="138">
        <f>IF(AND(CC7&gt;=EDATE(Summary!$C$13,-6),CC7&lt;=Summary!$C$13),Summary!$C$37,IF(AND('Construction Schedule'!CC7&gt;=EDATE(Summary!$C$13,1),'Construction Schedule'!CC7&lt;=EDATE(Summary!$C$13,18)),Summary!$C$38,0))</f>
        <v>1</v>
      </c>
      <c r="CD90" s="138">
        <f>IF(AND(CD7&gt;=EDATE(Summary!$C$13,-6),CD7&lt;=Summary!$C$13),Summary!$C$37,IF(AND('Construction Schedule'!CD7&gt;=EDATE(Summary!$C$13,1),'Construction Schedule'!CD7&lt;=EDATE(Summary!$C$13,18)),Summary!$C$38,0))</f>
        <v>0</v>
      </c>
      <c r="CE90" s="138">
        <f>IF(AND(CE7&gt;=EDATE(Summary!$C$13,-6),CE7&lt;=Summary!$C$13),Summary!$C$37,IF(AND('Construction Schedule'!CE7&gt;=EDATE(Summary!$C$13,1),'Construction Schedule'!CE7&lt;=EDATE(Summary!$C$13,18)),Summary!$C$38,0))</f>
        <v>0</v>
      </c>
      <c r="CF90" s="138">
        <f>IF(AND(CF7&gt;=EDATE(Summary!$C$13,-6),CF7&lt;=Summary!$C$13),Summary!$C$37,IF(AND('Construction Schedule'!CF7&gt;=EDATE(Summary!$C$13,1),'Construction Schedule'!CF7&lt;=EDATE(Summary!$C$13,18)),Summary!$C$38,0))</f>
        <v>0</v>
      </c>
      <c r="CG90" s="138">
        <f>IF(AND(CG7&gt;=EDATE(Summary!$C$13,-6),CG7&lt;=Summary!$C$13),Summary!$C$37,IF(AND('Construction Schedule'!CG7&gt;=EDATE(Summary!$C$13,1),'Construction Schedule'!CG7&lt;=EDATE(Summary!$C$13,18)),Summary!$C$38,0))</f>
        <v>0</v>
      </c>
      <c r="CH90" s="138">
        <f>IF(AND(CH7&gt;=EDATE(Summary!$C$13,-6),CH7&lt;=Summary!$C$13),Summary!$C$37,IF(AND('Construction Schedule'!CH7&gt;=EDATE(Summary!$C$13,1),'Construction Schedule'!CH7&lt;=EDATE(Summary!$C$13,18)),Summary!$C$38,0))</f>
        <v>0</v>
      </c>
      <c r="CI90" s="138">
        <f>IF(AND(CI7&gt;=EDATE(Summary!$C$13,-6),CI7&lt;=Summary!$C$13),Summary!$C$37,IF(AND('Construction Schedule'!CI7&gt;=EDATE(Summary!$C$13,1),'Construction Schedule'!CI7&lt;=EDATE(Summary!$C$13,18)),Summary!$C$38,0))</f>
        <v>0</v>
      </c>
      <c r="CJ90" s="138">
        <f>IF(AND(CJ7&gt;=EDATE(Summary!$C$13,-6),CJ7&lt;=Summary!$C$13),Summary!$C$37,IF(AND('Construction Schedule'!CJ7&gt;=EDATE(Summary!$C$13,1),'Construction Schedule'!CJ7&lt;=EDATE(Summary!$C$13,18)),Summary!$C$38,0))</f>
        <v>0</v>
      </c>
      <c r="CK90" s="138">
        <f>IF(AND(CK7&gt;=EDATE(Summary!$C$13,-6),CK7&lt;=Summary!$C$13),Summary!$C$37,IF(AND('Construction Schedule'!CK7&gt;=EDATE(Summary!$C$13,1),'Construction Schedule'!CK7&lt;=EDATE(Summary!$C$13,18)),Summary!$C$38,0))</f>
        <v>0</v>
      </c>
      <c r="CL90" s="138">
        <f>IF(AND(CL7&gt;=EDATE(Summary!$C$13,-6),CL7&lt;=Summary!$C$13),Summary!$C$37,IF(AND('Construction Schedule'!CL7&gt;=EDATE(Summary!$C$13,1),'Construction Schedule'!CL7&lt;=EDATE(Summary!$C$13,18)),Summary!$C$38,0))</f>
        <v>0</v>
      </c>
      <c r="CM90" s="138">
        <f>IF(AND(CM7&gt;=EDATE(Summary!$C$13,-6),CM7&lt;=Summary!$C$13),Summary!$C$37,IF(AND('Construction Schedule'!CM7&gt;=EDATE(Summary!$C$13,1),'Construction Schedule'!CM7&lt;=EDATE(Summary!$C$13,18)),Summary!$C$38,0))</f>
        <v>0</v>
      </c>
      <c r="CN90" s="138">
        <f>IF(AND(CN7&gt;=EDATE(Summary!$C$13,-6),CN7&lt;=Summary!$C$13),Summary!$C$37,IF(AND('Construction Schedule'!CN7&gt;=EDATE(Summary!$C$13,1),'Construction Schedule'!CN7&lt;=EDATE(Summary!$C$13,18)),Summary!$C$38,0))</f>
        <v>0</v>
      </c>
      <c r="CO90" s="138">
        <f>IF(AND(CO7&gt;=EDATE(Summary!$C$13,-6),CO7&lt;=Summary!$C$13),Summary!$C$37,IF(AND('Construction Schedule'!CO7&gt;=EDATE(Summary!$C$13,1),'Construction Schedule'!CO7&lt;=EDATE(Summary!$C$13,18)),Summary!$C$38,0))</f>
        <v>0</v>
      </c>
      <c r="CP90" s="138">
        <f>IF(AND(CP7&gt;=EDATE(Summary!$C$13,-6),CP7&lt;=Summary!$C$13),Summary!$C$37,IF(AND('Construction Schedule'!CP7&gt;=EDATE(Summary!$C$13,1),'Construction Schedule'!CP7&lt;=EDATE(Summary!$C$13,18)),Summary!$C$38,0))</f>
        <v>0</v>
      </c>
      <c r="CQ90" s="138">
        <f>IF(AND(CQ7&gt;=EDATE(Summary!$C$13,-6),CQ7&lt;=Summary!$C$13),Summary!$C$37,IF(AND('Construction Schedule'!CQ7&gt;=EDATE(Summary!$C$13,1),'Construction Schedule'!CQ7&lt;=EDATE(Summary!$C$13,18)),Summary!$C$38,0))</f>
        <v>0</v>
      </c>
      <c r="CR90" s="138">
        <f>IF(AND(CR7&gt;=EDATE(Summary!$C$13,-6),CR7&lt;=Summary!$C$13),Summary!$C$37,IF(AND('Construction Schedule'!CR7&gt;=EDATE(Summary!$C$13,1),'Construction Schedule'!CR7&lt;=EDATE(Summary!$C$13,18)),Summary!$C$38,0))</f>
        <v>0</v>
      </c>
      <c r="CS90" s="138">
        <f>IF(AND(CS7&gt;=EDATE(Summary!$C$13,-6),CS7&lt;=Summary!$C$13),Summary!$C$37,IF(AND('Construction Schedule'!CS7&gt;=EDATE(Summary!$C$13,1),'Construction Schedule'!CS7&lt;=EDATE(Summary!$C$13,18)),Summary!$C$38,0))</f>
        <v>0</v>
      </c>
      <c r="CT90" s="138">
        <f>IF(AND(CT7&gt;=EDATE(Summary!$C$13,-6),CT7&lt;=Summary!$C$13),Summary!$C$37,IF(AND('Construction Schedule'!CT7&gt;=EDATE(Summary!$C$13,1),'Construction Schedule'!CT7&lt;=EDATE(Summary!$C$13,18)),Summary!$C$38,0))</f>
        <v>0</v>
      </c>
      <c r="CU90" s="138">
        <f>IF(AND(CU7&gt;=EDATE(Summary!$C$13,-6),CU7&lt;=Summary!$C$13),Summary!$C$37,IF(AND('Construction Schedule'!CU7&gt;=EDATE(Summary!$C$13,1),'Construction Schedule'!CU7&lt;=EDATE(Summary!$C$13,18)),Summary!$C$38,0))</f>
        <v>0</v>
      </c>
      <c r="CV90" s="138">
        <f>IF(AND(CV7&gt;=EDATE(Summary!$C$13,-6),CV7&lt;=Summary!$C$13),Summary!$C$37,IF(AND('Construction Schedule'!CV7&gt;=EDATE(Summary!$C$13,1),'Construction Schedule'!CV7&lt;=EDATE(Summary!$C$13,18)),Summary!$C$38,0))</f>
        <v>0</v>
      </c>
      <c r="CW90" s="138">
        <f>IF(AND(CW7&gt;=EDATE(Summary!$C$13,-6),CW7&lt;=Summary!$C$13),Summary!$C$37,IF(AND('Construction Schedule'!CW7&gt;=EDATE(Summary!$C$13,1),'Construction Schedule'!CW7&lt;=EDATE(Summary!$C$13,18)),Summary!$C$38,0))</f>
        <v>0</v>
      </c>
      <c r="CX90" s="138">
        <f>IF(AND(CX7&gt;=EDATE(Summary!$C$13,-6),CX7&lt;=Summary!$C$13),Summary!$C$37,IF(AND('Construction Schedule'!CX7&gt;=EDATE(Summary!$C$13,1),'Construction Schedule'!CX7&lt;=EDATE(Summary!$C$13,18)),Summary!$C$38,0))</f>
        <v>0</v>
      </c>
      <c r="CY90" s="138">
        <f>IF(AND(CY7&gt;=EDATE(Summary!$C$13,-6),CY7&lt;=Summary!$C$13),Summary!$C$37,IF(AND('Construction Schedule'!CY7&gt;=EDATE(Summary!$C$13,1),'Construction Schedule'!CY7&lt;=EDATE(Summary!$C$13,18)),Summary!$C$38,0))</f>
        <v>0</v>
      </c>
      <c r="CZ90" s="138">
        <f>IF(AND(CZ7&gt;=EDATE(Summary!$C$13,-6),CZ7&lt;=Summary!$C$13),Summary!$C$37,IF(AND('Construction Schedule'!CZ7&gt;=EDATE(Summary!$C$13,1),'Construction Schedule'!CZ7&lt;=EDATE(Summary!$C$13,18)),Summary!$C$38,0))</f>
        <v>0</v>
      </c>
      <c r="DA90" s="138">
        <f>IF(AND(DA7&gt;=EDATE(Summary!$C$13,-6),DA7&lt;=Summary!$C$13),Summary!$C$37,IF(AND('Construction Schedule'!DA7&gt;=EDATE(Summary!$C$13,1),'Construction Schedule'!DA7&lt;=EDATE(Summary!$C$13,18)),Summary!$C$38,0))</f>
        <v>0</v>
      </c>
      <c r="DB90" s="138">
        <f>IF(AND(DB7&gt;=EDATE(Summary!$C$13,-6),DB7&lt;=Summary!$C$13),Summary!$C$37,IF(AND('Construction Schedule'!DB7&gt;=EDATE(Summary!$C$13,1),'Construction Schedule'!DB7&lt;=EDATE(Summary!$C$13,18)),Summary!$C$38,0))</f>
        <v>0</v>
      </c>
      <c r="DC90" s="138">
        <f>IF(AND(DC7&gt;=EDATE(Summary!$C$13,-6),DC7&lt;=Summary!$C$13),Summary!$C$37,IF(AND('Construction Schedule'!DC7&gt;=EDATE(Summary!$C$13,1),'Construction Schedule'!DC7&lt;=EDATE(Summary!$C$13,18)),Summary!$C$38,0))</f>
        <v>0</v>
      </c>
      <c r="DD90" s="138">
        <f>IF(AND(DD7&gt;=EDATE(Summary!$C$13,-6),DD7&lt;=Summary!$C$13),Summary!$C$37,IF(AND('Construction Schedule'!DD7&gt;=EDATE(Summary!$C$13,1),'Construction Schedule'!DD7&lt;=EDATE(Summary!$C$13,18)),Summary!$C$38,0))</f>
        <v>0</v>
      </c>
      <c r="DE90" s="243">
        <f>IF(AND(DE7&gt;=EDATE(Summary!$C$13,-6),DE7&lt;=Summary!$C$13),Summary!$C$37,IF(AND('Construction Schedule'!DE7&gt;=EDATE(Summary!$C$13,1),'Construction Schedule'!DE7&lt;=EDATE(Summary!$C$13,18)),Summary!$C$38,0))</f>
        <v>0</v>
      </c>
    </row>
    <row r="91" spans="2:109">
      <c r="B91" s="351" t="s">
        <v>347</v>
      </c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349">
        <f>AW89/Summary!$O$29</f>
        <v>0</v>
      </c>
      <c r="AX91" s="349">
        <f>AX89/Summary!$O$29</f>
        <v>0</v>
      </c>
      <c r="AY91" s="349">
        <f>AY89/Summary!$O$29</f>
        <v>0</v>
      </c>
      <c r="AZ91" s="349">
        <f>AZ89/Summary!$O$29</f>
        <v>0</v>
      </c>
      <c r="BA91" s="349">
        <f>BA89/Summary!$O$29</f>
        <v>0</v>
      </c>
      <c r="BB91" s="349">
        <f>BB89/Summary!$O$29</f>
        <v>0</v>
      </c>
      <c r="BC91" s="349">
        <f>BC89/Summary!$O$29</f>
        <v>0</v>
      </c>
      <c r="BD91" s="349">
        <f>BD89/Summary!$O$29</f>
        <v>0</v>
      </c>
      <c r="BE91" s="349">
        <f>BE89/Summary!$O$29</f>
        <v>0</v>
      </c>
      <c r="BF91" s="349">
        <f>BF89/Summary!$O$29</f>
        <v>0</v>
      </c>
      <c r="BG91" s="349">
        <f>BG89/Summary!$O$29</f>
        <v>0</v>
      </c>
      <c r="BH91" s="349">
        <f>BH89/Summary!$O$29</f>
        <v>0</v>
      </c>
      <c r="BI91" s="349">
        <f>BI89/Summary!$O$29</f>
        <v>0</v>
      </c>
      <c r="BJ91" s="349">
        <f>BJ89/Summary!$O$29</f>
        <v>0</v>
      </c>
      <c r="BK91" s="349">
        <f>BK89/Summary!$O$29</f>
        <v>0</v>
      </c>
      <c r="BL91" s="349">
        <f>BL89/Summary!$O$29</f>
        <v>0</v>
      </c>
      <c r="BM91" s="349">
        <f>BM89/Summary!$O$29</f>
        <v>1</v>
      </c>
      <c r="BN91" s="349">
        <f>BN89/Summary!$O$29</f>
        <v>1</v>
      </c>
      <c r="BO91" s="349">
        <f>BO89/Summary!$O$29</f>
        <v>1</v>
      </c>
      <c r="BP91" s="349">
        <f>BP89/Summary!$O$29</f>
        <v>1</v>
      </c>
      <c r="BQ91" s="349">
        <f>BQ89/Summary!$O$29</f>
        <v>1</v>
      </c>
      <c r="BR91" s="349">
        <f>BR89/Summary!$O$29</f>
        <v>1</v>
      </c>
      <c r="BS91" s="349">
        <f>BS89/Summary!$O$29</f>
        <v>1</v>
      </c>
      <c r="BT91" s="349">
        <f>BT89/Summary!$O$29</f>
        <v>1</v>
      </c>
      <c r="BU91" s="349">
        <f>BU89/Summary!$O$29</f>
        <v>1</v>
      </c>
      <c r="BV91" s="349">
        <f>BV89/Summary!$O$29</f>
        <v>1</v>
      </c>
      <c r="BW91" s="349">
        <f>BW89/Summary!$O$29</f>
        <v>1</v>
      </c>
      <c r="BX91" s="349">
        <f>BX89/Summary!$O$29</f>
        <v>1</v>
      </c>
      <c r="BY91" s="349">
        <f>BY89/Summary!$O$29</f>
        <v>1</v>
      </c>
      <c r="BZ91" s="349">
        <f>BZ89/Summary!$O$29</f>
        <v>1</v>
      </c>
      <c r="CA91" s="349">
        <f>CA89/Summary!$O$29</f>
        <v>1</v>
      </c>
      <c r="CB91" s="349">
        <f>CB89/Summary!$O$29</f>
        <v>1</v>
      </c>
      <c r="CC91" s="349">
        <f>CC89/Summary!$O$29</f>
        <v>1</v>
      </c>
      <c r="CD91" s="349">
        <f>CD89/Summary!$O$29</f>
        <v>1</v>
      </c>
      <c r="CE91" s="349">
        <f>CE89/Summary!$O$29</f>
        <v>1</v>
      </c>
      <c r="CF91" s="349">
        <f>CF89/Summary!$O$29</f>
        <v>1</v>
      </c>
      <c r="CG91" s="349">
        <f>CG89/Summary!$O$29</f>
        <v>1</v>
      </c>
      <c r="CH91" s="349">
        <f>CH89/Summary!$O$29</f>
        <v>1</v>
      </c>
      <c r="CI91" s="349">
        <f>CI89/Summary!$O$29</f>
        <v>1</v>
      </c>
      <c r="CJ91" s="349">
        <f>CJ89/Summary!$O$29</f>
        <v>1</v>
      </c>
      <c r="CK91" s="349">
        <f>CK89/Summary!$O$29</f>
        <v>1</v>
      </c>
      <c r="CL91" s="349">
        <f>CL89/Summary!$O$29</f>
        <v>1</v>
      </c>
      <c r="CM91" s="349">
        <f>CM89/Summary!$O$29</f>
        <v>1</v>
      </c>
      <c r="CN91" s="349">
        <f>CN89/Summary!$O$29</f>
        <v>1</v>
      </c>
      <c r="CO91" s="349">
        <f>CO89/Summary!$O$29</f>
        <v>1</v>
      </c>
      <c r="CP91" s="349">
        <f>CP89/Summary!$O$29</f>
        <v>1</v>
      </c>
      <c r="CQ91" s="349">
        <f>CQ89/Summary!$O$29</f>
        <v>1</v>
      </c>
      <c r="CR91" s="349">
        <f>CR89/Summary!$O$29</f>
        <v>1</v>
      </c>
      <c r="CS91" s="349">
        <f>CS89/Summary!$O$29</f>
        <v>1</v>
      </c>
      <c r="CT91" s="349">
        <f>CT89/Summary!$O$29</f>
        <v>1</v>
      </c>
      <c r="CU91" s="349">
        <f>CU89/Summary!$O$29</f>
        <v>1</v>
      </c>
      <c r="CV91" s="349">
        <f>CV89/Summary!$O$29</f>
        <v>1</v>
      </c>
      <c r="CW91" s="349">
        <f>CW89/Summary!$O$29</f>
        <v>1</v>
      </c>
      <c r="CX91" s="349">
        <f>CX89/Summary!$O$29</f>
        <v>1</v>
      </c>
      <c r="CY91" s="349">
        <f>CY89/Summary!$O$29</f>
        <v>1</v>
      </c>
      <c r="CZ91" s="349">
        <f>CZ89/Summary!$O$29</f>
        <v>1</v>
      </c>
      <c r="DA91" s="349">
        <f>DA89/Summary!$O$29</f>
        <v>1</v>
      </c>
      <c r="DB91" s="349">
        <f>DB89/Summary!$O$29</f>
        <v>1</v>
      </c>
      <c r="DC91" s="349">
        <f>DC89/Summary!$O$29</f>
        <v>1</v>
      </c>
      <c r="DD91" s="349">
        <f>DD89/Summary!$O$29</f>
        <v>1</v>
      </c>
      <c r="DE91" s="481">
        <f>DE89/Summary!$O$29</f>
        <v>1</v>
      </c>
    </row>
    <row r="92" spans="2:109">
      <c r="B92" s="350"/>
      <c r="BO92" s="251"/>
      <c r="DE92" s="114"/>
    </row>
    <row r="93" spans="2:109">
      <c r="B93" s="362" t="s">
        <v>159</v>
      </c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2"/>
      <c r="BB93" s="142"/>
      <c r="BC93" s="142"/>
      <c r="BD93" s="142"/>
      <c r="BE93" s="142"/>
      <c r="BF93" s="142"/>
      <c r="BG93" s="142"/>
      <c r="BH93" s="142"/>
      <c r="BI93" s="142"/>
      <c r="BJ93" s="142"/>
      <c r="BK93" s="142"/>
      <c r="BL93" s="142"/>
      <c r="BM93" s="142"/>
      <c r="BN93" s="142"/>
      <c r="BO93" s="142"/>
      <c r="BP93" s="142"/>
      <c r="BQ93" s="142"/>
      <c r="BR93" s="142"/>
      <c r="BS93" s="142"/>
      <c r="BT93" s="142"/>
      <c r="BU93" s="142"/>
      <c r="BV93" s="142"/>
      <c r="BW93" s="142"/>
      <c r="BX93" s="142"/>
      <c r="BY93" s="142"/>
      <c r="BZ93" s="142"/>
      <c r="CA93" s="142"/>
      <c r="CB93" s="142"/>
      <c r="CC93" s="142"/>
      <c r="CD93" s="142"/>
      <c r="CE93" s="142"/>
      <c r="CF93" s="142"/>
      <c r="CG93" s="142"/>
      <c r="CH93" s="142"/>
      <c r="CI93" s="142"/>
      <c r="CJ93" s="142"/>
      <c r="CK93" s="142"/>
      <c r="CL93" s="142"/>
      <c r="CM93" s="142"/>
      <c r="CN93" s="142"/>
      <c r="CO93" s="142"/>
      <c r="CP93" s="142"/>
      <c r="CQ93" s="142"/>
      <c r="CR93" s="142"/>
      <c r="CS93" s="142"/>
      <c r="CT93" s="142"/>
      <c r="CU93" s="142"/>
      <c r="CV93" s="142"/>
      <c r="CW93" s="142"/>
      <c r="CX93" s="142"/>
      <c r="CY93" s="142"/>
      <c r="CZ93" s="142"/>
      <c r="DA93" s="142"/>
      <c r="DB93" s="142"/>
      <c r="DC93" s="142"/>
      <c r="DD93" s="142"/>
      <c r="DE93" s="152"/>
    </row>
    <row r="94" spans="2:109">
      <c r="B94" s="350" t="s">
        <v>344</v>
      </c>
      <c r="AW94">
        <f>ROUND(AW96*Summary!$O$11,0)</f>
        <v>0</v>
      </c>
      <c r="AX94">
        <f>ROUND(AX96*Summary!$O$11,0)</f>
        <v>0</v>
      </c>
      <c r="AY94">
        <f>ROUND(AY96*Summary!$O$11,0)</f>
        <v>0</v>
      </c>
      <c r="AZ94">
        <f>ROUND(AZ96*Summary!$O$11,0)</f>
        <v>0</v>
      </c>
      <c r="BA94">
        <f>ROUND(BA96*Summary!$O$11,0)</f>
        <v>0</v>
      </c>
      <c r="BB94">
        <f>ROUND(BB96*Summary!$O$11,0)</f>
        <v>0</v>
      </c>
      <c r="BC94">
        <f>ROUND(BC96*Summary!$O$11,0)</f>
        <v>0</v>
      </c>
      <c r="BD94">
        <f>ROUND(BD96*Summary!$O$11,0)</f>
        <v>0</v>
      </c>
      <c r="BE94">
        <f>ROUND(BE96*Summary!$O$11,0)</f>
        <v>0</v>
      </c>
      <c r="BF94">
        <f>ROUND(BF96*Summary!$O$11,0)</f>
        <v>0</v>
      </c>
      <c r="BG94">
        <f>ROUND(BG96*Summary!$O$11,0)</f>
        <v>0</v>
      </c>
      <c r="BH94">
        <f>ROUND(BH96*Summary!$O$11,0)</f>
        <v>0</v>
      </c>
      <c r="BI94">
        <f>ROUND(BI96*Summary!$O$11,0)</f>
        <v>0</v>
      </c>
      <c r="BJ94">
        <f>ROUND(BJ96*Summary!$O$11,0)</f>
        <v>0</v>
      </c>
      <c r="BK94">
        <f>ROUND(BK96*Summary!$O$11,0)</f>
        <v>0</v>
      </c>
      <c r="BL94">
        <f>ROUND(BL96*Summary!$O$11,0)</f>
        <v>0</v>
      </c>
      <c r="BM94">
        <f>ROUND(BM96*Summary!$O$11,0)</f>
        <v>8</v>
      </c>
      <c r="BN94">
        <f>ROUND(BN96*Summary!$O$11,0)</f>
        <v>8</v>
      </c>
      <c r="BO94">
        <f>ROUND(BO96*Summary!$O$11,0)</f>
        <v>8</v>
      </c>
      <c r="BP94">
        <f>ROUND(BP96*Summary!$O$11,0)</f>
        <v>8</v>
      </c>
      <c r="BQ94">
        <f>ROUND(BQ96*Summary!$O$11,0)</f>
        <v>8</v>
      </c>
      <c r="BR94">
        <f>ROUND(BR96*Summary!$O$11,0)</f>
        <v>8</v>
      </c>
      <c r="BS94">
        <f>ROUND(BS96*Summary!$O$11,0)</f>
        <v>8</v>
      </c>
      <c r="BT94">
        <f>ROUND(BT96*Summary!$O$11,0)</f>
        <v>8</v>
      </c>
      <c r="BU94">
        <f>ROUND(BU96*Summary!$O$11,0)</f>
        <v>8</v>
      </c>
      <c r="BV94">
        <f>ROUND(BV96*Summary!$O$11,0)</f>
        <v>8</v>
      </c>
      <c r="BW94">
        <f>ROUND(BW96*Summary!$O$11,0)</f>
        <v>8</v>
      </c>
      <c r="BX94">
        <f>ROUND(BX96*Summary!$O$11,0)</f>
        <v>8</v>
      </c>
      <c r="BY94">
        <f>ROUND(BY96*Summary!$O$11,0)</f>
        <v>8</v>
      </c>
      <c r="BZ94">
        <f>ROUND(BZ96*Summary!$O$11,0)</f>
        <v>8</v>
      </c>
      <c r="CA94">
        <f>ROUND(CA96*Summary!$O$11,0)</f>
        <v>8</v>
      </c>
      <c r="CB94">
        <f>ROUND(CB96*Summary!$O$11,0)</f>
        <v>8</v>
      </c>
      <c r="CC94">
        <f>ROUND(CC96*Summary!$O$11,0)</f>
        <v>8</v>
      </c>
      <c r="CD94">
        <f>ROUND(CD96*Summary!$O$11,0)</f>
        <v>0</v>
      </c>
      <c r="CE94">
        <f>ROUND(CE96*Summary!$O$11,0)</f>
        <v>0</v>
      </c>
      <c r="CF94">
        <f>ROUND(CF96*Summary!$O$11,0)</f>
        <v>0</v>
      </c>
      <c r="CG94">
        <f>ROUND(CG96*Summary!$O$11,0)</f>
        <v>0</v>
      </c>
      <c r="CH94">
        <f>ROUND(CH96*Summary!$O$11,0)</f>
        <v>0</v>
      </c>
      <c r="CI94">
        <f>ROUND(CI96*Summary!$O$11,0)</f>
        <v>0</v>
      </c>
      <c r="CJ94">
        <f>ROUND(CJ96*Summary!$O$11,0)</f>
        <v>0</v>
      </c>
      <c r="CK94">
        <f>ROUND(CK96*Summary!$O$11,0)</f>
        <v>0</v>
      </c>
      <c r="CL94">
        <f>ROUND(CL96*Summary!$O$11,0)</f>
        <v>0</v>
      </c>
      <c r="CM94">
        <f>ROUND(CM96*Summary!$O$11,0)</f>
        <v>0</v>
      </c>
      <c r="CN94">
        <f>ROUND(CN96*Summary!$O$11,0)</f>
        <v>0</v>
      </c>
      <c r="CO94">
        <f>ROUND(CO96*Summary!$O$11,0)</f>
        <v>0</v>
      </c>
      <c r="CP94">
        <f>ROUND(CP96*Summary!$O$11,0)</f>
        <v>0</v>
      </c>
      <c r="CQ94">
        <f>ROUND(CQ96*Summary!$O$11,0)</f>
        <v>0</v>
      </c>
      <c r="CR94">
        <f>ROUND(CR96*Summary!$O$11,0)</f>
        <v>0</v>
      </c>
      <c r="CS94">
        <f>ROUND(CS96*Summary!$O$11,0)</f>
        <v>0</v>
      </c>
      <c r="CT94">
        <f>ROUND(CT96*Summary!$O$11,0)</f>
        <v>0</v>
      </c>
      <c r="CU94">
        <f>ROUND(CU96*Summary!$O$11,0)</f>
        <v>0</v>
      </c>
      <c r="CV94">
        <f>ROUND(CV96*Summary!$O$11,0)</f>
        <v>0</v>
      </c>
      <c r="CW94">
        <f>ROUND(CW96*Summary!$O$11,0)</f>
        <v>0</v>
      </c>
      <c r="CX94">
        <f>ROUND(CX96*Summary!$O$11,0)</f>
        <v>0</v>
      </c>
      <c r="CY94">
        <f>ROUND(CY96*Summary!$O$11,0)</f>
        <v>0</v>
      </c>
      <c r="CZ94">
        <f>ROUND(CZ96*Summary!$O$11,0)</f>
        <v>0</v>
      </c>
      <c r="DA94">
        <f>ROUND(DA96*Summary!$O$11,0)</f>
        <v>0</v>
      </c>
      <c r="DB94">
        <f>ROUND(DB96*Summary!$O$11,0)</f>
        <v>0</v>
      </c>
      <c r="DC94">
        <f>ROUND(DC96*Summary!$O$11,0)</f>
        <v>0</v>
      </c>
      <c r="DD94">
        <f>ROUND(DD96*Summary!$O$11,0)</f>
        <v>0</v>
      </c>
      <c r="DE94" s="114">
        <f>ROUND(DE96*Summary!$O$11,0)</f>
        <v>0</v>
      </c>
    </row>
    <row r="95" spans="2:109">
      <c r="B95" s="350" t="s">
        <v>345</v>
      </c>
      <c r="AW95">
        <f>ROUND(IF(SUM($AW$94:AW94)&gt;Summary!$O$11*(1-Summary!$C$50),Summary!$O$11*(1-Summary!$C$50),SUM($AW$94:AW94)),0)</f>
        <v>0</v>
      </c>
      <c r="AX95">
        <f>ROUND(IF(SUM($AW$94:AX94)&gt;Summary!$O$11*(1-Summary!$C$50),Summary!$O$11*(1-Summary!$C$50),SUM($AW$94:AX94)),0)</f>
        <v>0</v>
      </c>
      <c r="AY95">
        <f>ROUND(IF(SUM($AW$94:AY94)&gt;Summary!$O$11*(1-Summary!$C$50),Summary!$O$11*(1-Summary!$C$50),SUM($AW$94:AY94)),0)</f>
        <v>0</v>
      </c>
      <c r="AZ95">
        <f>ROUND(IF(SUM($AW$94:AZ94)&gt;Summary!$O$11*(1-Summary!$C$50),Summary!$O$11*(1-Summary!$C$50),SUM($AW$94:AZ94)),0)</f>
        <v>0</v>
      </c>
      <c r="BA95">
        <f>ROUND(IF(SUM($AW$94:BA94)&gt;Summary!$O$11*(1-Summary!$C$50),Summary!$O$11*(1-Summary!$C$50),SUM($AW$94:BA94)),0)</f>
        <v>0</v>
      </c>
      <c r="BB95">
        <f>ROUND(IF(SUM($AW$94:BB94)&gt;Summary!$O$11*(1-Summary!$C$50),Summary!$O$11*(1-Summary!$C$50),SUM($AW$94:BB94)),0)</f>
        <v>0</v>
      </c>
      <c r="BC95">
        <f>ROUND(IF(SUM($AW$94:BC94)&gt;Summary!$O$11*(1-Summary!$C$50),Summary!$O$11*(1-Summary!$C$50),SUM($AW$94:BC94)),0)</f>
        <v>0</v>
      </c>
      <c r="BD95">
        <f>ROUND(IF(SUM($AW$94:BD94)&gt;Summary!$O$11*(1-Summary!$C$50),Summary!$O$11*(1-Summary!$C$50),SUM($AW$94:BD94)),0)</f>
        <v>0</v>
      </c>
      <c r="BE95">
        <f>ROUND(IF(SUM($AW$94:BE94)&gt;Summary!$O$11*(1-Summary!$C$50),Summary!$O$11*(1-Summary!$C$50),SUM($AW$94:BE94)),0)</f>
        <v>0</v>
      </c>
      <c r="BF95">
        <f>ROUND(IF(SUM($AW$94:BF94)&gt;Summary!$O$11*(1-Summary!$C$50),Summary!$O$11*(1-Summary!$C$50),SUM($AW$94:BF94)),0)</f>
        <v>0</v>
      </c>
      <c r="BG95">
        <f>ROUND(IF(SUM($AW$94:BG94)&gt;Summary!$O$11*(1-Summary!$C$50),Summary!$O$11*(1-Summary!$C$50),SUM($AW$94:BG94)),0)</f>
        <v>0</v>
      </c>
      <c r="BH95">
        <f>ROUND(IF(SUM($AW$94:BH94)&gt;Summary!$O$11*(1-Summary!$C$50),Summary!$O$11*(1-Summary!$C$50),SUM($AW$94:BH94)),0)</f>
        <v>0</v>
      </c>
      <c r="BI95">
        <f>ROUND(IF(SUM($AW$94:BI94)&gt;Summary!$O$11*(1-Summary!$C$50),Summary!$O$11*(1-Summary!$C$50),SUM($AW$94:BI94)),0)</f>
        <v>0</v>
      </c>
      <c r="BJ95">
        <f>ROUND(IF(SUM($AW$94:BJ94)&gt;Summary!$O$11*(1-Summary!$C$50),Summary!$O$11*(1-Summary!$C$50),SUM($AW$94:BJ94)),0)</f>
        <v>0</v>
      </c>
      <c r="BK95">
        <f>ROUND(IF(SUM($AW$94:BK94)&gt;Summary!$O$11*(1-Summary!$C$50),Summary!$O$11*(1-Summary!$C$50),SUM($AW$94:BK94)),0)</f>
        <v>0</v>
      </c>
      <c r="BL95">
        <f>ROUND(IF(SUM($AW$94:BL94)&gt;Summary!$O$11*(1-Summary!$C$50),Summary!$O$11*(1-Summary!$C$50),SUM($AW$94:BL94)),0)</f>
        <v>0</v>
      </c>
      <c r="BM95">
        <f>ROUND(IF(SUM($AW$94:BM94)&gt;Summary!$O$11*(1-Summary!$C$50),Summary!$O$11*(1-Summary!$C$50),SUM($AW$94:BM94)),0)</f>
        <v>8</v>
      </c>
      <c r="BN95">
        <f>ROUND(IF(SUM($AW$94:BN94)&gt;Summary!$O$11*(1-Summary!$C$50),Summary!$O$11*(1-Summary!$C$50),SUM($AW$94:BN94)),0)</f>
        <v>16</v>
      </c>
      <c r="BO95">
        <f>ROUND(IF(SUM($AW$94:BO94)&gt;Summary!$O$11*(1-Summary!$C$50),Summary!$O$11*(1-Summary!$C$50),SUM($AW$94:BO94)),0)</f>
        <v>24</v>
      </c>
      <c r="BP95">
        <f>ROUND(IF(SUM($AW$94:BP94)&gt;Summary!$O$11*(1-Summary!$C$50),Summary!$O$11*(1-Summary!$C$50),SUM($AW$94:BP94)),0)</f>
        <v>32</v>
      </c>
      <c r="BQ95">
        <f>ROUND(IF(SUM($AW$94:BQ94)&gt;Summary!$O$11*(1-Summary!$C$50),Summary!$O$11*(1-Summary!$C$50),SUM($AW$94:BQ94)),0)</f>
        <v>40</v>
      </c>
      <c r="BR95">
        <f>ROUND(IF(SUM($AW$94:BR94)&gt;Summary!$O$11*(1-Summary!$C$50),Summary!$O$11*(1-Summary!$C$50),SUM($AW$94:BR94)),0)</f>
        <v>48</v>
      </c>
      <c r="BS95">
        <f>ROUND(IF(SUM($AW$94:BS94)&gt;Summary!$O$11*(1-Summary!$C$50),Summary!$O$11*(1-Summary!$C$50),SUM($AW$94:BS94)),0)</f>
        <v>56</v>
      </c>
      <c r="BT95">
        <f>ROUND(IF(SUM($AW$94:BT94)&gt;Summary!$O$11*(1-Summary!$C$50),Summary!$O$11*(1-Summary!$C$50),SUM($AW$94:BT94)),0)</f>
        <v>64</v>
      </c>
      <c r="BU95">
        <f>ROUND(IF(SUM($AW$94:BU94)&gt;Summary!$O$11*(1-Summary!$C$50),Summary!$O$11*(1-Summary!$C$50),SUM($AW$94:BU94)),0)</f>
        <v>72</v>
      </c>
      <c r="BV95">
        <f>ROUND(IF(SUM($AW$94:BV94)&gt;Summary!$O$11*(1-Summary!$C$50),Summary!$O$11*(1-Summary!$C$50),SUM($AW$94:BV94)),0)</f>
        <v>80</v>
      </c>
      <c r="BW95">
        <f>ROUND(IF(SUM($AW$94:BW94)&gt;Summary!$O$11*(1-Summary!$C$50),Summary!$O$11*(1-Summary!$C$50),SUM($AW$94:BW94)),0)</f>
        <v>88</v>
      </c>
      <c r="BX95">
        <f>ROUND(IF(SUM($AW$94:BX94)&gt;Summary!$O$11*(1-Summary!$C$50),Summary!$O$11*(1-Summary!$C$50),SUM($AW$94:BX94)),0)</f>
        <v>96</v>
      </c>
      <c r="BY95">
        <f>ROUND(IF(SUM($AW$94:BY94)&gt;Summary!$O$11*(1-Summary!$C$50),Summary!$O$11*(1-Summary!$C$50),SUM($AW$94:BY94)),0)</f>
        <v>104</v>
      </c>
      <c r="BZ95">
        <f>ROUND(IF(SUM($AW$94:BZ94)&gt;Summary!$O$11*(1-Summary!$C$50),Summary!$O$11*(1-Summary!$C$50),SUM($AW$94:BZ94)),0)</f>
        <v>106</v>
      </c>
      <c r="CA95">
        <f>ROUND(IF(SUM($AW$94:CA94)&gt;Summary!$O$11*(1-Summary!$C$50),Summary!$O$11*(1-Summary!$C$50),SUM($AW$94:CA94)),0)</f>
        <v>106</v>
      </c>
      <c r="CB95">
        <f>ROUND(IF(SUM($AW$94:CB94)&gt;Summary!$O$11*(1-Summary!$C$50),Summary!$O$11*(1-Summary!$C$50),SUM($AW$94:CB94)),0)</f>
        <v>106</v>
      </c>
      <c r="CC95">
        <f>ROUND(IF(SUM($AW$94:CC94)&gt;Summary!$O$11*(1-Summary!$C$50),Summary!$O$11*(1-Summary!$C$50),SUM($AW$94:CC94)),0)</f>
        <v>106</v>
      </c>
      <c r="CD95">
        <f>ROUND(IF(SUM($AW$94:CD94)&gt;Summary!$O$11*(1-Summary!$C$50),Summary!$O$11*(1-Summary!$C$50),SUM($AW$94:CD94)),0)</f>
        <v>106</v>
      </c>
      <c r="CE95">
        <f>ROUND(IF(SUM($AW$94:CE94)&gt;Summary!$O$11*(1-Summary!$C$50),Summary!$O$11*(1-Summary!$C$50),SUM($AW$94:CE94)),0)</f>
        <v>106</v>
      </c>
      <c r="CF95">
        <f>ROUND(IF(SUM($AW$94:CF94)&gt;Summary!$O$11*(1-Summary!$C$50),Summary!$O$11*(1-Summary!$C$50),SUM($AW$94:CF94)),0)</f>
        <v>106</v>
      </c>
      <c r="CG95">
        <f>ROUND(IF(SUM($AW$94:CG94)&gt;Summary!$O$11*(1-Summary!$C$50),Summary!$O$11*(1-Summary!$C$50),SUM($AW$94:CG94)),0)</f>
        <v>106</v>
      </c>
      <c r="CH95">
        <f>ROUND(IF(SUM($AW$94:CH94)&gt;Summary!$O$11*(1-Summary!$C$50),Summary!$O$11*(1-Summary!$C$50),SUM($AW$94:CH94)),0)</f>
        <v>106</v>
      </c>
      <c r="CI95">
        <f>ROUND(IF(SUM($AW$94:CI94)&gt;Summary!$O$11*(1-Summary!$C$50),Summary!$O$11*(1-Summary!$C$50),SUM($AW$94:CI94)),0)</f>
        <v>106</v>
      </c>
      <c r="CJ95">
        <f>ROUND(IF(SUM($AW$94:CJ94)&gt;Summary!$O$11*(1-Summary!$C$50),Summary!$O$11*(1-Summary!$C$50),SUM($AW$94:CJ94)),0)</f>
        <v>106</v>
      </c>
      <c r="CK95">
        <f>ROUND(IF(SUM($AW$94:CK94)&gt;Summary!$O$11*(1-Summary!$C$50),Summary!$O$11*(1-Summary!$C$50),SUM($AW$94:CK94)),0)</f>
        <v>106</v>
      </c>
      <c r="CL95">
        <f>ROUND(IF(SUM($AW$94:CL94)&gt;Summary!$O$11*(1-Summary!$C$50),Summary!$O$11*(1-Summary!$C$50),SUM($AW$94:CL94)),0)</f>
        <v>106</v>
      </c>
      <c r="CM95">
        <f>ROUND(IF(SUM($AW$94:CM94)&gt;Summary!$O$11*(1-Summary!$C$50),Summary!$O$11*(1-Summary!$C$50),SUM($AW$94:CM94)),0)</f>
        <v>106</v>
      </c>
      <c r="CN95">
        <f>ROUND(IF(SUM($AW$94:CN94)&gt;Summary!$O$11*(1-Summary!$C$50),Summary!$O$11*(1-Summary!$C$50),SUM($AW$94:CN94)),0)</f>
        <v>106</v>
      </c>
      <c r="CO95">
        <f>ROUND(IF(SUM($AW$94:CO94)&gt;Summary!$O$11*(1-Summary!$C$50),Summary!$O$11*(1-Summary!$C$50),SUM($AW$94:CO94)),0)</f>
        <v>106</v>
      </c>
      <c r="CP95">
        <f>ROUND(IF(SUM($AW$94:CP94)&gt;Summary!$O$11*(1-Summary!$C$50),Summary!$O$11*(1-Summary!$C$50),SUM($AW$94:CP94)),0)</f>
        <v>106</v>
      </c>
      <c r="CQ95">
        <f>ROUND(IF(SUM($AW$94:CQ94)&gt;Summary!$O$11*(1-Summary!$C$50),Summary!$O$11*(1-Summary!$C$50),SUM($AW$94:CQ94)),0)</f>
        <v>106</v>
      </c>
      <c r="CR95">
        <f>ROUND(IF(SUM($AW$94:CR94)&gt;Summary!$O$11*(1-Summary!$C$50),Summary!$O$11*(1-Summary!$C$50),SUM($AW$94:CR94)),0)</f>
        <v>106</v>
      </c>
      <c r="CS95">
        <f>ROUND(IF(SUM($AW$94:CS94)&gt;Summary!$O$11*(1-Summary!$C$50),Summary!$O$11*(1-Summary!$C$50),SUM($AW$94:CS94)),0)</f>
        <v>106</v>
      </c>
      <c r="CT95">
        <f>ROUND(IF(SUM($AW$94:CT94)&gt;Summary!$O$11*(1-Summary!$C$50),Summary!$O$11*(1-Summary!$C$50),SUM($AW$94:CT94)),0)</f>
        <v>106</v>
      </c>
      <c r="CU95">
        <f>ROUND(IF(SUM($AW$94:CU94)&gt;Summary!$O$11*(1-Summary!$C$50),Summary!$O$11*(1-Summary!$C$50),SUM($AW$94:CU94)),0)</f>
        <v>106</v>
      </c>
      <c r="CV95">
        <f>ROUND(IF(SUM($AW$94:CV94)&gt;Summary!$O$11*(1-Summary!$C$50),Summary!$O$11*(1-Summary!$C$50),SUM($AW$94:CV94)),0)</f>
        <v>106</v>
      </c>
      <c r="CW95">
        <f>ROUND(IF(SUM($AW$94:CW94)&gt;Summary!$O$11*(1-Summary!$C$50),Summary!$O$11*(1-Summary!$C$50),SUM($AW$94:CW94)),0)</f>
        <v>106</v>
      </c>
      <c r="CX95">
        <f>ROUND(IF(SUM($AW$94:CX94)&gt;Summary!$O$11*(1-Summary!$C$50),Summary!$O$11*(1-Summary!$C$50),SUM($AW$94:CX94)),0)</f>
        <v>106</v>
      </c>
      <c r="CY95">
        <f>ROUND(IF(SUM($AW$94:CY94)&gt;Summary!$O$11*(1-Summary!$C$50),Summary!$O$11*(1-Summary!$C$50),SUM($AW$94:CY94)),0)</f>
        <v>106</v>
      </c>
      <c r="CZ95">
        <f>ROUND(IF(SUM($AW$94:CZ94)&gt;Summary!$O$11*(1-Summary!$C$50),Summary!$O$11*(1-Summary!$C$50),SUM($AW$94:CZ94)),0)</f>
        <v>106</v>
      </c>
      <c r="DA95">
        <f>ROUND(IF(SUM($AW$94:DA94)&gt;Summary!$O$11*(1-Summary!$C$50),Summary!$O$11*(1-Summary!$C$50),SUM($AW$94:DA94)),0)</f>
        <v>106</v>
      </c>
      <c r="DB95">
        <f>ROUND(IF(SUM($AW$94:DB94)&gt;Summary!$O$11*(1-Summary!$C$50),Summary!$O$11*(1-Summary!$C$50),SUM($AW$94:DB94)),0)</f>
        <v>106</v>
      </c>
      <c r="DC95">
        <f>ROUND(IF(SUM($AW$94:DC94)&gt;Summary!$O$11*(1-Summary!$C$50),Summary!$O$11*(1-Summary!$C$50),SUM($AW$94:DC94)),0)</f>
        <v>106</v>
      </c>
      <c r="DD95">
        <f>ROUND(IF(SUM($AW$94:DD94)&gt;Summary!$O$11*(1-Summary!$C$50),Summary!$O$11*(1-Summary!$C$50),SUM($AW$94:DD94)),0)</f>
        <v>106</v>
      </c>
      <c r="DE95" s="114">
        <f>ROUND(IF(SUM($AW$94:DE94)&gt;Summary!$O$11*(1-Summary!$C$50),Summary!$O$11*(1-Summary!$C$50),SUM($AW$94:DE94)),0)</f>
        <v>106</v>
      </c>
    </row>
    <row r="96" spans="2:109">
      <c r="B96" s="350" t="s">
        <v>346</v>
      </c>
      <c r="AW96" s="138">
        <f>IF(AND(AW7&gt;=EDATE(Summary!$C$13,-6),AW7&lt;=Summary!$C$13),Summary!$C$34,IF(AND('Construction Schedule'!AW7&gt;=EDATE(Summary!$C$13,1),'Construction Schedule'!AW7&lt;=EDATE(Summary!$C$13,18)),Summary!$C$35,0))</f>
        <v>0</v>
      </c>
      <c r="AX96" s="138">
        <f>IF(AND(AX7&gt;=EDATE(Summary!$C$13,-6),AX7&lt;=Summary!$C$13),Summary!$C$34,IF(AND('Construction Schedule'!AX7&gt;=EDATE(Summary!$C$13,1),'Construction Schedule'!AX7&lt;=EDATE(Summary!$C$13,18)),Summary!$C$35,0))</f>
        <v>0</v>
      </c>
      <c r="AY96" s="138">
        <f>IF(AND(AY7&gt;=EDATE(Summary!$C$13,-6),AY7&lt;=Summary!$C$13),Summary!$C$34,IF(AND('Construction Schedule'!AY7&gt;=EDATE(Summary!$C$13,1),'Construction Schedule'!AY7&lt;=EDATE(Summary!$C$13,18)),Summary!$C$35,0))</f>
        <v>0</v>
      </c>
      <c r="AZ96" s="138">
        <f>IF(AND(AZ7&gt;=EDATE(Summary!$C$13,-6),AZ7&lt;=Summary!$C$13),Summary!$C$34,IF(AND('Construction Schedule'!AZ7&gt;=EDATE(Summary!$C$13,1),'Construction Schedule'!AZ7&lt;=EDATE(Summary!$C$13,18)),Summary!$C$35,0))</f>
        <v>0</v>
      </c>
      <c r="BA96" s="138">
        <f>IF(AND(BA7&gt;=EDATE(Summary!$C$13,-6),BA7&lt;=Summary!$C$13),Summary!$C$34,IF(AND('Construction Schedule'!BA7&gt;=EDATE(Summary!$C$13,1),'Construction Schedule'!BA7&lt;=EDATE(Summary!$C$13,18)),Summary!$C$35,0))</f>
        <v>0</v>
      </c>
      <c r="BB96" s="138">
        <f>IF(AND(BB7&gt;=EDATE(Summary!$C$13,-6),BB7&lt;=Summary!$C$13),Summary!$C$34,IF(AND('Construction Schedule'!BB7&gt;=EDATE(Summary!$C$13,1),'Construction Schedule'!BB7&lt;=EDATE(Summary!$C$13,18)),Summary!$C$35,0))</f>
        <v>0</v>
      </c>
      <c r="BC96" s="138">
        <f>IF(AND(BC7&gt;=EDATE(Summary!$C$13,-6),BC7&lt;=Summary!$C$13),Summary!$C$34,IF(AND('Construction Schedule'!BC7&gt;=EDATE(Summary!$C$13,1),'Construction Schedule'!BC7&lt;=EDATE(Summary!$C$13,18)),Summary!$C$35,0))</f>
        <v>0</v>
      </c>
      <c r="BD96" s="138">
        <f>IF(AND(BD7&gt;=EDATE(Summary!$C$13,-6),BD7&lt;=Summary!$C$13),Summary!$C$34,IF(AND('Construction Schedule'!BD7&gt;=EDATE(Summary!$C$13,1),'Construction Schedule'!BD7&lt;=EDATE(Summary!$C$13,18)),Summary!$C$35,0))</f>
        <v>0</v>
      </c>
      <c r="BE96" s="138">
        <f>IF(AND(BE7&gt;=EDATE(Summary!$C$13,-6),BE7&lt;=Summary!$C$13),Summary!$C$34,IF(AND('Construction Schedule'!BE7&gt;=EDATE(Summary!$C$13,1),'Construction Schedule'!BE7&lt;=EDATE(Summary!$C$13,18)),Summary!$C$35,0))</f>
        <v>0</v>
      </c>
      <c r="BF96" s="138">
        <f>IF(AND(BF7&gt;=EDATE(Summary!$C$13,-6),BF7&lt;=Summary!$C$13),Summary!$C$34,IF(AND('Construction Schedule'!BF7&gt;=EDATE(Summary!$C$13,1),'Construction Schedule'!BF7&lt;=EDATE(Summary!$C$13,18)),Summary!$C$35,0))</f>
        <v>0</v>
      </c>
      <c r="BG96" s="138">
        <f>IF(AND(BG7&gt;=EDATE(Summary!$C$13,-6),BG7&lt;=Summary!$C$13),Summary!$C$34,IF(AND('Construction Schedule'!BG7&gt;=EDATE(Summary!$C$13,1),'Construction Schedule'!BG7&lt;=EDATE(Summary!$C$13,18)),Summary!$C$35,0))</f>
        <v>0</v>
      </c>
      <c r="BH96" s="138">
        <f>IF(AND(BH7&gt;=EDATE(Summary!$C$13,-6),BH7&lt;=Summary!$C$13),Summary!$C$34,IF(AND('Construction Schedule'!BH7&gt;=EDATE(Summary!$C$13,1),'Construction Schedule'!BH7&lt;=EDATE(Summary!$C$13,18)),Summary!$C$35,0))</f>
        <v>0</v>
      </c>
      <c r="BI96" s="138">
        <f>IF(AND(BI7&gt;=EDATE(Summary!$C$13,-6),BI7&lt;=Summary!$C$13),Summary!$C$34,IF(AND('Construction Schedule'!BI7&gt;=EDATE(Summary!$C$13,1),'Construction Schedule'!BI7&lt;=EDATE(Summary!$C$13,18)),Summary!$C$35,0))</f>
        <v>0</v>
      </c>
      <c r="BJ96" s="138">
        <f>IF(AND(BJ7&gt;=EDATE(Summary!$C$13,-6),BJ7&lt;=Summary!$C$13),Summary!$C$34,IF(AND('Construction Schedule'!BJ7&gt;=EDATE(Summary!$C$13,1),'Construction Schedule'!BJ7&lt;=EDATE(Summary!$C$13,18)),Summary!$C$35,0))</f>
        <v>0</v>
      </c>
      <c r="BK96" s="138">
        <f>IF(AND(BK7&gt;=EDATE(Summary!$C$13,-6),BK7&lt;=Summary!$C$13),Summary!$C$34,IF(AND('Construction Schedule'!BK7&gt;=EDATE(Summary!$C$13,1),'Construction Schedule'!BK7&lt;=EDATE(Summary!$C$13,18)),Summary!$C$35,0))</f>
        <v>0</v>
      </c>
      <c r="BL96" s="138">
        <f>IF(AND(BL7&gt;=EDATE(Summary!$C$13,-6),BL7&lt;=Summary!$C$13),Summary!$C$34,IF(AND('Construction Schedule'!BL7&gt;=EDATE(Summary!$C$13,1),'Construction Schedule'!BL7&lt;=EDATE(Summary!$C$13,18)),Summary!$C$35,0))</f>
        <v>0</v>
      </c>
      <c r="BM96" s="138">
        <f>IF(AND(BM7&gt;=EDATE(Summary!$C$13,-6),BM7&lt;=Summary!$C$13),Summary!$C$34,IF(AND('Construction Schedule'!BM7&gt;=EDATE(Summary!$C$13,1),'Construction Schedule'!BM7&lt;=EDATE(Summary!$C$13,18)),Summary!$C$35,0))</f>
        <v>0.06</v>
      </c>
      <c r="BN96" s="138">
        <f>IF(AND(BN7&gt;=EDATE(Summary!$C$13,-6),BN7&lt;=Summary!$C$13),Summary!$C$34,IF(AND('Construction Schedule'!BN7&gt;=EDATE(Summary!$C$13,1),'Construction Schedule'!BN7&lt;=EDATE(Summary!$C$13,18)),Summary!$C$35,0))</f>
        <v>0.06</v>
      </c>
      <c r="BO96" s="138">
        <f>IF(AND(BO7&gt;=EDATE(Summary!$C$13,-6),BO7&lt;=Summary!$C$13),Summary!$C$34,IF(AND('Construction Schedule'!BO7&gt;=EDATE(Summary!$C$13,1),'Construction Schedule'!BO7&lt;=EDATE(Summary!$C$13,18)),Summary!$C$35,0))</f>
        <v>0.06</v>
      </c>
      <c r="BP96" s="138">
        <f>IF(AND(BP7&gt;=EDATE(Summary!$C$13,-6),BP7&lt;=Summary!$C$13),Summary!$C$34,IF(AND('Construction Schedule'!BP7&gt;=EDATE(Summary!$C$13,1),'Construction Schedule'!BP7&lt;=EDATE(Summary!$C$13,18)),Summary!$C$35,0))</f>
        <v>0.06</v>
      </c>
      <c r="BQ96" s="138">
        <f>IF(AND(BQ7&gt;=EDATE(Summary!$C$13,-6),BQ7&lt;=Summary!$C$13),Summary!$C$34,IF(AND('Construction Schedule'!BQ7&gt;=EDATE(Summary!$C$13,1),'Construction Schedule'!BQ7&lt;=EDATE(Summary!$C$13,18)),Summary!$C$35,0))</f>
        <v>0.06</v>
      </c>
      <c r="BR96" s="138">
        <f>IF(AND(BR7&gt;=EDATE(Summary!$C$13,-6),BR7&lt;=Summary!$C$13),Summary!$C$34,IF(AND('Construction Schedule'!BR7&gt;=EDATE(Summary!$C$13,1),'Construction Schedule'!BR7&lt;=EDATE(Summary!$C$13,18)),Summary!$C$35,0))</f>
        <v>0.06</v>
      </c>
      <c r="BS96" s="138">
        <f>IF(AND(BS7&gt;=EDATE(Summary!$C$13,-6),BS7&lt;=Summary!$C$13),Summary!$C$34,IF(AND('Construction Schedule'!BS7&gt;=EDATE(Summary!$C$13,1),'Construction Schedule'!BS7&lt;=EDATE(Summary!$C$13,18)),Summary!$C$35,0))</f>
        <v>0.06</v>
      </c>
      <c r="BT96" s="138">
        <f>IF(AND(BT7&gt;=EDATE(Summary!$C$13,-6),BT7&lt;=Summary!$C$13),Summary!$C$34,IF(AND('Construction Schedule'!BT7&gt;=EDATE(Summary!$C$13,1),'Construction Schedule'!BT7&lt;=EDATE(Summary!$C$13,18)),Summary!$C$35,0))</f>
        <v>0.06</v>
      </c>
      <c r="BU96" s="138">
        <f>IF(AND(BU7&gt;=EDATE(Summary!$C$13,-6),BU7&lt;=Summary!$C$13),Summary!$C$34,IF(AND('Construction Schedule'!BU7&gt;=EDATE(Summary!$C$13,1),'Construction Schedule'!BU7&lt;=EDATE(Summary!$C$13,18)),Summary!$C$35,0))</f>
        <v>0.06</v>
      </c>
      <c r="BV96" s="138">
        <f>IF(AND(BV7&gt;=EDATE(Summary!$C$13,-6),BV7&lt;=Summary!$C$13),Summary!$C$34,IF(AND('Construction Schedule'!BV7&gt;=EDATE(Summary!$C$13,1),'Construction Schedule'!BV7&lt;=EDATE(Summary!$C$13,18)),Summary!$C$35,0))</f>
        <v>0.06</v>
      </c>
      <c r="BW96" s="138">
        <f>IF(AND(BW7&gt;=EDATE(Summary!$C$13,-6),BW7&lt;=Summary!$C$13),Summary!$C$34,IF(AND('Construction Schedule'!BW7&gt;=EDATE(Summary!$C$13,1),'Construction Schedule'!BW7&lt;=EDATE(Summary!$C$13,18)),Summary!$C$35,0))</f>
        <v>0.06</v>
      </c>
      <c r="BX96" s="138">
        <f>IF(AND(BX7&gt;=EDATE(Summary!$C$13,-6),BX7&lt;=Summary!$C$13),Summary!$C$34,IF(AND('Construction Schedule'!BX7&gt;=EDATE(Summary!$C$13,1),'Construction Schedule'!BX7&lt;=EDATE(Summary!$C$13,18)),Summary!$C$35,0))</f>
        <v>0.06</v>
      </c>
      <c r="BY96" s="138">
        <f>IF(AND(BY7&gt;=EDATE(Summary!$C$13,-6),BY7&lt;=Summary!$C$13),Summary!$C$34,IF(AND('Construction Schedule'!BY7&gt;=EDATE(Summary!$C$13,1),'Construction Schedule'!BY7&lt;=EDATE(Summary!$C$13,18)),Summary!$C$35,0))</f>
        <v>0.06</v>
      </c>
      <c r="BZ96" s="138">
        <f>IF(AND(BZ7&gt;=EDATE(Summary!$C$13,-6),BZ7&lt;=Summary!$C$13),Summary!$C$34,IF(AND('Construction Schedule'!BZ7&gt;=EDATE(Summary!$C$13,1),'Construction Schedule'!BZ7&lt;=EDATE(Summary!$C$13,18)),Summary!$C$35,0))</f>
        <v>0.06</v>
      </c>
      <c r="CA96" s="138">
        <f>IF(AND(CA7&gt;=EDATE(Summary!$C$13,-6),CA7&lt;=Summary!$C$13),Summary!$C$34,IF(AND('Construction Schedule'!CA7&gt;=EDATE(Summary!$C$13,1),'Construction Schedule'!CA7&lt;=EDATE(Summary!$C$13,18)),Summary!$C$35,0))</f>
        <v>0.06</v>
      </c>
      <c r="CB96" s="138">
        <f>IF(AND(CB7&gt;=EDATE(Summary!$C$13,-6),CB7&lt;=Summary!$C$13),Summary!$C$34,IF(AND('Construction Schedule'!CB7&gt;=EDATE(Summary!$C$13,1),'Construction Schedule'!CB7&lt;=EDATE(Summary!$C$13,18)),Summary!$C$35,0))</f>
        <v>0.06</v>
      </c>
      <c r="CC96" s="138">
        <f>IF(AND(CC7&gt;=EDATE(Summary!$C$13,-6),CC7&lt;=Summary!$C$13),Summary!$C$34,IF(AND('Construction Schedule'!CC7&gt;=EDATE(Summary!$C$13,1),'Construction Schedule'!CC7&lt;=EDATE(Summary!$C$13,18)),Summary!$C$35,0))</f>
        <v>0.06</v>
      </c>
      <c r="CD96" s="138">
        <f>IF(AND(CD7&gt;=EDATE(Summary!$C$13,-6),CD7&lt;=Summary!$C$13),Summary!$C$34,IF(AND('Construction Schedule'!CD7&gt;=EDATE(Summary!$C$13,1),'Construction Schedule'!CD7&lt;=EDATE(Summary!$C$13,18)),Summary!$C$35,0))</f>
        <v>0</v>
      </c>
      <c r="CE96" s="138">
        <f>IF(AND(CE7&gt;=EDATE(Summary!$C$13,-6),CE7&lt;=Summary!$C$13),Summary!$C$34,IF(AND('Construction Schedule'!CE7&gt;=EDATE(Summary!$C$13,1),'Construction Schedule'!CE7&lt;=EDATE(Summary!$C$13,18)),Summary!$C$35,0))</f>
        <v>0</v>
      </c>
      <c r="CF96" s="138">
        <f>IF(AND(CF7&gt;=EDATE(Summary!$C$13,-6),CF7&lt;=Summary!$C$13),Summary!$C$34,IF(AND('Construction Schedule'!CF7&gt;=EDATE(Summary!$C$13,1),'Construction Schedule'!CF7&lt;=EDATE(Summary!$C$13,18)),Summary!$C$35,0))</f>
        <v>0</v>
      </c>
      <c r="CG96" s="138">
        <f>IF(AND(CG7&gt;=EDATE(Summary!$C$13,-6),CG7&lt;=Summary!$C$13),Summary!$C$34,IF(AND('Construction Schedule'!CG7&gt;=EDATE(Summary!$C$13,1),'Construction Schedule'!CG7&lt;=EDATE(Summary!$C$13,18)),Summary!$C$35,0))</f>
        <v>0</v>
      </c>
      <c r="CH96" s="138">
        <f>IF(AND(CH7&gt;=EDATE(Summary!$C$13,-6),CH7&lt;=Summary!$C$13),Summary!$C$34,IF(AND('Construction Schedule'!CH7&gt;=EDATE(Summary!$C$13,1),'Construction Schedule'!CH7&lt;=EDATE(Summary!$C$13,18)),Summary!$C$35,0))</f>
        <v>0</v>
      </c>
      <c r="CI96" s="138">
        <f>IF(AND(CI7&gt;=EDATE(Summary!$C$13,-6),CI7&lt;=Summary!$C$13),Summary!$C$34,IF(AND('Construction Schedule'!CI7&gt;=EDATE(Summary!$C$13,1),'Construction Schedule'!CI7&lt;=EDATE(Summary!$C$13,18)),Summary!$C$35,0))</f>
        <v>0</v>
      </c>
      <c r="CJ96" s="138">
        <f>IF(AND(CJ7&gt;=EDATE(Summary!$C$13,-6),CJ7&lt;=Summary!$C$13),Summary!$C$34,IF(AND('Construction Schedule'!CJ7&gt;=EDATE(Summary!$C$13,1),'Construction Schedule'!CJ7&lt;=EDATE(Summary!$C$13,18)),Summary!$C$35,0))</f>
        <v>0</v>
      </c>
      <c r="CK96" s="138">
        <f>IF(AND(CK7&gt;=EDATE(Summary!$C$13,-6),CK7&lt;=Summary!$C$13),Summary!$C$34,IF(AND('Construction Schedule'!CK7&gt;=EDATE(Summary!$C$13,1),'Construction Schedule'!CK7&lt;=EDATE(Summary!$C$13,18)),Summary!$C$35,0))</f>
        <v>0</v>
      </c>
      <c r="CL96" s="138">
        <f>IF(AND(CL7&gt;=EDATE(Summary!$C$13,-6),CL7&lt;=Summary!$C$13),Summary!$C$34,IF(AND('Construction Schedule'!CL7&gt;=EDATE(Summary!$C$13,1),'Construction Schedule'!CL7&lt;=EDATE(Summary!$C$13,18)),Summary!$C$35,0))</f>
        <v>0</v>
      </c>
      <c r="CM96" s="138">
        <f>IF(AND(CM7&gt;=EDATE(Summary!$C$13,-6),CM7&lt;=Summary!$C$13),Summary!$C$34,IF(AND('Construction Schedule'!CM7&gt;=EDATE(Summary!$C$13,1),'Construction Schedule'!CM7&lt;=EDATE(Summary!$C$13,18)),Summary!$C$35,0))</f>
        <v>0</v>
      </c>
      <c r="CN96" s="138">
        <f>IF(AND(CN7&gt;=EDATE(Summary!$C$13,-6),CN7&lt;=Summary!$C$13),Summary!$C$34,IF(AND('Construction Schedule'!CN7&gt;=EDATE(Summary!$C$13,1),'Construction Schedule'!CN7&lt;=EDATE(Summary!$C$13,18)),Summary!$C$35,0))</f>
        <v>0</v>
      </c>
      <c r="CO96" s="138">
        <f>IF(AND(CO7&gt;=EDATE(Summary!$C$13,-6),CO7&lt;=Summary!$C$13),Summary!$C$34,IF(AND('Construction Schedule'!CO7&gt;=EDATE(Summary!$C$13,1),'Construction Schedule'!CO7&lt;=EDATE(Summary!$C$13,18)),Summary!$C$35,0))</f>
        <v>0</v>
      </c>
      <c r="CP96" s="138">
        <f>IF(AND(CP7&gt;=EDATE(Summary!$C$13,-6),CP7&lt;=Summary!$C$13),Summary!$C$34,IF(AND('Construction Schedule'!CP7&gt;=EDATE(Summary!$C$13,1),'Construction Schedule'!CP7&lt;=EDATE(Summary!$C$13,18)),Summary!$C$35,0))</f>
        <v>0</v>
      </c>
      <c r="CQ96" s="138">
        <f>IF(AND(CQ7&gt;=EDATE(Summary!$C$13,-6),CQ7&lt;=Summary!$C$13),Summary!$C$34,IF(AND('Construction Schedule'!CQ7&gt;=EDATE(Summary!$C$13,1),'Construction Schedule'!CQ7&lt;=EDATE(Summary!$C$13,18)),Summary!$C$35,0))</f>
        <v>0</v>
      </c>
      <c r="CR96" s="138">
        <f>IF(AND(CR7&gt;=EDATE(Summary!$C$13,-6),CR7&lt;=Summary!$C$13),Summary!$C$34,IF(AND('Construction Schedule'!CR7&gt;=EDATE(Summary!$C$13,1),'Construction Schedule'!CR7&lt;=EDATE(Summary!$C$13,18)),Summary!$C$35,0))</f>
        <v>0</v>
      </c>
      <c r="CS96" s="138">
        <f>IF(AND(CS7&gt;=EDATE(Summary!$C$13,-6),CS7&lt;=Summary!$C$13),Summary!$C$34,IF(AND('Construction Schedule'!CS7&gt;=EDATE(Summary!$C$13,1),'Construction Schedule'!CS7&lt;=EDATE(Summary!$C$13,18)),Summary!$C$35,0))</f>
        <v>0</v>
      </c>
      <c r="CT96" s="138">
        <f>IF(AND(CT7&gt;=EDATE(Summary!$C$13,-6),CT7&lt;=Summary!$C$13),Summary!$C$34,IF(AND('Construction Schedule'!CT7&gt;=EDATE(Summary!$C$13,1),'Construction Schedule'!CT7&lt;=EDATE(Summary!$C$13,18)),Summary!$C$35,0))</f>
        <v>0</v>
      </c>
      <c r="CU96" s="138">
        <f>IF(AND(CU7&gt;=EDATE(Summary!$C$13,-6),CU7&lt;=Summary!$C$13),Summary!$C$34,IF(AND('Construction Schedule'!CU7&gt;=EDATE(Summary!$C$13,1),'Construction Schedule'!CU7&lt;=EDATE(Summary!$C$13,18)),Summary!$C$35,0))</f>
        <v>0</v>
      </c>
      <c r="CV96" s="138">
        <f>IF(AND(CV7&gt;=EDATE(Summary!$C$13,-6),CV7&lt;=Summary!$C$13),Summary!$C$34,IF(AND('Construction Schedule'!CV7&gt;=EDATE(Summary!$C$13,1),'Construction Schedule'!CV7&lt;=EDATE(Summary!$C$13,18)),Summary!$C$35,0))</f>
        <v>0</v>
      </c>
      <c r="CW96" s="138">
        <f>IF(AND(CW7&gt;=EDATE(Summary!$C$13,-6),CW7&lt;=Summary!$C$13),Summary!$C$34,IF(AND('Construction Schedule'!CW7&gt;=EDATE(Summary!$C$13,1),'Construction Schedule'!CW7&lt;=EDATE(Summary!$C$13,18)),Summary!$C$35,0))</f>
        <v>0</v>
      </c>
      <c r="CX96" s="138">
        <f>IF(AND(CX7&gt;=EDATE(Summary!$C$13,-6),CX7&lt;=Summary!$C$13),Summary!$C$34,IF(AND('Construction Schedule'!CX7&gt;=EDATE(Summary!$C$13,1),'Construction Schedule'!CX7&lt;=EDATE(Summary!$C$13,18)),Summary!$C$35,0))</f>
        <v>0</v>
      </c>
      <c r="CY96" s="138">
        <f>IF(AND(CY7&gt;=EDATE(Summary!$C$13,-6),CY7&lt;=Summary!$C$13),Summary!$C$34,IF(AND('Construction Schedule'!CY7&gt;=EDATE(Summary!$C$13,1),'Construction Schedule'!CY7&lt;=EDATE(Summary!$C$13,18)),Summary!$C$35,0))</f>
        <v>0</v>
      </c>
      <c r="CZ96" s="138">
        <f>IF(AND(CZ7&gt;=EDATE(Summary!$C$13,-6),CZ7&lt;=Summary!$C$13),Summary!$C$34,IF(AND('Construction Schedule'!CZ7&gt;=EDATE(Summary!$C$13,1),'Construction Schedule'!CZ7&lt;=EDATE(Summary!$C$13,18)),Summary!$C$35,0))</f>
        <v>0</v>
      </c>
      <c r="DA96" s="138">
        <f>IF(AND(DA7&gt;=EDATE(Summary!$C$13,-6),DA7&lt;=Summary!$C$13),Summary!$C$34,IF(AND('Construction Schedule'!DA7&gt;=EDATE(Summary!$C$13,1),'Construction Schedule'!DA7&lt;=EDATE(Summary!$C$13,18)),Summary!$C$35,0))</f>
        <v>0</v>
      </c>
      <c r="DB96" s="138">
        <f>IF(AND(DB7&gt;=EDATE(Summary!$C$13,-6),DB7&lt;=Summary!$C$13),Summary!$C$34,IF(AND('Construction Schedule'!DB7&gt;=EDATE(Summary!$C$13,1),'Construction Schedule'!DB7&lt;=EDATE(Summary!$C$13,18)),Summary!$C$35,0))</f>
        <v>0</v>
      </c>
      <c r="DC96" s="138">
        <f>IF(AND(DC7&gt;=EDATE(Summary!$C$13,-6),DC7&lt;=Summary!$C$13),Summary!$C$34,IF(AND('Construction Schedule'!DC7&gt;=EDATE(Summary!$C$13,1),'Construction Schedule'!DC7&lt;=EDATE(Summary!$C$13,18)),Summary!$C$35,0))</f>
        <v>0</v>
      </c>
      <c r="DD96" s="138">
        <f>IF(AND(DD7&gt;=EDATE(Summary!$C$13,-6),DD7&lt;=Summary!$C$13),Summary!$C$34,IF(AND('Construction Schedule'!DD7&gt;=EDATE(Summary!$C$13,1),'Construction Schedule'!DD7&lt;=EDATE(Summary!$C$13,18)),Summary!$C$35,0))</f>
        <v>0</v>
      </c>
      <c r="DE96" s="243">
        <f>IF(AND(DE7&gt;=EDATE(Summary!$C$13,-6),DE7&lt;=Summary!$C$13),Summary!$C$34,IF(AND('Construction Schedule'!DE7&gt;=EDATE(Summary!$C$13,1),'Construction Schedule'!DE7&lt;=EDATE(Summary!$C$13,18)),Summary!$C$35,0))</f>
        <v>0</v>
      </c>
    </row>
    <row r="97" spans="2:109" ht="17" thickBot="1">
      <c r="B97" s="363" t="s">
        <v>347</v>
      </c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287">
        <f>AW95/Summary!$O$11</f>
        <v>0</v>
      </c>
      <c r="AX97" s="287">
        <f>AX95/Summary!$O$11</f>
        <v>0</v>
      </c>
      <c r="AY97" s="287">
        <f>AY95/Summary!$O$11</f>
        <v>0</v>
      </c>
      <c r="AZ97" s="287">
        <f>AZ95/Summary!$O$11</f>
        <v>0</v>
      </c>
      <c r="BA97" s="287">
        <f>BA95/Summary!$O$11</f>
        <v>0</v>
      </c>
      <c r="BB97" s="287">
        <f>BB95/Summary!$O$11</f>
        <v>0</v>
      </c>
      <c r="BC97" s="287">
        <f>BC95/Summary!$O$11</f>
        <v>0</v>
      </c>
      <c r="BD97" s="287">
        <f>BD95/Summary!$O$11</f>
        <v>0</v>
      </c>
      <c r="BE97" s="287">
        <f>BE95/Summary!$O$11</f>
        <v>0</v>
      </c>
      <c r="BF97" s="287">
        <f>BF95/Summary!$O$11</f>
        <v>0</v>
      </c>
      <c r="BG97" s="287">
        <f>BG95/Summary!$O$11</f>
        <v>0</v>
      </c>
      <c r="BH97" s="287">
        <f>BH95/Summary!$O$11</f>
        <v>0</v>
      </c>
      <c r="BI97" s="287">
        <f>BI95/Summary!$O$11</f>
        <v>0</v>
      </c>
      <c r="BJ97" s="287">
        <f>BJ95/Summary!$O$11</f>
        <v>0</v>
      </c>
      <c r="BK97" s="287">
        <f>BK95/Summary!$O$11</f>
        <v>0</v>
      </c>
      <c r="BL97" s="287">
        <f>BL95/Summary!$O$11</f>
        <v>0</v>
      </c>
      <c r="BM97" s="287">
        <f>BM95/Summary!$O$11</f>
        <v>5.7553956834532377E-2</v>
      </c>
      <c r="BN97" s="287">
        <f>BN95/Summary!$O$11</f>
        <v>0.11510791366906475</v>
      </c>
      <c r="BO97" s="287">
        <f>BO95/Summary!$O$11</f>
        <v>0.17266187050359713</v>
      </c>
      <c r="BP97" s="287">
        <f>BP95/Summary!$O$11</f>
        <v>0.23021582733812951</v>
      </c>
      <c r="BQ97" s="287">
        <f>BQ95/Summary!$O$11</f>
        <v>0.28776978417266186</v>
      </c>
      <c r="BR97" s="287">
        <f>BR95/Summary!$O$11</f>
        <v>0.34532374100719426</v>
      </c>
      <c r="BS97" s="287">
        <f>BS95/Summary!$O$11</f>
        <v>0.40287769784172661</v>
      </c>
      <c r="BT97" s="287">
        <f>BT95/Summary!$O$11</f>
        <v>0.46043165467625902</v>
      </c>
      <c r="BU97" s="287">
        <f>BU95/Summary!$O$11</f>
        <v>0.51798561151079137</v>
      </c>
      <c r="BV97" s="287">
        <f>BV95/Summary!$O$11</f>
        <v>0.57553956834532372</v>
      </c>
      <c r="BW97" s="287">
        <f>BW95/Summary!$O$11</f>
        <v>0.63309352517985606</v>
      </c>
      <c r="BX97" s="287">
        <f>BX95/Summary!$O$11</f>
        <v>0.69064748201438853</v>
      </c>
      <c r="BY97" s="287">
        <f>BY95/Summary!$O$11</f>
        <v>0.74820143884892087</v>
      </c>
      <c r="BZ97" s="287">
        <f>BZ95/Summary!$O$11</f>
        <v>0.76258992805755399</v>
      </c>
      <c r="CA97" s="287">
        <f>CA95/Summary!$O$11</f>
        <v>0.76258992805755399</v>
      </c>
      <c r="CB97" s="287">
        <f>CB95/Summary!$O$11</f>
        <v>0.76258992805755399</v>
      </c>
      <c r="CC97" s="287">
        <f>CC95/Summary!$O$11</f>
        <v>0.76258992805755399</v>
      </c>
      <c r="CD97" s="287">
        <f>CD95/Summary!$O$11</f>
        <v>0.76258992805755399</v>
      </c>
      <c r="CE97" s="287">
        <f>CE95/Summary!$O$11</f>
        <v>0.76258992805755399</v>
      </c>
      <c r="CF97" s="287">
        <f>CF95/Summary!$O$11</f>
        <v>0.76258992805755399</v>
      </c>
      <c r="CG97" s="287">
        <f>CG95/Summary!$O$11</f>
        <v>0.76258992805755399</v>
      </c>
      <c r="CH97" s="287">
        <f>CH95/Summary!$O$11</f>
        <v>0.76258992805755399</v>
      </c>
      <c r="CI97" s="287">
        <f>CI95/Summary!$O$11</f>
        <v>0.76258992805755399</v>
      </c>
      <c r="CJ97" s="287">
        <f>CJ95/Summary!$O$11</f>
        <v>0.76258992805755399</v>
      </c>
      <c r="CK97" s="287">
        <f>CK95/Summary!$O$11</f>
        <v>0.76258992805755399</v>
      </c>
      <c r="CL97" s="287">
        <f>CL95/Summary!$O$11</f>
        <v>0.76258992805755399</v>
      </c>
      <c r="CM97" s="287">
        <f>CM95/Summary!$O$11</f>
        <v>0.76258992805755399</v>
      </c>
      <c r="CN97" s="287">
        <f>CN95/Summary!$O$11</f>
        <v>0.76258992805755399</v>
      </c>
      <c r="CO97" s="287">
        <f>CO95/Summary!$O$11</f>
        <v>0.76258992805755399</v>
      </c>
      <c r="CP97" s="287">
        <f>CP95/Summary!$O$11</f>
        <v>0.76258992805755399</v>
      </c>
      <c r="CQ97" s="287">
        <f>CQ95/Summary!$O$11</f>
        <v>0.76258992805755399</v>
      </c>
      <c r="CR97" s="287">
        <f>CR95/Summary!$O$11</f>
        <v>0.76258992805755399</v>
      </c>
      <c r="CS97" s="287">
        <f>CS95/Summary!$O$11</f>
        <v>0.76258992805755399</v>
      </c>
      <c r="CT97" s="287">
        <f>CT95/Summary!$O$11</f>
        <v>0.76258992805755399</v>
      </c>
      <c r="CU97" s="287">
        <f>CU95/Summary!$O$11</f>
        <v>0.76258992805755399</v>
      </c>
      <c r="CV97" s="287">
        <f>CV95/Summary!$O$11</f>
        <v>0.76258992805755399</v>
      </c>
      <c r="CW97" s="287">
        <f>CW95/Summary!$O$11</f>
        <v>0.76258992805755399</v>
      </c>
      <c r="CX97" s="287">
        <f>CX95/Summary!$O$11</f>
        <v>0.76258992805755399</v>
      </c>
      <c r="CY97" s="287">
        <f>CY95/Summary!$O$11</f>
        <v>0.76258992805755399</v>
      </c>
      <c r="CZ97" s="287">
        <f>CZ95/Summary!$O$11</f>
        <v>0.76258992805755399</v>
      </c>
      <c r="DA97" s="287">
        <f>DA95/Summary!$O$11</f>
        <v>0.76258992805755399</v>
      </c>
      <c r="DB97" s="287">
        <f>DB95/Summary!$O$11</f>
        <v>0.76258992805755399</v>
      </c>
      <c r="DC97" s="287">
        <f>DC95/Summary!$O$11</f>
        <v>0.76258992805755399</v>
      </c>
      <c r="DD97" s="287">
        <f>DD95/Summary!$O$11</f>
        <v>0.76258992805755399</v>
      </c>
      <c r="DE97" s="479">
        <f>DE95/Summary!$O$11</f>
        <v>0.76258992805755399</v>
      </c>
    </row>
    <row r="98" spans="2:109" ht="17" thickBot="1">
      <c r="B98" s="120"/>
      <c r="DE98" s="114"/>
    </row>
    <row r="99" spans="2:109">
      <c r="B99" s="409" t="s">
        <v>467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  <c r="AB99" s="372"/>
      <c r="AC99" s="372"/>
      <c r="AD99" s="372"/>
      <c r="AE99" s="372"/>
      <c r="AF99" s="372"/>
      <c r="AG99" s="372"/>
      <c r="AH99" s="372"/>
      <c r="AI99" s="372"/>
      <c r="AJ99" s="372"/>
      <c r="AK99" s="372"/>
      <c r="AL99" s="372"/>
      <c r="AM99" s="372"/>
      <c r="AN99" s="372"/>
      <c r="AO99" s="372"/>
      <c r="AP99" s="372"/>
      <c r="AQ99" s="372"/>
      <c r="AR99" s="372"/>
      <c r="AS99" s="372"/>
      <c r="AT99" s="372"/>
      <c r="AU99" s="372"/>
      <c r="AV99" s="372"/>
      <c r="AW99" s="372"/>
      <c r="AX99" s="372"/>
      <c r="AY99" s="372"/>
      <c r="AZ99" s="372"/>
      <c r="BA99" s="372"/>
      <c r="BB99" s="372"/>
      <c r="BC99" s="372"/>
      <c r="BD99" s="372"/>
      <c r="BE99" s="372"/>
      <c r="BF99" s="372"/>
      <c r="BG99" s="372"/>
      <c r="BH99" s="372"/>
      <c r="BI99" s="372"/>
      <c r="BJ99" s="372"/>
      <c r="BK99" s="372"/>
      <c r="BL99" s="372"/>
      <c r="BM99" s="372"/>
      <c r="BN99" s="372"/>
      <c r="BO99" s="372"/>
      <c r="BP99" s="372"/>
      <c r="BQ99" s="372"/>
      <c r="BR99" s="372"/>
      <c r="BS99" s="372"/>
      <c r="BT99" s="372"/>
      <c r="BU99" s="372"/>
      <c r="BV99" s="372"/>
      <c r="BW99" s="372"/>
      <c r="BX99" s="372"/>
      <c r="BY99" s="372"/>
      <c r="BZ99" s="372"/>
      <c r="CA99" s="372"/>
      <c r="CB99" s="372"/>
      <c r="CC99" s="372"/>
      <c r="CD99" s="372"/>
      <c r="CE99" s="372"/>
      <c r="CF99" s="372"/>
      <c r="CG99" s="372"/>
      <c r="CH99" s="372"/>
      <c r="CI99" s="372"/>
      <c r="CJ99" s="372"/>
      <c r="CK99" s="372"/>
      <c r="CL99" s="372"/>
      <c r="CM99" s="372"/>
      <c r="CN99" s="372"/>
      <c r="CO99" s="372"/>
      <c r="CP99" s="372"/>
      <c r="CQ99" s="372"/>
      <c r="CR99" s="372"/>
      <c r="CS99" s="372"/>
      <c r="CT99" s="372"/>
      <c r="CU99" s="372"/>
      <c r="CV99" s="372"/>
      <c r="CW99" s="372"/>
      <c r="CX99" s="372"/>
      <c r="CY99" s="372"/>
      <c r="CZ99" s="372"/>
      <c r="DA99" s="372"/>
      <c r="DB99" s="372"/>
      <c r="DC99" s="372"/>
      <c r="DD99" s="372"/>
      <c r="DE99" s="373"/>
    </row>
    <row r="100" spans="2:109">
      <c r="B100" s="381"/>
      <c r="C100" s="382"/>
      <c r="D100" s="382"/>
      <c r="E100" s="382"/>
      <c r="F100" s="383"/>
      <c r="G100" s="383"/>
      <c r="H100" s="382"/>
      <c r="I100" s="382"/>
      <c r="J100" s="382"/>
      <c r="K100" s="382"/>
      <c r="L100" s="382"/>
      <c r="M100" s="382"/>
      <c r="N100" s="382"/>
      <c r="O100" s="382"/>
      <c r="P100" s="382"/>
      <c r="Q100" s="382"/>
      <c r="R100" s="382"/>
      <c r="S100" s="382"/>
      <c r="T100" s="382"/>
      <c r="U100" s="382"/>
      <c r="V100" s="382"/>
      <c r="W100" s="382"/>
      <c r="X100" s="382"/>
      <c r="Y100" s="382"/>
      <c r="Z100" s="382"/>
      <c r="AA100" s="382"/>
      <c r="AB100" s="382"/>
      <c r="AC100" s="382"/>
      <c r="AD100" s="382"/>
      <c r="AE100" s="382"/>
      <c r="AF100" s="382"/>
      <c r="AG100" s="382"/>
      <c r="AH100" s="382"/>
      <c r="AI100" s="382"/>
      <c r="AJ100" s="382"/>
      <c r="AK100" s="382"/>
      <c r="AL100" s="382"/>
      <c r="AM100" s="382"/>
      <c r="AN100" s="382"/>
      <c r="AO100" s="382"/>
      <c r="AP100" s="382"/>
      <c r="AQ100" s="382"/>
      <c r="AR100" s="382"/>
      <c r="AS100" s="382"/>
      <c r="AT100" s="382"/>
      <c r="AU100" s="382"/>
      <c r="AV100" s="382"/>
      <c r="AW100" s="382"/>
      <c r="AX100" s="382"/>
      <c r="AY100" s="382"/>
      <c r="AZ100" s="382"/>
      <c r="BA100" s="382"/>
      <c r="BB100" s="382"/>
      <c r="BC100" s="382"/>
      <c r="BD100" s="382"/>
      <c r="BE100" s="382"/>
      <c r="BF100" s="382"/>
      <c r="BG100" s="382"/>
      <c r="BH100" s="382"/>
      <c r="BI100" s="382"/>
      <c r="BJ100" s="382"/>
      <c r="BK100" s="382"/>
      <c r="BL100" s="382"/>
      <c r="BM100" s="382"/>
      <c r="BN100" s="382"/>
      <c r="BO100" s="382"/>
      <c r="BP100" s="382"/>
      <c r="BQ100" s="382"/>
      <c r="BR100" s="382"/>
      <c r="BS100" s="382"/>
      <c r="BT100" s="382"/>
      <c r="BU100" s="382"/>
      <c r="BV100" s="382"/>
      <c r="BW100" s="382"/>
      <c r="BX100" s="382"/>
      <c r="BY100" s="382"/>
      <c r="BZ100" s="382"/>
      <c r="CA100" s="382"/>
      <c r="CB100" s="382"/>
      <c r="CC100" s="382"/>
      <c r="CD100" s="382"/>
      <c r="CE100" s="382"/>
      <c r="CF100" s="382"/>
      <c r="CG100" s="382"/>
      <c r="CH100" s="382"/>
      <c r="CI100" s="382"/>
      <c r="CJ100" s="382"/>
      <c r="CK100" s="382"/>
      <c r="CL100" s="382"/>
      <c r="CM100" s="382"/>
      <c r="CN100" s="382"/>
      <c r="CO100" s="382"/>
      <c r="CP100" s="382"/>
      <c r="CQ100" s="382"/>
      <c r="CR100" s="382"/>
      <c r="CS100" s="382"/>
      <c r="CT100" s="382"/>
      <c r="CU100" s="382"/>
      <c r="CV100" s="382"/>
      <c r="CW100" s="382"/>
      <c r="CX100" s="382"/>
      <c r="CY100" s="382"/>
      <c r="CZ100" s="382"/>
      <c r="DA100" s="382"/>
      <c r="DB100" s="382"/>
      <c r="DC100" s="382"/>
      <c r="DD100" s="382"/>
      <c r="DE100" s="480"/>
    </row>
    <row r="101" spans="2:109">
      <c r="B101" s="355" t="s">
        <v>84</v>
      </c>
      <c r="C101" s="505">
        <f ca="1">Summary!O44</f>
        <v>0</v>
      </c>
      <c r="F101" s="102"/>
      <c r="G101" s="102"/>
      <c r="DE101" s="114"/>
    </row>
    <row r="102" spans="2:109">
      <c r="B102" s="350" t="s">
        <v>554</v>
      </c>
      <c r="F102" s="102"/>
      <c r="G102" s="102"/>
      <c r="AW102">
        <f>IF(AND('Construction Schedule'!AW7&gt;=EOMONTH(EDATE(Summary!$C$13,1),0),'Construction Schedule'!AW7&lt;=EOMONTH(EDATE(Summary!$C$13,Summary!$C$31-1),0)),Summary!$C$30,IF('Construction Schedule'!AW7=EOMONTH(EDATE(Summary!$C$13,Summary!$C$31),0),Summary!$C$32,0))</f>
        <v>0</v>
      </c>
      <c r="AX102">
        <f>IF(AND('Construction Schedule'!AX7&gt;=EOMONTH(EDATE(Summary!$C$13,1),0),'Construction Schedule'!AX7&lt;=EOMONTH(EDATE(Summary!$C$13,Summary!$C$31-1),0)),Summary!$C$30,IF('Construction Schedule'!AX7=EOMONTH(EDATE(Summary!$C$13,Summary!$C$31),0),Summary!$C$32,0))</f>
        <v>0</v>
      </c>
      <c r="AY102">
        <f>IF(AND('Construction Schedule'!AY7&gt;=EOMONTH(EDATE(Summary!$C$13,1),0),'Construction Schedule'!AY7&lt;=EOMONTH(EDATE(Summary!$C$13,Summary!$C$31-1),0)),Summary!$C$30,IF('Construction Schedule'!AY7=EOMONTH(EDATE(Summary!$C$13,Summary!$C$31),0),Summary!$C$32,0))</f>
        <v>0</v>
      </c>
      <c r="AZ102">
        <f>IF(AND('Construction Schedule'!AZ7&gt;=EOMONTH(EDATE(Summary!$C$13,1),0),'Construction Schedule'!AZ7&lt;=EOMONTH(EDATE(Summary!$C$13,Summary!$C$31-1),0)),Summary!$C$30,IF('Construction Schedule'!AZ7=EOMONTH(EDATE(Summary!$C$13,Summary!$C$31),0),Summary!$C$32,0))</f>
        <v>0</v>
      </c>
      <c r="BA102">
        <f>IF(AND('Construction Schedule'!BA7&gt;=EOMONTH(EDATE(Summary!$C$13,1),0),'Construction Schedule'!BA7&lt;=EOMONTH(EDATE(Summary!$C$13,Summary!$C$31-1),0)),Summary!$C$30,IF('Construction Schedule'!BA7=EOMONTH(EDATE(Summary!$C$13,Summary!$C$31),0),Summary!$C$32,0))</f>
        <v>0</v>
      </c>
      <c r="BB102">
        <f>IF(AND('Construction Schedule'!BB7&gt;=EOMONTH(EDATE(Summary!$C$13,1),0),'Construction Schedule'!BB7&lt;=EOMONTH(EDATE(Summary!$C$13,Summary!$C$31-1),0)),Summary!$C$30,IF('Construction Schedule'!BB7=EOMONTH(EDATE(Summary!$C$13,Summary!$C$31),0),Summary!$C$32,0))</f>
        <v>0</v>
      </c>
      <c r="BC102">
        <f>IF(AND('Construction Schedule'!BC7&gt;=EOMONTH(EDATE(Summary!$C$13,1),0),'Construction Schedule'!BC7&lt;=EOMONTH(EDATE(Summary!$C$13,Summary!$C$31-1),0)),Summary!$C$30,IF('Construction Schedule'!BC7=EOMONTH(EDATE(Summary!$C$13,Summary!$C$31),0),Summary!$C$32,0))</f>
        <v>0</v>
      </c>
      <c r="BD102">
        <f>IF(AND('Construction Schedule'!BD7&gt;=EOMONTH(EDATE(Summary!$C$13,1),0),'Construction Schedule'!BD7&lt;=EOMONTH(EDATE(Summary!$C$13,Summary!$C$31-1),0)),Summary!$C$30,IF('Construction Schedule'!BD7=EOMONTH(EDATE(Summary!$C$13,Summary!$C$31),0),Summary!$C$32,0))</f>
        <v>0</v>
      </c>
      <c r="BE102">
        <f>IF(AND('Construction Schedule'!BE7&gt;=EOMONTH(EDATE(Summary!$C$13,1),0),'Construction Schedule'!BE7&lt;=EOMONTH(EDATE(Summary!$C$13,Summary!$C$31-1),0)),Summary!$C$30,IF('Construction Schedule'!BE7=EOMONTH(EDATE(Summary!$C$13,Summary!$C$31),0),Summary!$C$32,0))</f>
        <v>0</v>
      </c>
      <c r="BF102">
        <f>IF(AND('Construction Schedule'!BF7&gt;=EOMONTH(EDATE(Summary!$C$13,1),0),'Construction Schedule'!BF7&lt;=EOMONTH(EDATE(Summary!$C$13,Summary!$C$31-1),0)),Summary!$C$30,IF('Construction Schedule'!BF7=EOMONTH(EDATE(Summary!$C$13,Summary!$C$31),0),Summary!$C$32,0))</f>
        <v>0</v>
      </c>
      <c r="BG102">
        <f>IF(AND('Construction Schedule'!BG7&gt;=EOMONTH(EDATE(Summary!$C$13,1),0),'Construction Schedule'!BG7&lt;=EOMONTH(EDATE(Summary!$C$13,Summary!$C$31-1),0)),Summary!$C$30,IF('Construction Schedule'!BG7=EOMONTH(EDATE(Summary!$C$13,Summary!$C$31),0),Summary!$C$32,0))</f>
        <v>0</v>
      </c>
      <c r="BH102">
        <f>IF(AND('Construction Schedule'!BH7&gt;=EOMONTH(EDATE(Summary!$C$13,1),0),'Construction Schedule'!BH7&lt;=EOMONTH(EDATE(Summary!$C$13,Summary!$C$31-1),0)),Summary!$C$30,IF('Construction Schedule'!BH7=EOMONTH(EDATE(Summary!$C$13,Summary!$C$31),0),Summary!$C$32,0))</f>
        <v>0</v>
      </c>
      <c r="BI102">
        <f>IF(AND('Construction Schedule'!BI7&gt;=EOMONTH(EDATE(Summary!$C$13,1),0),'Construction Schedule'!BI7&lt;=EOMONTH(EDATE(Summary!$C$13,Summary!$C$31-1),0)),Summary!$C$30,IF('Construction Schedule'!BI7=EOMONTH(EDATE(Summary!$C$13,Summary!$C$31),0),Summary!$C$32,0))</f>
        <v>0</v>
      </c>
      <c r="BJ102">
        <f>IF(AND('Construction Schedule'!BJ7&gt;=EOMONTH(EDATE(Summary!$C$13,1),0),'Construction Schedule'!BJ7&lt;=EOMONTH(EDATE(Summary!$C$13,Summary!$C$31-1),0)),Summary!$C$30,IF('Construction Schedule'!BJ7=EOMONTH(EDATE(Summary!$C$13,Summary!$C$31),0),Summary!$C$32,0))</f>
        <v>0</v>
      </c>
      <c r="BK102">
        <f>IF(AND('Construction Schedule'!BK7&gt;=EOMONTH(EDATE(Summary!$C$13,1),0),'Construction Schedule'!BK7&lt;=EOMONTH(EDATE(Summary!$C$13,Summary!$C$31-1),0)),Summary!$C$30,IF('Construction Schedule'!BK7=EOMONTH(EDATE(Summary!$C$13,Summary!$C$31),0),Summary!$C$32,0))</f>
        <v>0</v>
      </c>
      <c r="BL102">
        <f>IF(AND('Construction Schedule'!BL7&gt;=EOMONTH(EDATE(Summary!$C$13,1),0),'Construction Schedule'!BL7&lt;=EOMONTH(EDATE(Summary!$C$13,Summary!$C$31-1),0)),Summary!$C$30,IF('Construction Schedule'!BL7=EOMONTH(EDATE(Summary!$C$13,Summary!$C$31),0),Summary!$C$32,0))</f>
        <v>0</v>
      </c>
      <c r="BM102">
        <f>IF(AND('Construction Schedule'!BM7&gt;=EOMONTH(EDATE(Summary!$C$13,1),0),'Construction Schedule'!BM7&lt;=EOMONTH(EDATE(Summary!$C$13,Summary!$C$31-1),0)),Summary!$C$30,IF('Construction Schedule'!BM7=EOMONTH(EDATE(Summary!$C$13,Summary!$C$31),0),Summary!$C$32,0))</f>
        <v>3</v>
      </c>
      <c r="BN102">
        <f>IF(AND('Construction Schedule'!BN7&gt;=EOMONTH(EDATE(Summary!$C$13,1),0),'Construction Schedule'!BN7&lt;=EOMONTH(EDATE(Summary!$C$13,Summary!$C$31-1),0)),Summary!$C$30,IF('Construction Schedule'!BN7=EOMONTH(EDATE(Summary!$C$13,Summary!$C$31),0),Summary!$C$32,0))</f>
        <v>3</v>
      </c>
      <c r="BO102">
        <f>IF(AND('Construction Schedule'!BO7&gt;=EOMONTH(EDATE(Summary!$C$13,1),0),'Construction Schedule'!BO7&lt;=EOMONTH(EDATE(Summary!$C$13,Summary!$C$31-1),0)),Summary!$C$30,IF('Construction Schedule'!BO7=EOMONTH(EDATE(Summary!$C$13,Summary!$C$31),0),Summary!$C$32,0))</f>
        <v>3</v>
      </c>
      <c r="BP102">
        <f>IF(AND('Construction Schedule'!BP7&gt;=EOMONTH(EDATE(Summary!$C$13,1),0),'Construction Schedule'!BP7&lt;=EOMONTH(EDATE(Summary!$C$13,Summary!$C$31-1),0)),Summary!$C$30,IF('Construction Schedule'!BP7=EOMONTH(EDATE(Summary!$C$13,Summary!$C$31),0),Summary!$C$32,0))</f>
        <v>3</v>
      </c>
      <c r="BQ102">
        <f>IF(AND('Construction Schedule'!BQ7&gt;=EOMONTH(EDATE(Summary!$C$13,1),0),'Construction Schedule'!BQ7&lt;=EOMONTH(EDATE(Summary!$C$13,Summary!$C$31-1),0)),Summary!$C$30,IF('Construction Schedule'!BQ7=EOMONTH(EDATE(Summary!$C$13,Summary!$C$31),0),Summary!$C$32,0))</f>
        <v>3</v>
      </c>
      <c r="BR102">
        <f>IF(AND('Construction Schedule'!BR7&gt;=EOMONTH(EDATE(Summary!$C$13,1),0),'Construction Schedule'!BR7&lt;=EOMONTH(EDATE(Summary!$C$13,Summary!$C$31-1),0)),Summary!$C$30,IF('Construction Schedule'!BR7=EOMONTH(EDATE(Summary!$C$13,Summary!$C$31),0),Summary!$C$32,0))</f>
        <v>3</v>
      </c>
      <c r="BS102">
        <f>IF(AND('Construction Schedule'!BS7&gt;=EOMONTH(EDATE(Summary!$C$13,1),0),'Construction Schedule'!BS7&lt;=EOMONTH(EDATE(Summary!$C$13,Summary!$C$31-1),0)),Summary!$C$30,IF('Construction Schedule'!BS7=EOMONTH(EDATE(Summary!$C$13,Summary!$C$31),0),Summary!$C$32,0))</f>
        <v>3</v>
      </c>
      <c r="BT102">
        <f>IF(AND('Construction Schedule'!BT7&gt;=EOMONTH(EDATE(Summary!$C$13,1),0),'Construction Schedule'!BT7&lt;=EOMONTH(EDATE(Summary!$C$13,Summary!$C$31-1),0)),Summary!$C$30,IF('Construction Schedule'!BT7=EOMONTH(EDATE(Summary!$C$13,Summary!$C$31),0),Summary!$C$32,0))</f>
        <v>3</v>
      </c>
      <c r="BU102">
        <f>IF(AND('Construction Schedule'!BU7&gt;=EOMONTH(EDATE(Summary!$C$13,1),0),'Construction Schedule'!BU7&lt;=EOMONTH(EDATE(Summary!$C$13,Summary!$C$31-1),0)),Summary!$C$30,IF('Construction Schedule'!BU7=EOMONTH(EDATE(Summary!$C$13,Summary!$C$31),0),Summary!$C$32,0))</f>
        <v>3</v>
      </c>
      <c r="BV102">
        <f>IF(AND('Construction Schedule'!BV7&gt;=EOMONTH(EDATE(Summary!$C$13,1),0),'Construction Schedule'!BV7&lt;=EOMONTH(EDATE(Summary!$C$13,Summary!$C$31-1),0)),Summary!$C$30,IF('Construction Schedule'!BV7=EOMONTH(EDATE(Summary!$C$13,Summary!$C$31),0),Summary!$C$32,0))</f>
        <v>3</v>
      </c>
      <c r="BW102">
        <f>IF(AND('Construction Schedule'!BW7&gt;=EOMONTH(EDATE(Summary!$C$13,1),0),'Construction Schedule'!BW7&lt;=EOMONTH(EDATE(Summary!$C$13,Summary!$C$31-1),0)),Summary!$C$30,IF('Construction Schedule'!BW7=EOMONTH(EDATE(Summary!$C$13,Summary!$C$31),0),Summary!$C$32,0))</f>
        <v>3</v>
      </c>
      <c r="BX102">
        <f>IF(AND('Construction Schedule'!BX7&gt;=EOMONTH(EDATE(Summary!$C$13,1),0),'Construction Schedule'!BX7&lt;=EOMONTH(EDATE(Summary!$C$13,Summary!$C$31-1),0)),Summary!$C$30,IF('Construction Schedule'!BX7=EOMONTH(EDATE(Summary!$C$13,Summary!$C$31),0),Summary!$C$32,0))</f>
        <v>3</v>
      </c>
      <c r="BY102">
        <f>IF(AND('Construction Schedule'!BY7&gt;=EOMONTH(EDATE(Summary!$C$13,1),0),'Construction Schedule'!BY7&lt;=EOMONTH(EDATE(Summary!$C$13,Summary!$C$31-1),0)),Summary!$C$30,IF('Construction Schedule'!BY7=EOMONTH(EDATE(Summary!$C$13,Summary!$C$31),0),Summary!$C$32,0))</f>
        <v>3</v>
      </c>
      <c r="BZ102">
        <f>IF(AND('Construction Schedule'!BZ7&gt;=EOMONTH(EDATE(Summary!$C$13,1),0),'Construction Schedule'!BZ7&lt;=EOMONTH(EDATE(Summary!$C$13,Summary!$C$31-1),0)),Summary!$C$30,IF('Construction Schedule'!BZ7=EOMONTH(EDATE(Summary!$C$13,Summary!$C$31),0),Summary!$C$32,0))</f>
        <v>3</v>
      </c>
      <c r="CA102">
        <f>IF(AND('Construction Schedule'!CA7&gt;=EOMONTH(EDATE(Summary!$C$13,1),0),'Construction Schedule'!CA7&lt;=EOMONTH(EDATE(Summary!$C$13,Summary!$C$31-1),0)),Summary!$C$30,IF('Construction Schedule'!CA7=EOMONTH(EDATE(Summary!$C$13,Summary!$C$31),0),Summary!$C$32,0))</f>
        <v>3</v>
      </c>
      <c r="CB102">
        <f>IF(AND('Construction Schedule'!CB7&gt;=EOMONTH(EDATE(Summary!$C$13,1),0),'Construction Schedule'!CB7&lt;=EOMONTH(EDATE(Summary!$C$13,Summary!$C$31-1),0)),Summary!$C$30,IF('Construction Schedule'!CB7=EOMONTH(EDATE(Summary!$C$13,Summary!$C$31),0),Summary!$C$32,0))</f>
        <v>3</v>
      </c>
      <c r="CC102">
        <f>IF(AND('Construction Schedule'!CC7&gt;=EOMONTH(EDATE(Summary!$C$13,1),0),'Construction Schedule'!CC7&lt;=EOMONTH(EDATE(Summary!$C$13,Summary!$C$31-1),0)),Summary!$C$30,IF('Construction Schedule'!CC7=EOMONTH(EDATE(Summary!$C$13,Summary!$C$31),0),Summary!$C$32,0))</f>
        <v>3</v>
      </c>
      <c r="CD102">
        <f>IF(AND('Construction Schedule'!CD7&gt;=EOMONTH(EDATE(Summary!$C$13,1),0),'Construction Schedule'!CD7&lt;=EOMONTH(EDATE(Summary!$C$13,Summary!$C$31-1),0)),Summary!$C$30,IF('Construction Schedule'!CD7=EOMONTH(EDATE(Summary!$C$13,Summary!$C$31),0),Summary!$C$32,0))</f>
        <v>3</v>
      </c>
      <c r="CE102">
        <f>IF(AND('Construction Schedule'!CE7&gt;=EOMONTH(EDATE(Summary!$C$13,1),0),'Construction Schedule'!CE7&lt;=EOMONTH(EDATE(Summary!$C$13,Summary!$C$31-1),0)),Summary!$C$30,IF('Construction Schedule'!CE7=EOMONTH(EDATE(Summary!$C$13,Summary!$C$31),0),Summary!$C$32,0))</f>
        <v>3</v>
      </c>
      <c r="CF102">
        <f>IF(AND('Construction Schedule'!CF7&gt;=EOMONTH(EDATE(Summary!$C$13,1),0),'Construction Schedule'!CF7&lt;=EOMONTH(EDATE(Summary!$C$13,Summary!$C$31-1),0)),Summary!$C$30,IF('Construction Schedule'!CF7=EOMONTH(EDATE(Summary!$C$13,Summary!$C$31),0),Summary!$C$32,0))</f>
        <v>3</v>
      </c>
      <c r="CG102">
        <f>IF(AND('Construction Schedule'!CG7&gt;=EOMONTH(EDATE(Summary!$C$13,1),0),'Construction Schedule'!CG7&lt;=EOMONTH(EDATE(Summary!$C$13,Summary!$C$31-1),0)),Summary!$C$30,IF('Construction Schedule'!CG7=EOMONTH(EDATE(Summary!$C$13,Summary!$C$31),0),Summary!$C$32,0))</f>
        <v>3</v>
      </c>
      <c r="CH102">
        <f>IF(AND('Construction Schedule'!CH7&gt;=EOMONTH(EDATE(Summary!$C$13,1),0),'Construction Schedule'!CH7&lt;=EOMONTH(EDATE(Summary!$C$13,Summary!$C$31-1),0)),Summary!$C$30,IF('Construction Schedule'!CH7=EOMONTH(EDATE(Summary!$C$13,Summary!$C$31),0),Summary!$C$32,0))</f>
        <v>3</v>
      </c>
      <c r="CI102">
        <f>IF(AND('Construction Schedule'!CI7&gt;=EOMONTH(EDATE(Summary!$C$13,1),0),'Construction Schedule'!CI7&lt;=EOMONTH(EDATE(Summary!$C$13,Summary!$C$31-1),0)),Summary!$C$30,IF('Construction Schedule'!CI7=EOMONTH(EDATE(Summary!$C$13,Summary!$C$31),0),Summary!$C$32,0))</f>
        <v>3</v>
      </c>
      <c r="CJ102">
        <f>IF(AND('Construction Schedule'!CJ7&gt;=EOMONTH(EDATE(Summary!$C$13,1),0),'Construction Schedule'!CJ7&lt;=EOMONTH(EDATE(Summary!$C$13,Summary!$C$31-1),0)),Summary!$C$30,IF('Construction Schedule'!CJ7=EOMONTH(EDATE(Summary!$C$13,Summary!$C$31),0),Summary!$C$32,0))</f>
        <v>3</v>
      </c>
      <c r="CK102">
        <f>IF(AND('Construction Schedule'!CK7&gt;=EOMONTH(EDATE(Summary!$C$13,1),0),'Construction Schedule'!CK7&lt;=EOMONTH(EDATE(Summary!$C$13,Summary!$C$31-1),0)),Summary!$C$30,IF('Construction Schedule'!CK7=EOMONTH(EDATE(Summary!$C$13,Summary!$C$31),0),Summary!$C$32,0))</f>
        <v>3</v>
      </c>
      <c r="CL102">
        <f>IF(AND('Construction Schedule'!CL7&gt;=EOMONTH(EDATE(Summary!$C$13,1),0),'Construction Schedule'!CL7&lt;=EOMONTH(EDATE(Summary!$C$13,Summary!$C$31-1),0)),Summary!$C$30,IF('Construction Schedule'!CL7=EOMONTH(EDATE(Summary!$C$13,Summary!$C$31),0),Summary!$C$32,0))</f>
        <v>3</v>
      </c>
      <c r="CM102">
        <f>IF(AND('Construction Schedule'!CM7&gt;=EOMONTH(EDATE(Summary!$C$13,1),0),'Construction Schedule'!CM7&lt;=EOMONTH(EDATE(Summary!$C$13,Summary!$C$31-1),0)),Summary!$C$30,IF('Construction Schedule'!CM7=EOMONTH(EDATE(Summary!$C$13,Summary!$C$31),0),Summary!$C$32,0))</f>
        <v>3</v>
      </c>
      <c r="CN102">
        <f>IF(AND('Construction Schedule'!CN7&gt;=EOMONTH(EDATE(Summary!$C$13,1),0),'Construction Schedule'!CN7&lt;=EOMONTH(EDATE(Summary!$C$13,Summary!$C$31-1),0)),Summary!$C$30,IF('Construction Schedule'!CN7=EOMONTH(EDATE(Summary!$C$13,Summary!$C$31),0),Summary!$C$32,0))</f>
        <v>3</v>
      </c>
      <c r="CO102">
        <f>IF(AND('Construction Schedule'!CO7&gt;=EOMONTH(EDATE(Summary!$C$13,1),0),'Construction Schedule'!CO7&lt;=EOMONTH(EDATE(Summary!$C$13,Summary!$C$31-1),0)),Summary!$C$30,IF('Construction Schedule'!CO7=EOMONTH(EDATE(Summary!$C$13,Summary!$C$31),0),Summary!$C$32,0))</f>
        <v>3</v>
      </c>
      <c r="CP102">
        <f>IF(AND('Construction Schedule'!CP7&gt;=EOMONTH(EDATE(Summary!$C$13,1),0),'Construction Schedule'!CP7&lt;=EOMONTH(EDATE(Summary!$C$13,Summary!$C$31-1),0)),Summary!$C$30,IF('Construction Schedule'!CP7=EOMONTH(EDATE(Summary!$C$13,Summary!$C$31),0),Summary!$C$32,0))</f>
        <v>3</v>
      </c>
      <c r="CQ102">
        <f>IF(AND('Construction Schedule'!CQ7&gt;=EOMONTH(EDATE(Summary!$C$13,1),0),'Construction Schedule'!CQ7&lt;=EOMONTH(EDATE(Summary!$C$13,Summary!$C$31-1),0)),Summary!$C$30,IF('Construction Schedule'!CQ7=EOMONTH(EDATE(Summary!$C$13,Summary!$C$31),0),Summary!$C$32,0))</f>
        <v>2</v>
      </c>
      <c r="CR102">
        <f>IF(AND('Construction Schedule'!CR7&gt;=EOMONTH(EDATE(Summary!$C$13,1),0),'Construction Schedule'!CR7&lt;=EOMONTH(EDATE(Summary!$C$13,Summary!$C$31-1),0)),Summary!$C$30,IF('Construction Schedule'!CR7=EOMONTH(EDATE(Summary!$C$13,Summary!$C$31),0),Summary!$C$32,0))</f>
        <v>0</v>
      </c>
      <c r="CS102">
        <f>IF(AND('Construction Schedule'!CS7&gt;=EOMONTH(EDATE(Summary!$C$13,1),0),'Construction Schedule'!CS7&lt;=EOMONTH(EDATE(Summary!$C$13,Summary!$C$31-1),0)),Summary!$C$30,IF('Construction Schedule'!CS7=EOMONTH(EDATE(Summary!$C$13,Summary!$C$31),0),Summary!$C$32,0))</f>
        <v>0</v>
      </c>
      <c r="CT102">
        <f>IF(AND('Construction Schedule'!CT7&gt;=EOMONTH(EDATE(Summary!$C$13,1),0),'Construction Schedule'!CT7&lt;=EOMONTH(EDATE(Summary!$C$13,Summary!$C$31-1),0)),Summary!$C$30,IF('Construction Schedule'!CT7=EOMONTH(EDATE(Summary!$C$13,Summary!$C$31),0),Summary!$C$32,0))</f>
        <v>0</v>
      </c>
      <c r="CU102">
        <f>IF(AND('Construction Schedule'!CU7&gt;=EOMONTH(EDATE(Summary!$C$13,1),0),'Construction Schedule'!CU7&lt;=EOMONTH(EDATE(Summary!$C$13,Summary!$C$31-1),0)),Summary!$C$30,IF('Construction Schedule'!CU7=EOMONTH(EDATE(Summary!$C$13,Summary!$C$31),0),Summary!$C$32,0))</f>
        <v>0</v>
      </c>
      <c r="CV102">
        <f>IF(AND('Construction Schedule'!CV7&gt;=EOMONTH(EDATE(Summary!$C$13,1),0),'Construction Schedule'!CV7&lt;=EOMONTH(EDATE(Summary!$C$13,Summary!$C$31-1),0)),Summary!$C$30,IF('Construction Schedule'!CV7=EOMONTH(EDATE(Summary!$C$13,Summary!$C$31),0),Summary!$C$32,0))</f>
        <v>0</v>
      </c>
      <c r="CW102">
        <f>IF(AND('Construction Schedule'!CW7&gt;=EOMONTH(EDATE(Summary!$C$13,1),0),'Construction Schedule'!CW7&lt;=EOMONTH(EDATE(Summary!$C$13,Summary!$C$31-1),0)),Summary!$C$30,IF('Construction Schedule'!CW7=EOMONTH(EDATE(Summary!$C$13,Summary!$C$31),0),Summary!$C$32,0))</f>
        <v>0</v>
      </c>
      <c r="CX102">
        <f>IF(AND('Construction Schedule'!CX7&gt;=EOMONTH(EDATE(Summary!$C$13,1),0),'Construction Schedule'!CX7&lt;=EOMONTH(EDATE(Summary!$C$13,Summary!$C$31-1),0)),Summary!$C$30,IF('Construction Schedule'!CX7=EOMONTH(EDATE(Summary!$C$13,Summary!$C$31),0),Summary!$C$32,0))</f>
        <v>0</v>
      </c>
      <c r="CY102">
        <f>IF(AND('Construction Schedule'!CY7&gt;=EOMONTH(EDATE(Summary!$C$13,1),0),'Construction Schedule'!CY7&lt;=EOMONTH(EDATE(Summary!$C$13,Summary!$C$31-1),0)),Summary!$C$30,IF('Construction Schedule'!CY7=EOMONTH(EDATE(Summary!$C$13,Summary!$C$31),0),Summary!$C$32,0))</f>
        <v>0</v>
      </c>
      <c r="CZ102">
        <f>IF(AND('Construction Schedule'!CZ7&gt;=EOMONTH(EDATE(Summary!$C$13,1),0),'Construction Schedule'!CZ7&lt;=EOMONTH(EDATE(Summary!$C$13,Summary!$C$31-1),0)),Summary!$C$30,IF('Construction Schedule'!CZ7=EOMONTH(EDATE(Summary!$C$13,Summary!$C$31),0),Summary!$C$32,0))</f>
        <v>0</v>
      </c>
      <c r="DA102">
        <f>IF(AND('Construction Schedule'!DA7&gt;=EOMONTH(EDATE(Summary!$C$13,1),0),'Construction Schedule'!DA7&lt;=EOMONTH(EDATE(Summary!$C$13,Summary!$C$31-1),0)),Summary!$C$30,IF('Construction Schedule'!DA7=EOMONTH(EDATE(Summary!$C$13,Summary!$C$31),0),Summary!$C$32,0))</f>
        <v>0</v>
      </c>
      <c r="DB102">
        <f>IF(AND('Construction Schedule'!DB7&gt;=EOMONTH(EDATE(Summary!$C$13,1),0),'Construction Schedule'!DB7&lt;=EOMONTH(EDATE(Summary!$C$13,Summary!$C$31-1),0)),Summary!$C$30,IF('Construction Schedule'!DB7=EOMONTH(EDATE(Summary!$C$13,Summary!$C$31),0),Summary!$C$32,0))</f>
        <v>0</v>
      </c>
      <c r="DC102">
        <f>IF(AND('Construction Schedule'!DC7&gt;=EOMONTH(EDATE(Summary!$C$13,1),0),'Construction Schedule'!DC7&lt;=EOMONTH(EDATE(Summary!$C$13,Summary!$C$31-1),0)),Summary!$C$30,IF('Construction Schedule'!DC7=EOMONTH(EDATE(Summary!$C$13,Summary!$C$31),0),Summary!$C$32,0))</f>
        <v>0</v>
      </c>
      <c r="DD102">
        <f>IF(AND('Construction Schedule'!DD7&gt;=EOMONTH(EDATE(Summary!$C$13,1),0),'Construction Schedule'!DD7&lt;=EOMONTH(EDATE(Summary!$C$13,Summary!$C$31-1),0)),Summary!$C$30,IF('Construction Schedule'!DD7=EOMONTH(EDATE(Summary!$C$13,Summary!$C$31),0),Summary!$C$32,0))</f>
        <v>0</v>
      </c>
      <c r="DE102" s="114">
        <f>IF(AND('Construction Schedule'!DE7&gt;=EOMONTH(EDATE(Summary!$C$13,1),0),'Construction Schedule'!DE7&lt;=EOMONTH(EDATE(Summary!$C$13,Summary!$C$31-1),0)),Summary!$C$30,IF('Construction Schedule'!DE7=EOMONTH(EDATE(Summary!$C$13,Summary!$C$31),0),Summary!$C$32,0))</f>
        <v>0</v>
      </c>
    </row>
    <row r="103" spans="2:109">
      <c r="B103" s="350" t="s">
        <v>555</v>
      </c>
      <c r="AW103">
        <f>SUM($AW$102:AW102)</f>
        <v>0</v>
      </c>
      <c r="AX103">
        <f>SUM($AW$102:AX102)</f>
        <v>0</v>
      </c>
      <c r="AY103">
        <f>SUM($AW$102:AY102)</f>
        <v>0</v>
      </c>
      <c r="AZ103">
        <f>SUM($AW$102:AZ102)</f>
        <v>0</v>
      </c>
      <c r="BA103">
        <f>SUM($AW$102:BA102)</f>
        <v>0</v>
      </c>
      <c r="BB103">
        <f>SUM($AW$102:BB102)</f>
        <v>0</v>
      </c>
      <c r="BC103">
        <f>SUM($AW$102:BC102)</f>
        <v>0</v>
      </c>
      <c r="BD103">
        <f>SUM($AW$102:BD102)</f>
        <v>0</v>
      </c>
      <c r="BE103">
        <f>SUM($AW$102:BE102)</f>
        <v>0</v>
      </c>
      <c r="BF103">
        <f>SUM($AW$102:BF102)</f>
        <v>0</v>
      </c>
      <c r="BG103">
        <f>SUM($AW$102:BG102)</f>
        <v>0</v>
      </c>
      <c r="BH103">
        <f>SUM($AW$102:BH102)</f>
        <v>0</v>
      </c>
      <c r="BI103">
        <f>SUM($AW$102:BI102)</f>
        <v>0</v>
      </c>
      <c r="BJ103">
        <f>SUM($AW$102:BJ102)</f>
        <v>0</v>
      </c>
      <c r="BK103">
        <f>SUM($AW$102:BK102)</f>
        <v>0</v>
      </c>
      <c r="BL103">
        <f>SUM($AW$102:BL102)</f>
        <v>0</v>
      </c>
      <c r="BM103">
        <f>SUM($AW$102:BM102)</f>
        <v>3</v>
      </c>
      <c r="BN103">
        <f>SUM($AW$102:BN102)</f>
        <v>6</v>
      </c>
      <c r="BO103">
        <f>SUM($AW$102:BO102)</f>
        <v>9</v>
      </c>
      <c r="BP103">
        <f>SUM($AW$102:BP102)</f>
        <v>12</v>
      </c>
      <c r="BQ103">
        <f>SUM($AW$102:BQ102)</f>
        <v>15</v>
      </c>
      <c r="BR103">
        <f>SUM($AW$102:BR102)</f>
        <v>18</v>
      </c>
      <c r="BS103">
        <f>SUM($AW$102:BS102)</f>
        <v>21</v>
      </c>
      <c r="BT103">
        <f>SUM($AW$102:BT102)</f>
        <v>24</v>
      </c>
      <c r="BU103">
        <f>SUM($AW$102:BU102)</f>
        <v>27</v>
      </c>
      <c r="BV103">
        <f>SUM($AW$102:BV102)</f>
        <v>30</v>
      </c>
      <c r="BW103">
        <f>SUM($AW$102:BW102)</f>
        <v>33</v>
      </c>
      <c r="BX103">
        <f>SUM($AW$102:BX102)</f>
        <v>36</v>
      </c>
      <c r="BY103">
        <f>SUM($AW$102:BY102)</f>
        <v>39</v>
      </c>
      <c r="BZ103">
        <f>SUM($AW$102:BZ102)</f>
        <v>42</v>
      </c>
      <c r="CA103">
        <f>SUM($AW$102:CA102)</f>
        <v>45</v>
      </c>
      <c r="CB103">
        <f>SUM($AW$102:CB102)</f>
        <v>48</v>
      </c>
      <c r="CC103">
        <f>SUM($AW$102:CC102)</f>
        <v>51</v>
      </c>
      <c r="CD103">
        <f>SUM($AW$102:CD102)</f>
        <v>54</v>
      </c>
      <c r="CE103">
        <f>SUM($AW$102:CE102)</f>
        <v>57</v>
      </c>
      <c r="CF103">
        <f>SUM($AW$102:CF102)</f>
        <v>60</v>
      </c>
      <c r="CG103">
        <f>SUM($AW$102:CG102)</f>
        <v>63</v>
      </c>
      <c r="CH103">
        <f>SUM($AW$102:CH102)</f>
        <v>66</v>
      </c>
      <c r="CI103">
        <f>SUM($AW$102:CI102)</f>
        <v>69</v>
      </c>
      <c r="CJ103">
        <f>SUM($AW$102:CJ102)</f>
        <v>72</v>
      </c>
      <c r="CK103">
        <f>SUM($AW$102:CK102)</f>
        <v>75</v>
      </c>
      <c r="CL103">
        <f>SUM($AW$102:CL102)</f>
        <v>78</v>
      </c>
      <c r="CM103">
        <f>SUM($AW$102:CM102)</f>
        <v>81</v>
      </c>
      <c r="CN103">
        <f>SUM($AW$102:CN102)</f>
        <v>84</v>
      </c>
      <c r="CO103">
        <f>SUM($AW$102:CO102)</f>
        <v>87</v>
      </c>
      <c r="CP103">
        <f>SUM($AW$102:CP102)</f>
        <v>90</v>
      </c>
      <c r="CQ103">
        <f>SUM($AW$102:CQ102)</f>
        <v>92</v>
      </c>
      <c r="CR103">
        <f>SUM($AW$102:CR102)</f>
        <v>92</v>
      </c>
      <c r="CS103">
        <f>SUM($AW$102:CS102)</f>
        <v>92</v>
      </c>
      <c r="CT103">
        <f>SUM($AW$102:CT102)</f>
        <v>92</v>
      </c>
      <c r="CU103">
        <f>SUM($AW$102:CU102)</f>
        <v>92</v>
      </c>
      <c r="CV103">
        <f>SUM($AW$102:CV102)</f>
        <v>92</v>
      </c>
      <c r="CW103">
        <f>SUM($AW$102:CW102)</f>
        <v>92</v>
      </c>
      <c r="CX103">
        <f>SUM($AW$102:CX102)</f>
        <v>92</v>
      </c>
      <c r="CY103">
        <f>SUM($AW$102:CY102)</f>
        <v>92</v>
      </c>
      <c r="CZ103">
        <f>SUM($AW$102:CZ102)</f>
        <v>92</v>
      </c>
      <c r="DA103">
        <f>SUM($AW$102:DA102)</f>
        <v>92</v>
      </c>
      <c r="DB103">
        <f>SUM($AW$102:DB102)</f>
        <v>92</v>
      </c>
      <c r="DC103">
        <f>SUM($AW$102:DC102)</f>
        <v>92</v>
      </c>
      <c r="DD103">
        <f>SUM($AW$102:DD102)</f>
        <v>92</v>
      </c>
      <c r="DE103" s="114">
        <f>SUM($AW$102:DE102)</f>
        <v>92</v>
      </c>
    </row>
    <row r="104" spans="2:109">
      <c r="B104" s="350" t="s">
        <v>556</v>
      </c>
      <c r="AW104" s="138">
        <f>AW102/Summary!$O$25</f>
        <v>0</v>
      </c>
      <c r="AX104" s="138">
        <f>AX102/Summary!$O$25</f>
        <v>0</v>
      </c>
      <c r="AY104" s="138">
        <f>AY102/Summary!$O$25</f>
        <v>0</v>
      </c>
      <c r="AZ104" s="138">
        <f>AZ102/Summary!$O$25</f>
        <v>0</v>
      </c>
      <c r="BA104" s="138">
        <f>BA102/Summary!$O$25</f>
        <v>0</v>
      </c>
      <c r="BB104" s="138">
        <f>BB102/Summary!$O$25</f>
        <v>0</v>
      </c>
      <c r="BC104" s="138">
        <f>BC102/Summary!$O$25</f>
        <v>0</v>
      </c>
      <c r="BD104" s="138">
        <f>BD102/Summary!$O$25</f>
        <v>0</v>
      </c>
      <c r="BE104" s="138">
        <f>BE102/Summary!$O$25</f>
        <v>0</v>
      </c>
      <c r="BF104" s="138">
        <f>BF102/Summary!$O$25</f>
        <v>0</v>
      </c>
      <c r="BG104" s="138">
        <f>BG102/Summary!$O$25</f>
        <v>0</v>
      </c>
      <c r="BH104" s="138">
        <f>BH102/Summary!$O$25</f>
        <v>0</v>
      </c>
      <c r="BI104" s="138">
        <f>BI102/Summary!$O$25</f>
        <v>0</v>
      </c>
      <c r="BJ104" s="138">
        <f>BJ102/Summary!$O$25</f>
        <v>0</v>
      </c>
      <c r="BK104" s="138">
        <f>BK102/Summary!$O$25</f>
        <v>0</v>
      </c>
      <c r="BL104" s="138">
        <f>BL102/Summary!$O$25</f>
        <v>0</v>
      </c>
      <c r="BM104" s="138">
        <f>BM102/Summary!$O$25</f>
        <v>3.2608695652173912E-2</v>
      </c>
      <c r="BN104" s="138">
        <f>BN102/Summary!$O$25</f>
        <v>3.2608695652173912E-2</v>
      </c>
      <c r="BO104" s="138">
        <f>BO102/Summary!$O$25</f>
        <v>3.2608695652173912E-2</v>
      </c>
      <c r="BP104" s="138">
        <f>BP102/Summary!$O$25</f>
        <v>3.2608695652173912E-2</v>
      </c>
      <c r="BQ104" s="138">
        <f>BQ102/Summary!$O$25</f>
        <v>3.2608695652173912E-2</v>
      </c>
      <c r="BR104" s="138">
        <f>BR102/Summary!$O$25</f>
        <v>3.2608695652173912E-2</v>
      </c>
      <c r="BS104" s="138">
        <f>BS102/Summary!$O$25</f>
        <v>3.2608695652173912E-2</v>
      </c>
      <c r="BT104" s="138">
        <f>BT102/Summary!$O$25</f>
        <v>3.2608695652173912E-2</v>
      </c>
      <c r="BU104" s="138">
        <f>BU102/Summary!$O$25</f>
        <v>3.2608695652173912E-2</v>
      </c>
      <c r="BV104" s="138">
        <f>BV102/Summary!$O$25</f>
        <v>3.2608695652173912E-2</v>
      </c>
      <c r="BW104" s="138">
        <f>BW102/Summary!$O$25</f>
        <v>3.2608695652173912E-2</v>
      </c>
      <c r="BX104" s="138">
        <f>BX102/Summary!$O$25</f>
        <v>3.2608695652173912E-2</v>
      </c>
      <c r="BY104" s="138">
        <f>BY102/Summary!$O$25</f>
        <v>3.2608695652173912E-2</v>
      </c>
      <c r="BZ104" s="138">
        <f>BZ102/Summary!$O$25</f>
        <v>3.2608695652173912E-2</v>
      </c>
      <c r="CA104" s="138">
        <f>CA102/Summary!$O$25</f>
        <v>3.2608695652173912E-2</v>
      </c>
      <c r="CB104" s="138">
        <f>CB102/Summary!$O$25</f>
        <v>3.2608695652173912E-2</v>
      </c>
      <c r="CC104" s="138">
        <f>CC102/Summary!$O$25</f>
        <v>3.2608695652173912E-2</v>
      </c>
      <c r="CD104" s="138">
        <f>CD102/Summary!$O$25</f>
        <v>3.2608695652173912E-2</v>
      </c>
      <c r="CE104" s="138">
        <f>CE102/Summary!$O$25</f>
        <v>3.2608695652173912E-2</v>
      </c>
      <c r="CF104" s="138">
        <f>CF102/Summary!$O$25</f>
        <v>3.2608695652173912E-2</v>
      </c>
      <c r="CG104" s="138">
        <f>CG102/Summary!$O$25</f>
        <v>3.2608695652173912E-2</v>
      </c>
      <c r="CH104" s="138">
        <f>CH102/Summary!$O$25</f>
        <v>3.2608695652173912E-2</v>
      </c>
      <c r="CI104" s="138">
        <f>CI102/Summary!$O$25</f>
        <v>3.2608695652173912E-2</v>
      </c>
      <c r="CJ104" s="138">
        <f>CJ102/Summary!$O$25</f>
        <v>3.2608695652173912E-2</v>
      </c>
      <c r="CK104" s="138">
        <f>CK102/Summary!$O$25</f>
        <v>3.2608695652173912E-2</v>
      </c>
      <c r="CL104" s="138">
        <f>CL102/Summary!$O$25</f>
        <v>3.2608695652173912E-2</v>
      </c>
      <c r="CM104" s="138">
        <f>CM102/Summary!$O$25</f>
        <v>3.2608695652173912E-2</v>
      </c>
      <c r="CN104" s="138">
        <f>CN102/Summary!$O$25</f>
        <v>3.2608695652173912E-2</v>
      </c>
      <c r="CO104" s="138">
        <f>CO102/Summary!$O$25</f>
        <v>3.2608695652173912E-2</v>
      </c>
      <c r="CP104" s="138">
        <f>CP102/Summary!$O$25</f>
        <v>3.2608695652173912E-2</v>
      </c>
      <c r="CQ104" s="138">
        <f>CQ102/Summary!$O$25</f>
        <v>2.1739130434782608E-2</v>
      </c>
      <c r="CR104" s="138">
        <f>CR102/Summary!$O$25</f>
        <v>0</v>
      </c>
      <c r="CS104" s="138">
        <f>CS102/Summary!$O$25</f>
        <v>0</v>
      </c>
      <c r="CT104" s="138">
        <f>CT102/Summary!$O$25</f>
        <v>0</v>
      </c>
      <c r="CU104" s="138">
        <f>CU102/Summary!$O$25</f>
        <v>0</v>
      </c>
      <c r="CV104" s="138">
        <f>CV102/Summary!$O$25</f>
        <v>0</v>
      </c>
      <c r="CW104" s="138">
        <f>CW102/Summary!$O$25</f>
        <v>0</v>
      </c>
      <c r="CX104" s="138">
        <f>CX102/Summary!$O$25</f>
        <v>0</v>
      </c>
      <c r="CY104" s="138">
        <f>CY102/Summary!$O$25</f>
        <v>0</v>
      </c>
      <c r="CZ104" s="138">
        <f>CZ102/Summary!$O$25</f>
        <v>0</v>
      </c>
      <c r="DA104" s="138">
        <f>DA102/Summary!$O$25</f>
        <v>0</v>
      </c>
      <c r="DB104" s="138">
        <f>DB102/Summary!$O$25</f>
        <v>0</v>
      </c>
      <c r="DC104" s="138">
        <f>DC102/Summary!$O$25</f>
        <v>0</v>
      </c>
      <c r="DD104" s="138">
        <f>DD102/Summary!$O$25</f>
        <v>0</v>
      </c>
      <c r="DE104" s="243">
        <f>DE102/Summary!$O$25</f>
        <v>0</v>
      </c>
    </row>
    <row r="105" spans="2:109" ht="17" thickBot="1">
      <c r="B105" s="363" t="s">
        <v>557</v>
      </c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  <c r="AU105" s="131"/>
      <c r="AV105" s="131"/>
      <c r="AW105" s="287">
        <f>SUM($AW$104:AW104)</f>
        <v>0</v>
      </c>
      <c r="AX105" s="287">
        <f>SUM($AW$104:AX104)</f>
        <v>0</v>
      </c>
      <c r="AY105" s="287">
        <f>SUM($AW$104:AY104)</f>
        <v>0</v>
      </c>
      <c r="AZ105" s="287">
        <f>SUM($AW$104:AZ104)</f>
        <v>0</v>
      </c>
      <c r="BA105" s="287">
        <f>SUM($AW$104:BA104)</f>
        <v>0</v>
      </c>
      <c r="BB105" s="287">
        <f>SUM($AW$104:BB104)</f>
        <v>0</v>
      </c>
      <c r="BC105" s="287">
        <f>SUM($AW$104:BC104)</f>
        <v>0</v>
      </c>
      <c r="BD105" s="287">
        <f>SUM($AW$104:BD104)</f>
        <v>0</v>
      </c>
      <c r="BE105" s="287">
        <f>SUM($AW$104:BE104)</f>
        <v>0</v>
      </c>
      <c r="BF105" s="287">
        <f>SUM($AW$104:BF104)</f>
        <v>0</v>
      </c>
      <c r="BG105" s="287">
        <f>SUM($AW$104:BG104)</f>
        <v>0</v>
      </c>
      <c r="BH105" s="287">
        <f>SUM($AW$104:BH104)</f>
        <v>0</v>
      </c>
      <c r="BI105" s="287">
        <f>SUM($AW$104:BI104)</f>
        <v>0</v>
      </c>
      <c r="BJ105" s="287">
        <f>SUM($AW$104:BJ104)</f>
        <v>0</v>
      </c>
      <c r="BK105" s="287">
        <f>SUM($AW$104:BK104)</f>
        <v>0</v>
      </c>
      <c r="BL105" s="287">
        <f>SUM($AW$104:BL104)</f>
        <v>0</v>
      </c>
      <c r="BM105" s="287">
        <f>SUM($AW$104:BM104)</f>
        <v>3.2608695652173912E-2</v>
      </c>
      <c r="BN105" s="287">
        <f>SUM($AW$104:BN104)</f>
        <v>6.5217391304347824E-2</v>
      </c>
      <c r="BO105" s="287">
        <f>SUM($AW$104:BO104)</f>
        <v>9.7826086956521729E-2</v>
      </c>
      <c r="BP105" s="287">
        <f>SUM($AW$104:BP104)</f>
        <v>0.13043478260869565</v>
      </c>
      <c r="BQ105" s="287">
        <f>SUM($AW$104:BQ104)</f>
        <v>0.16304347826086957</v>
      </c>
      <c r="BR105" s="287">
        <f>SUM($AW$104:BR104)</f>
        <v>0.19565217391304349</v>
      </c>
      <c r="BS105" s="287">
        <f>SUM($AW$104:BS104)</f>
        <v>0.22826086956521741</v>
      </c>
      <c r="BT105" s="287">
        <f>SUM($AW$104:BT104)</f>
        <v>0.2608695652173913</v>
      </c>
      <c r="BU105" s="287">
        <f>SUM($AW$104:BU104)</f>
        <v>0.29347826086956519</v>
      </c>
      <c r="BV105" s="287">
        <f>SUM($AW$104:BV104)</f>
        <v>0.32608695652173908</v>
      </c>
      <c r="BW105" s="287">
        <f>SUM($AW$104:BW104)</f>
        <v>0.35869565217391297</v>
      </c>
      <c r="BX105" s="287">
        <f>SUM($AW$104:BX104)</f>
        <v>0.39130434782608686</v>
      </c>
      <c r="BY105" s="287">
        <f>SUM($AW$104:BY104)</f>
        <v>0.42391304347826075</v>
      </c>
      <c r="BZ105" s="287">
        <f>SUM($AW$104:BZ104)</f>
        <v>0.45652173913043465</v>
      </c>
      <c r="CA105" s="287">
        <f>SUM($AW$104:CA104)</f>
        <v>0.48913043478260854</v>
      </c>
      <c r="CB105" s="287">
        <f>SUM($AW$104:CB104)</f>
        <v>0.52173913043478248</v>
      </c>
      <c r="CC105" s="287">
        <f>SUM($AW$104:CC104)</f>
        <v>0.55434782608695643</v>
      </c>
      <c r="CD105" s="287">
        <f>SUM($AW$104:CD104)</f>
        <v>0.58695652173913038</v>
      </c>
      <c r="CE105" s="287">
        <f>SUM($AW$104:CE104)</f>
        <v>0.61956521739130432</v>
      </c>
      <c r="CF105" s="287">
        <f>SUM($AW$104:CF104)</f>
        <v>0.65217391304347827</v>
      </c>
      <c r="CG105" s="287">
        <f>SUM($AW$104:CG104)</f>
        <v>0.68478260869565222</v>
      </c>
      <c r="CH105" s="287">
        <f>SUM($AW$104:CH104)</f>
        <v>0.71739130434782616</v>
      </c>
      <c r="CI105" s="287">
        <f>SUM($AW$104:CI104)</f>
        <v>0.75000000000000011</v>
      </c>
      <c r="CJ105" s="287">
        <f>SUM($AW$104:CJ104)</f>
        <v>0.78260869565217406</v>
      </c>
      <c r="CK105" s="287">
        <f>SUM($AW$104:CK104)</f>
        <v>0.815217391304348</v>
      </c>
      <c r="CL105" s="287">
        <f>SUM($AW$104:CL104)</f>
        <v>0.84782608695652195</v>
      </c>
      <c r="CM105" s="287">
        <f>SUM($AW$104:CM104)</f>
        <v>0.8804347826086959</v>
      </c>
      <c r="CN105" s="287">
        <f>SUM($AW$104:CN104)</f>
        <v>0.91304347826086985</v>
      </c>
      <c r="CO105" s="287">
        <f>SUM($AW$104:CO104)</f>
        <v>0.94565217391304379</v>
      </c>
      <c r="CP105" s="287">
        <f>SUM($AW$104:CP104)</f>
        <v>0.97826086956521774</v>
      </c>
      <c r="CQ105" s="287">
        <f>SUM($AW$104:CQ104)</f>
        <v>1.0000000000000004</v>
      </c>
      <c r="CR105" s="287">
        <f>SUM($AW$104:CR104)</f>
        <v>1.0000000000000004</v>
      </c>
      <c r="CS105" s="287">
        <f>SUM($AW$104:CS104)</f>
        <v>1.0000000000000004</v>
      </c>
      <c r="CT105" s="287">
        <f>SUM($AW$104:CT104)</f>
        <v>1.0000000000000004</v>
      </c>
      <c r="CU105" s="287">
        <f>SUM($AW$104:CU104)</f>
        <v>1.0000000000000004</v>
      </c>
      <c r="CV105" s="287">
        <f>SUM($AW$104:CV104)</f>
        <v>1.0000000000000004</v>
      </c>
      <c r="CW105" s="287">
        <f>SUM($AW$104:CW104)</f>
        <v>1.0000000000000004</v>
      </c>
      <c r="CX105" s="287">
        <f>SUM($AW$104:CX104)</f>
        <v>1.0000000000000004</v>
      </c>
      <c r="CY105" s="287">
        <f>SUM($AW$104:CY104)</f>
        <v>1.0000000000000004</v>
      </c>
      <c r="CZ105" s="287">
        <f>SUM($AW$104:CZ104)</f>
        <v>1.0000000000000004</v>
      </c>
      <c r="DA105" s="287">
        <f>SUM($AW$104:DA104)</f>
        <v>1.0000000000000004</v>
      </c>
      <c r="DB105" s="287">
        <f>SUM($AW$104:DB104)</f>
        <v>1.0000000000000004</v>
      </c>
      <c r="DC105" s="287">
        <f>SUM($AW$104:DC104)</f>
        <v>1.0000000000000004</v>
      </c>
      <c r="DD105" s="287">
        <f>SUM($AW$104:DD104)</f>
        <v>1.0000000000000004</v>
      </c>
      <c r="DE105" s="479">
        <f>SUM($AW$104:DE104)</f>
        <v>1.0000000000000004</v>
      </c>
    </row>
    <row r="109" spans="2:109">
      <c r="AX109" s="102"/>
    </row>
  </sheetData>
  <pageMargins left="0.7" right="0.7" top="0.75" bottom="0.75" header="0.3" footer="0.3"/>
  <pageSetup pageOrder="overThenDown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E72-F16D-FC47-801E-221090EB1A8E}">
  <sheetPr codeName="Sheet5"/>
  <dimension ref="B5:ER90"/>
  <sheetViews>
    <sheetView topLeftCell="A5" zoomScaleNormal="100" zoomScaleSheetLayoutView="75" workbookViewId="0">
      <pane xSplit="2" ySplit="5" topLeftCell="C57" activePane="bottomRight" state="frozen"/>
      <selection activeCell="A5" sqref="A5"/>
      <selection pane="topRight" activeCell="C5" sqref="C5"/>
      <selection pane="bottomLeft" activeCell="A10" sqref="A10"/>
      <selection pane="bottomRight" activeCell="I84" sqref="I84"/>
    </sheetView>
  </sheetViews>
  <sheetFormatPr baseColWidth="10" defaultRowHeight="16"/>
  <cols>
    <col min="2" max="2" width="36.6640625" customWidth="1"/>
    <col min="3" max="3" width="11.5" bestFit="1" customWidth="1"/>
    <col min="4" max="4" width="3.83203125" customWidth="1"/>
    <col min="8" max="8" width="13.6640625" bestFit="1" customWidth="1"/>
    <col min="9" max="9" width="13" bestFit="1" customWidth="1"/>
    <col min="10" max="10" width="14" bestFit="1" customWidth="1"/>
    <col min="11" max="20" width="14.1640625" bestFit="1" customWidth="1"/>
  </cols>
  <sheetData>
    <row r="5" spans="2:148" ht="17" thickBot="1">
      <c r="I5" s="102"/>
      <c r="K5" s="102"/>
    </row>
    <row r="6" spans="2:148">
      <c r="B6" s="371" t="s">
        <v>463</v>
      </c>
      <c r="C6" s="372"/>
      <c r="D6" s="372"/>
      <c r="E6" s="374"/>
      <c r="F6" s="374"/>
      <c r="G6" s="375" t="str">
        <f>IF(G12=0," ",IF(G12&lt;Summary!$S$18*(1+Summary!$C$40)^G9,"Lease-up",IF(COUNTIF($F$6:F6,"Stabilization")=1," ","Stabilization")))</f>
        <v xml:space="preserve"> </v>
      </c>
      <c r="H6" s="375" t="str">
        <f ca="1">IF(H12=0," ",IF(H12&lt;Summary!$S$18*(1+Summary!$C$40)^H9,"Lease-up",IF(COUNTIF($F$6:G6,"Stabilization")=1," ","Stabilization")))</f>
        <v xml:space="preserve"> </v>
      </c>
      <c r="I6" s="375" t="str">
        <f ca="1">IF(I12=0," ",IF(I12&lt;Summary!$S$18*(1+Summary!$C$40)^I9,"Lease-up",IF(COUNTIF($F$6:H6,"Stabilization")=1," ","Stabilization")))</f>
        <v>Lease-up</v>
      </c>
      <c r="J6" s="375" t="str">
        <f ca="1">IF(J12=0," ",IF(J12&lt;Summary!$S$18*(1+Summary!$C$40)^J9,"Lease-up",IF(COUNTIF($F$6:I6,"Stabilization")=1," ","Stabilization")))</f>
        <v>Lease-up</v>
      </c>
      <c r="K6" s="375" t="str">
        <f ca="1">IF(K12=0," ",IF(K12&lt;Summary!$S$18*(1+Summary!$C$40)^K9,"Lease-up",IF(COUNTIF($F$6:J6,"Stabilization")=1," ","Stabilization")))</f>
        <v>Stabilization</v>
      </c>
      <c r="L6" s="375" t="str">
        <f ca="1">IF(L12=0," ",IF(L12&lt;Summary!$S$18*(1+Summary!$C$40)^L9,"Lease-up",IF(COUNTIF($F$6:K6,"Stabilization")=1," ","Stabilization")))</f>
        <v xml:space="preserve"> </v>
      </c>
      <c r="M6" s="375" t="str">
        <f ca="1">IF(M12=0," ",IF(M12&lt;Summary!$S$18*(1+Summary!$C$40)^M9,"Lease-up",IF(COUNTIF($F$6:L6,"Stabilization")=1," ","Stabilization")))</f>
        <v xml:space="preserve"> </v>
      </c>
      <c r="N6" s="375" t="str">
        <f ca="1">IF(N12=0," ",IF(N12&lt;Summary!$S$18*(1+Summary!$C$40)^N9,"Lease-up",IF(COUNTIF($F$6:M6,"Stabilization")=1," ","Stabilization")))</f>
        <v xml:space="preserve"> </v>
      </c>
      <c r="O6" s="375" t="str">
        <f ca="1">IF(O12=0," ",IF(O12&lt;Summary!$S$18*(1+Summary!$C$40)^O9,"Lease-up",IF(COUNTIF($F$6:N6,"Stabilization")=1," ","Stabilization")))</f>
        <v xml:space="preserve"> </v>
      </c>
      <c r="P6" s="375" t="str">
        <f ca="1">IF(P12=0," ",IF(P12&lt;Summary!$S$18*(1+Summary!$C$40)^P9,"Lease-up",IF(COUNTIF($F$6:O6,"Stabilization")=1," ","Stabilization")))</f>
        <v xml:space="preserve"> </v>
      </c>
      <c r="Q6" s="374"/>
      <c r="R6" s="374"/>
      <c r="S6" s="374"/>
      <c r="T6" s="376"/>
    </row>
    <row r="7" spans="2:148">
      <c r="B7" s="364"/>
      <c r="C7" s="506"/>
      <c r="D7" s="506"/>
      <c r="E7" s="482" t="s">
        <v>342</v>
      </c>
      <c r="F7" s="482" t="s">
        <v>342</v>
      </c>
      <c r="G7" s="482" t="s">
        <v>342</v>
      </c>
      <c r="H7" s="483" t="s">
        <v>342</v>
      </c>
      <c r="I7" s="512" t="str">
        <f>IF(I8&lt;=Summary!$C$13,"Const."," ")</f>
        <v xml:space="preserve"> </v>
      </c>
      <c r="J7" s="512" t="str">
        <f>IF(J8&lt;=Summary!$C$13,"Const."," ")</f>
        <v xml:space="preserve"> </v>
      </c>
      <c r="K7" s="512" t="str">
        <f>IF(K8&lt;=Summary!$C$13,"Const."," ")</f>
        <v xml:space="preserve"> </v>
      </c>
      <c r="L7" s="512" t="str">
        <f>IF(L8&lt;=Summary!$C$13,"Const."," ")</f>
        <v xml:space="preserve"> </v>
      </c>
      <c r="M7" s="513"/>
      <c r="N7" s="513"/>
      <c r="O7" s="513"/>
      <c r="P7" s="513"/>
      <c r="Q7" s="513"/>
      <c r="R7" s="513"/>
      <c r="S7" s="513"/>
      <c r="T7" s="377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43"/>
    </row>
    <row r="8" spans="2:148">
      <c r="B8" s="266" t="s">
        <v>452</v>
      </c>
      <c r="C8" s="256"/>
      <c r="D8" s="142"/>
      <c r="E8" s="248">
        <f>EOMONTH(EDATE(Summary!C10,13),0)</f>
        <v>44196</v>
      </c>
      <c r="F8" s="248">
        <f>EDATE(E8,12)</f>
        <v>44561</v>
      </c>
      <c r="G8" s="248">
        <f t="shared" ref="G8:T8" si="0">EDATE(F8,12)</f>
        <v>44926</v>
      </c>
      <c r="H8" s="248">
        <f t="shared" si="0"/>
        <v>45291</v>
      </c>
      <c r="I8" s="248">
        <f t="shared" si="0"/>
        <v>45657</v>
      </c>
      <c r="J8" s="248">
        <f t="shared" si="0"/>
        <v>46022</v>
      </c>
      <c r="K8" s="248">
        <f t="shared" si="0"/>
        <v>46387</v>
      </c>
      <c r="L8" s="248">
        <f t="shared" si="0"/>
        <v>46752</v>
      </c>
      <c r="M8" s="248">
        <f t="shared" si="0"/>
        <v>47118</v>
      </c>
      <c r="N8" s="248">
        <f t="shared" si="0"/>
        <v>47483</v>
      </c>
      <c r="O8" s="248">
        <f t="shared" si="0"/>
        <v>47848</v>
      </c>
      <c r="P8" s="248">
        <f t="shared" si="0"/>
        <v>48213</v>
      </c>
      <c r="Q8" s="248">
        <f t="shared" si="0"/>
        <v>48579</v>
      </c>
      <c r="R8" s="248">
        <f t="shared" si="0"/>
        <v>48944</v>
      </c>
      <c r="S8" s="248">
        <f t="shared" si="0"/>
        <v>49309</v>
      </c>
      <c r="T8" s="249">
        <f t="shared" si="0"/>
        <v>49674</v>
      </c>
    </row>
    <row r="9" spans="2:148">
      <c r="B9" s="267" t="s">
        <v>451</v>
      </c>
      <c r="C9" s="257"/>
      <c r="D9" s="251"/>
      <c r="E9" s="252">
        <v>1</v>
      </c>
      <c r="F9" s="252">
        <f>E9+1</f>
        <v>2</v>
      </c>
      <c r="G9" s="252">
        <f t="shared" ref="G9:T9" si="1">F9+1</f>
        <v>3</v>
      </c>
      <c r="H9" s="252">
        <f t="shared" si="1"/>
        <v>4</v>
      </c>
      <c r="I9" s="252">
        <f t="shared" si="1"/>
        <v>5</v>
      </c>
      <c r="J9" s="252">
        <f t="shared" si="1"/>
        <v>6</v>
      </c>
      <c r="K9" s="252">
        <f t="shared" si="1"/>
        <v>7</v>
      </c>
      <c r="L9" s="252">
        <f t="shared" si="1"/>
        <v>8</v>
      </c>
      <c r="M9" s="252">
        <f t="shared" si="1"/>
        <v>9</v>
      </c>
      <c r="N9" s="252">
        <f t="shared" si="1"/>
        <v>10</v>
      </c>
      <c r="O9" s="252">
        <f t="shared" si="1"/>
        <v>11</v>
      </c>
      <c r="P9" s="252">
        <f t="shared" si="1"/>
        <v>12</v>
      </c>
      <c r="Q9" s="252">
        <f t="shared" si="1"/>
        <v>13</v>
      </c>
      <c r="R9" s="252">
        <f t="shared" si="1"/>
        <v>14</v>
      </c>
      <c r="S9" s="252">
        <f t="shared" si="1"/>
        <v>15</v>
      </c>
      <c r="T9" s="253">
        <f t="shared" si="1"/>
        <v>16</v>
      </c>
    </row>
    <row r="10" spans="2:148">
      <c r="B10" s="268" t="s">
        <v>306</v>
      </c>
      <c r="C10" s="258"/>
      <c r="J10" s="169"/>
      <c r="T10" s="114"/>
    </row>
    <row r="11" spans="2:148">
      <c r="B11" s="269" t="s">
        <v>310</v>
      </c>
      <c r="C11" s="258"/>
      <c r="E11" s="169">
        <f t="shared" ref="E11:K11" si="2">SUM(E12:E15)</f>
        <v>0</v>
      </c>
      <c r="F11" s="169">
        <f t="shared" si="2"/>
        <v>0</v>
      </c>
      <c r="G11" s="169">
        <f t="shared" si="2"/>
        <v>0</v>
      </c>
      <c r="H11" s="169">
        <f t="shared" ca="1" si="2"/>
        <v>0</v>
      </c>
      <c r="I11" s="169">
        <f t="shared" ca="1" si="2"/>
        <v>698610.04333084775</v>
      </c>
      <c r="J11" s="169">
        <f t="shared" ca="1" si="2"/>
        <v>4114539.1347568366</v>
      </c>
      <c r="K11" s="169">
        <f t="shared" ca="1" si="2"/>
        <v>5326997.0660467567</v>
      </c>
      <c r="L11" s="169">
        <f t="shared" ref="L11:T11" ca="1" si="3">SUM(L12:L15)</f>
        <v>5513441.9633583911</v>
      </c>
      <c r="M11" s="169">
        <f t="shared" ca="1" si="3"/>
        <v>5706412.4320759345</v>
      </c>
      <c r="N11" s="169">
        <f t="shared" ca="1" si="3"/>
        <v>5906136.8671985921</v>
      </c>
      <c r="O11" s="169">
        <f t="shared" ca="1" si="3"/>
        <v>6112851.6575505435</v>
      </c>
      <c r="P11" s="169">
        <f t="shared" ca="1" si="3"/>
        <v>6326801.4655648107</v>
      </c>
      <c r="Q11" s="169">
        <f t="shared" ca="1" si="3"/>
        <v>6548239.5168595789</v>
      </c>
      <c r="R11" s="169">
        <f t="shared" ca="1" si="3"/>
        <v>6777427.8999496652</v>
      </c>
      <c r="S11" s="169">
        <f t="shared" ca="1" si="3"/>
        <v>7014637.876447903</v>
      </c>
      <c r="T11" s="166">
        <f t="shared" ca="1" si="3"/>
        <v>7260150.2021235777</v>
      </c>
    </row>
    <row r="12" spans="2:148">
      <c r="B12" s="269" t="s">
        <v>318</v>
      </c>
      <c r="C12" s="258"/>
      <c r="E12" s="169">
        <v>0</v>
      </c>
      <c r="F12" s="169">
        <v>0</v>
      </c>
      <c r="G12" s="169">
        <v>0</v>
      </c>
      <c r="H12" s="169" cm="1">
        <f t="array" aca="1" ref="H12" ca="1">IF(H8&gt;EOMONTH(EDATE(Summary!$C$13,18),0),Summary!$S$18*(1+Summary!$C$40)^H9,(AVERAGE(IF(('Construction Schedule'!$AW$7:$DE$7&gt;'Rental - Annual Proforma'!G8)*('Construction Schedule'!$AW$7:$DE$7&lt;='Rental - Annual Proforma'!H8),'Construction Schedule'!$AW$85:$DE$85)))*Summary!$S$18*(1+Summary!$C$40)^H9)</f>
        <v>0</v>
      </c>
      <c r="I12" s="169" cm="1">
        <f t="array" aca="1" ref="I12" ca="1">IF(I8&gt;EOMONTH(EDATE(Summary!$C$13,18),0),Summary!$S$18*(1+Summary!$C$40)^I9,(AVERAGE(IF(('Construction Schedule'!$AW$7:$DE$7&gt;'Rental - Annual Proforma'!H8)*('Construction Schedule'!$AW$7:$DE$7&lt;='Rental - Annual Proforma'!I8),'Construction Schedule'!$AW$85:$DE$85)))*Summary!$S$18*(1+Summary!$C$40)^I9)</f>
        <v>490912.06095187576</v>
      </c>
      <c r="J12" s="169" cm="1">
        <f t="array" aca="1" ref="J12" ca="1">IF(J8&gt;EOMONTH(EDATE(Summary!$C$13,18),0),Summary!$S$18*(1+Summary!$C$40)^J9,(AVERAGE(IF(('Construction Schedule'!$AW$7:$DE$7&gt;'Rental - Annual Proforma'!I8)*('Construction Schedule'!$AW$7:$DE$7&lt;='Rental - Annual Proforma'!J8),'Construction Schedule'!$AW$85:$DE$85)))*Summary!$S$18*(1+Summary!$C$40)^J9)</f>
        <v>3419553.1560019231</v>
      </c>
      <c r="K12" s="169" cm="1">
        <f t="array" ref="K12">IF(K8&gt;EOMONTH(EDATE(Summary!$C$13,18),0),Summary!$S$18*(1+Summary!$C$40)^K9,(AVERAGE(IF(('Construction Schedule'!$AW$7:$DE$7&gt;'Rental - Annual Proforma'!J8)*('Construction Schedule'!$AW$7:$DE$7&lt;='Rental - Annual Proforma'!K8),'Construction Schedule'!$AW$85:$DE$85)))*Summary!$S$18*(1+Summary!$C$40)^K9)</f>
        <v>4607686.5780354207</v>
      </c>
      <c r="L12" s="169" cm="1">
        <f t="array" ref="L12">IF(L8&gt;EOMONTH(EDATE(Summary!$C$13,18),0),Summary!$S$18*(1+Summary!$C$40)^L9,(AVERAGE(IF(('Construction Schedule'!$AW$7:$DE$7&gt;'Rental - Annual Proforma'!K8)*('Construction Schedule'!$AW$7:$DE$7&lt;='Rental - Annual Proforma'!L8),'Construction Schedule'!$AW$85:$DE$85)))*Summary!$S$18*(1+Summary!$C$40)^L9)</f>
        <v>4768955.60826666</v>
      </c>
      <c r="M12" s="169" cm="1">
        <f t="array" ref="M12">IF(M8&gt;EOMONTH(EDATE(Summary!$C$13,18),0),Summary!$S$18*(1+Summary!$C$40)^M9,(AVERAGE(IF(('Construction Schedule'!$AW$7:$DE$7&gt;'Rental - Annual Proforma'!L8)*('Construction Schedule'!$AW$7:$DE$7&lt;='Rental - Annual Proforma'!M8),'Construction Schedule'!$AW$85:$DE$85)))*Summary!$S$18*(1+Summary!$C$40)^M9)</f>
        <v>4935869.0545559926</v>
      </c>
      <c r="N12" s="169" cm="1">
        <f t="array" ref="N12">IF(N8&gt;EOMONTH(EDATE(Summary!$C$13,18),0),Summary!$S$18*(1+Summary!$C$40)^N9,(AVERAGE(IF(('Construction Schedule'!$AW$7:$DE$7&gt;'Rental - Annual Proforma'!M8)*('Construction Schedule'!$AW$7:$DE$7&lt;='Rental - Annual Proforma'!N8),'Construction Schedule'!$AW$85:$DE$85)))*Summary!$S$18*(1+Summary!$C$40)^N9)</f>
        <v>5108624.4714654516</v>
      </c>
      <c r="O12" s="169" cm="1">
        <f t="array" ref="O12">IF(O8&gt;EOMONTH(EDATE(Summary!$C$13,18),0),Summary!$S$18*(1+Summary!$C$40)^O9,(AVERAGE(IF(('Construction Schedule'!$AW$7:$DE$7&gt;'Rental - Annual Proforma'!N8)*('Construction Schedule'!$AW$7:$DE$7&lt;='Rental - Annual Proforma'!O8),'Construction Schedule'!$AW$85:$DE$85)))*Summary!$S$18*(1+Summary!$C$40)^O9)</f>
        <v>5287426.3279667431</v>
      </c>
      <c r="P12" s="169" cm="1">
        <f t="array" ref="P12">IF(P8&gt;EOMONTH(EDATE(Summary!$C$13,18),0),Summary!$S$18*(1+Summary!$C$40)^P9,(AVERAGE(IF(('Construction Schedule'!$AW$7:$DE$7&gt;'Rental - Annual Proforma'!O8)*('Construction Schedule'!$AW$7:$DE$7&lt;='Rental - Annual Proforma'!P8),'Construction Schedule'!$AW$85:$DE$85)))*Summary!$S$18*(1+Summary!$C$40)^P9)</f>
        <v>5472486.2494455781</v>
      </c>
      <c r="Q12" s="169" cm="1">
        <f t="array" ref="Q12">IF(Q8&gt;EOMONTH(EDATE(Summary!$C$13,18),0),Summary!$S$18*(1+Summary!$C$40)^Q9,(AVERAGE(IF(('Construction Schedule'!$AW$7:$DE$7&gt;'Rental - Annual Proforma'!P8)*('Construction Schedule'!$AW$7:$DE$7&lt;='Rental - Annual Proforma'!Q8),'Construction Schedule'!$AW$85:$DE$85)))*Summary!$S$18*(1+Summary!$C$40)^Q9)</f>
        <v>5664023.2681761729</v>
      </c>
      <c r="R12" s="169" cm="1">
        <f t="array" ref="R12">IF(R8&gt;EOMONTH(EDATE(Summary!$C$13,18),0),Summary!$S$18*(1+Summary!$C$40)^R9,(AVERAGE(IF(('Construction Schedule'!$AW$7:$DE$7&gt;'Rental - Annual Proforma'!Q8)*('Construction Schedule'!$AW$7:$DE$7&lt;='Rental - Annual Proforma'!R8),'Construction Schedule'!$AW$85:$DE$85)))*Summary!$S$18*(1+Summary!$C$40)^R9)</f>
        <v>5862264.0825623395</v>
      </c>
      <c r="S12" s="169" cm="1">
        <f t="array" ref="S12">IF(S8&gt;EOMONTH(EDATE(Summary!$C$13,18),0),Summary!$S$18*(1+Summary!$C$40)^S9,(AVERAGE(IF(('Construction Schedule'!$AW$7:$DE$7&gt;'Rental - Annual Proforma'!R8)*('Construction Schedule'!$AW$7:$DE$7&lt;='Rental - Annual Proforma'!S8),'Construction Schedule'!$AW$85:$DE$85)))*Summary!$S$18*(1+Summary!$C$40)^S9)</f>
        <v>6067443.3254520204</v>
      </c>
      <c r="T12" s="166" cm="1">
        <f t="array" ref="T12">IF(T8&gt;EOMONTH(EDATE(Summary!$C$13,18),0),Summary!$S$18*(1+Summary!$C$40)^T9,(AVERAGE(IF(('Construction Schedule'!$AW$7:$DE$7&gt;'Rental - Annual Proforma'!S8)*('Construction Schedule'!$AW$7:$DE$7&lt;='Rental - Annual Proforma'!T8),'Construction Schedule'!$AW$85:$DE$85)))*Summary!$S$18*(1+Summary!$C$40)^T9)</f>
        <v>6279803.8418428395</v>
      </c>
    </row>
    <row r="13" spans="2:148">
      <c r="B13" s="269" t="s">
        <v>307</v>
      </c>
      <c r="C13" s="258"/>
      <c r="H13" s="270">
        <f ca="1">$J$13/$J$12*H12</f>
        <v>0</v>
      </c>
      <c r="I13" s="270">
        <f ca="1">$J$13/$J$12*I12</f>
        <v>5823.5845033958776</v>
      </c>
      <c r="J13" s="169">
        <f>Summary!$S$33*(1+Summary!$C$40)^J9</f>
        <v>40565.425769369002</v>
      </c>
      <c r="K13" s="270">
        <f>J13*(1+Summary!$C$40)</f>
        <v>41985.215671296915</v>
      </c>
      <c r="L13" s="270">
        <f>K13*(1+Summary!$C$40)</f>
        <v>43454.698219792306</v>
      </c>
      <c r="M13" s="270">
        <f>L13*(1+Summary!$C$40)</f>
        <v>44975.612657485035</v>
      </c>
      <c r="N13" s="270">
        <f>M13*(1+Summary!$C$40)</f>
        <v>46549.759100497009</v>
      </c>
      <c r="O13" s="270">
        <f>N13*(1+Summary!$C$40)</f>
        <v>48179.0006690144</v>
      </c>
      <c r="P13" s="270">
        <f>O13*(1+Summary!$C$40)</f>
        <v>49865.265692429901</v>
      </c>
      <c r="Q13" s="270">
        <f>P13*(1+Summary!$C$40)</f>
        <v>51610.549991664942</v>
      </c>
      <c r="R13" s="270">
        <f>Q13*(1+Summary!$C$40)</f>
        <v>53416.919241373209</v>
      </c>
      <c r="S13" s="270">
        <f>R13*(1+Summary!$C$40)</f>
        <v>55286.511414821267</v>
      </c>
      <c r="T13" s="140">
        <f>S13*(1+Summary!$C$40)</f>
        <v>57221.539314340007</v>
      </c>
    </row>
    <row r="14" spans="2:148">
      <c r="B14" s="269" t="s">
        <v>308</v>
      </c>
      <c r="C14" s="258"/>
      <c r="E14" s="168">
        <v>0</v>
      </c>
      <c r="F14" s="168">
        <v>0</v>
      </c>
      <c r="G14" s="168">
        <v>0</v>
      </c>
      <c r="H14" s="169" cm="1">
        <f t="array" ref="H14">(AVERAGE(IF(('Construction Schedule'!$AW$7:$CB$7&gt;='Rental - Annual Proforma'!G8)*('Construction Schedule'!$AW$7:$CB$7&lt;'Rental - Annual Proforma'!H8),'Construction Schedule'!$AW$91:$CB$91)))*Summary!$S$29*(1+Summary!$C$40)^H9</f>
        <v>0</v>
      </c>
      <c r="I14" s="169" cm="1">
        <f t="array" ref="I14">(AVERAGE(IF(('Construction Schedule'!$AW$7:$CB$7&gt;='Rental - Annual Proforma'!H8)*('Construction Schedule'!$AW$7:$CB$7&lt;'Rental - Annual Proforma'!I8),'Construction Schedule'!$AW$91:$CB$91)))*Summary!$S$29*(1+Summary!$C$40)^I9</f>
        <v>178152.94584703117</v>
      </c>
      <c r="J14" s="169" cm="1">
        <f t="array" ref="J14">(AVERAGE(IF(('Construction Schedule'!$AW$7:$CB$7&gt;='Rental - Annual Proforma'!I8)*('Construction Schedule'!$AW$7:$CB$7&lt;'Rental - Annual Proforma'!J8),'Construction Schedule'!$AW$91:$CB$91)))*Summary!$S$29*(1+Summary!$C$40)^J9</f>
        <v>442531.91748402547</v>
      </c>
      <c r="K14" s="270">
        <f>J14*(1+Summary!$C$40)</f>
        <v>458020.53459596634</v>
      </c>
      <c r="L14" s="270">
        <f>K14*(1+Summary!$C$40)</f>
        <v>474051.25330682512</v>
      </c>
      <c r="M14" s="270">
        <f>L14*(1+Summary!$C$40)</f>
        <v>490643.04717256397</v>
      </c>
      <c r="N14" s="270">
        <f>M14*(1+Summary!$C$40)</f>
        <v>507815.55382360367</v>
      </c>
      <c r="O14" s="270">
        <f>N14*(1+Summary!$C$40)</f>
        <v>525589.09820742975</v>
      </c>
      <c r="P14" s="270">
        <f>O14*(1+Summary!$C$40)</f>
        <v>543984.71664468979</v>
      </c>
      <c r="Q14" s="270">
        <f>P14*(1+Summary!$C$40)</f>
        <v>563024.18172725383</v>
      </c>
      <c r="R14" s="270">
        <f>Q14*(1+Summary!$C$40)</f>
        <v>582730.0280877077</v>
      </c>
      <c r="S14" s="270">
        <f>R14*(1+Summary!$C$40)</f>
        <v>603125.5790707774</v>
      </c>
      <c r="T14" s="140">
        <f>S14*(1+Summary!$C$40)</f>
        <v>624234.97433825454</v>
      </c>
    </row>
    <row r="15" spans="2:148">
      <c r="B15" s="269" t="s">
        <v>309</v>
      </c>
      <c r="C15" s="258"/>
      <c r="E15" s="168">
        <v>0</v>
      </c>
      <c r="F15" s="168">
        <v>0</v>
      </c>
      <c r="G15" s="168">
        <v>0</v>
      </c>
      <c r="H15" s="169" cm="1">
        <f t="array" aca="1" ref="H15" ca="1">(AVERAGE(IF(('Construction Schedule'!$AW$7:$CB$7&gt;='Rental - Annual Proforma'!G8)*('Construction Schedule'!$AW$7:$CB$7&lt;'Rental - Annual Proforma'!H8),'Construction Schedule'!$AW$85:$CB$85)))*Summary!$S$36*(1+Summary!$C$40)^H9</f>
        <v>0</v>
      </c>
      <c r="I15" s="169" cm="1">
        <f t="array" aca="1" ref="I15" ca="1">(AVERAGE(IF(('Construction Schedule'!$AW$7:$CB$7&gt;='Rental - Annual Proforma'!H8)*('Construction Schedule'!$AW$7:$CB$7&lt;'Rental - Annual Proforma'!I8),'Construction Schedule'!$AW$85:$CB$85)))*Summary!$S$36*(1+Summary!$C$40)^I9</f>
        <v>23721.452028544914</v>
      </c>
      <c r="J15" s="169" cm="1">
        <f t="array" aca="1" ref="J15" ca="1">(AVERAGE(IF(('Construction Schedule'!$AW$7:$CB$7&gt;='Rental - Annual Proforma'!I8)*('Construction Schedule'!$AW$7:$CB$7&lt;'Rental - Annual Proforma'!J8),'Construction Schedule'!$AW$85:$CB$85)))*Summary!$S$36*(1+Summary!$C$40)^J9</f>
        <v>211888.63550151896</v>
      </c>
      <c r="K15" s="270">
        <f ca="1">J15*(1+Summary!$C$40)</f>
        <v>219304.7377440721</v>
      </c>
      <c r="L15" s="270">
        <f ca="1">K15*(1+Summary!$C$40)</f>
        <v>226980.4035651146</v>
      </c>
      <c r="M15" s="270">
        <f ca="1">L15*(1+Summary!$C$40)</f>
        <v>234924.71768989359</v>
      </c>
      <c r="N15" s="270">
        <f ca="1">M15*(1+Summary!$C$40)</f>
        <v>243147.08280903986</v>
      </c>
      <c r="O15" s="270">
        <f ca="1">N15*(1+Summary!$C$40)</f>
        <v>251657.23070735624</v>
      </c>
      <c r="P15" s="270">
        <f ca="1">O15*(1+Summary!$C$40)</f>
        <v>260465.23378211368</v>
      </c>
      <c r="Q15" s="270">
        <f ca="1">P15*(1+Summary!$C$40)</f>
        <v>269581.51696448762</v>
      </c>
      <c r="R15" s="270">
        <f ca="1">Q15*(1+Summary!$C$40)</f>
        <v>279016.87005824468</v>
      </c>
      <c r="S15" s="270">
        <f ca="1">R15*(1+Summary!$C$40)</f>
        <v>288782.46051028324</v>
      </c>
      <c r="T15" s="140">
        <f ca="1">S15*(1+Summary!$C$40)</f>
        <v>298889.84662814316</v>
      </c>
    </row>
    <row r="16" spans="2:148">
      <c r="B16" s="269" t="s">
        <v>158</v>
      </c>
      <c r="C16" s="258"/>
      <c r="I16" s="169">
        <f>-IF(I9&gt;=Summary!$C$12+2,(I12*Summary!$C$49+'Rental - Annual Proforma'!I14*Summary!$C$55+'Rental - Annual Proforma'!I15*Summary!$C$49),0)</f>
        <v>0</v>
      </c>
      <c r="J16" s="169">
        <f>-IF(J9&gt;=Summary!$C$12+2,(J12*Summary!$C$49+'Rental - Annual Proforma'!J14*Summary!$C$55+'Rental - Annual Proforma'!J15*Summary!$C$49),0)</f>
        <v>0</v>
      </c>
      <c r="K16" s="169">
        <f ca="1">-IF(K9&gt;=Summary!$C$12+2,(K12*Summary!$C$49+'Rental - Annual Proforma'!K14*Summary!$C$55+'Rental - Annual Proforma'!K15*Summary!$C$49),0)</f>
        <v>-363080.5215073427</v>
      </c>
      <c r="L16" s="169">
        <f ca="1">-IF(L9&gt;=Summary!$C$12+2,(L12*Summary!$C$49+'Rental - Annual Proforma'!L14*Summary!$C$55+'Rental - Annual Proforma'!L15*Summary!$C$49),0)</f>
        <v>-375788.33976009965</v>
      </c>
      <c r="M16" s="169">
        <f ca="1">-IF(M9&gt;=Summary!$C$12+2,(M12*Summary!$C$49+'Rental - Annual Proforma'!M14*Summary!$C$55+'Rental - Annual Proforma'!M15*Summary!$C$49),0)</f>
        <v>-388940.93165170302</v>
      </c>
      <c r="N16" s="169">
        <f ca="1">-IF(N9&gt;=Summary!$C$12+2,(N12*Summary!$C$49+'Rental - Annual Proforma'!N14*Summary!$C$55+'Rental - Annual Proforma'!N15*Summary!$C$49),0)</f>
        <v>-402553.86425951263</v>
      </c>
      <c r="O16" s="169">
        <f ca="1">-IF(O9&gt;=Summary!$C$12+2,(O12*Summary!$C$49+'Rental - Annual Proforma'!O14*Summary!$C$55+'Rental - Annual Proforma'!O15*Summary!$C$49),0)</f>
        <v>-416643.24950859562</v>
      </c>
      <c r="P16" s="169">
        <f ca="1">-IF(P9&gt;=Summary!$C$12+2,(P12*Summary!$C$49+'Rental - Annual Proforma'!P14*Summary!$C$55+'Rental - Annual Proforma'!P15*Summary!$C$49),0)</f>
        <v>-431225.76324139634</v>
      </c>
      <c r="Q16" s="169">
        <f ca="1">-IF(Q9&gt;=Summary!$C$12+2,(Q12*Summary!$C$49+'Rental - Annual Proforma'!Q14*Summary!$C$55+'Rental - Annual Proforma'!Q15*Summary!$C$49),0)</f>
        <v>-446318.66495484521</v>
      </c>
      <c r="R16" s="169">
        <f ca="1">-IF(R9&gt;=Summary!$C$12+2,(R12*Summary!$C$49+'Rental - Annual Proforma'!R14*Summary!$C$55+'Rental - Annual Proforma'!R15*Summary!$C$49),0)</f>
        <v>-461939.8182282648</v>
      </c>
      <c r="S16" s="169">
        <f ca="1">-IF(S9&gt;=Summary!$C$12+2,(S12*Summary!$C$49+'Rental - Annual Proforma'!S14*Summary!$C$55+'Rental - Annual Proforma'!S15*Summary!$C$49),0)</f>
        <v>-478107.71186625405</v>
      </c>
      <c r="T16" s="166">
        <f ca="1">-IF(T9&gt;=Summary!$C$12+2,(T12*Summary!$C$49+'Rental - Annual Proforma'!T14*Summary!$C$55+'Rental - Annual Proforma'!T15*Summary!$C$49),0)</f>
        <v>-494841.48178157286</v>
      </c>
    </row>
    <row r="17" spans="2:20">
      <c r="B17" s="275" t="s">
        <v>311</v>
      </c>
      <c r="C17" s="276"/>
      <c r="D17" s="150"/>
      <c r="E17" s="277">
        <f t="shared" ref="E17:K17" si="4">SUM(E12:E16)</f>
        <v>0</v>
      </c>
      <c r="F17" s="277">
        <f t="shared" si="4"/>
        <v>0</v>
      </c>
      <c r="G17" s="277">
        <f t="shared" si="4"/>
        <v>0</v>
      </c>
      <c r="H17" s="277">
        <f t="shared" ca="1" si="4"/>
        <v>0</v>
      </c>
      <c r="I17" s="277">
        <f t="shared" ca="1" si="4"/>
        <v>698610.04333084775</v>
      </c>
      <c r="J17" s="277">
        <f t="shared" ca="1" si="4"/>
        <v>4114539.1347568366</v>
      </c>
      <c r="K17" s="277">
        <f t="shared" ca="1" si="4"/>
        <v>4963916.5445394143</v>
      </c>
      <c r="L17" s="277">
        <f t="shared" ref="L17:T17" ca="1" si="5">SUM(L12:L16)</f>
        <v>5137653.6235982915</v>
      </c>
      <c r="M17" s="277">
        <f t="shared" ca="1" si="5"/>
        <v>5317471.5004242314</v>
      </c>
      <c r="N17" s="277">
        <f t="shared" ca="1" si="5"/>
        <v>5503583.002939079</v>
      </c>
      <c r="O17" s="277">
        <f t="shared" ca="1" si="5"/>
        <v>5696208.4080419475</v>
      </c>
      <c r="P17" s="277">
        <f t="shared" ca="1" si="5"/>
        <v>5895575.7023234144</v>
      </c>
      <c r="Q17" s="277">
        <f t="shared" ca="1" si="5"/>
        <v>6101920.851904734</v>
      </c>
      <c r="R17" s="277">
        <f t="shared" ca="1" si="5"/>
        <v>6315488.0817214008</v>
      </c>
      <c r="S17" s="277">
        <f t="shared" ca="1" si="5"/>
        <v>6536530.164581649</v>
      </c>
      <c r="T17" s="278">
        <f t="shared" ca="1" si="5"/>
        <v>6765308.7203420047</v>
      </c>
    </row>
    <row r="18" spans="2:20">
      <c r="B18" s="269"/>
      <c r="C18" s="258"/>
      <c r="J18" s="270"/>
      <c r="T18" s="114"/>
    </row>
    <row r="19" spans="2:20">
      <c r="B19" s="271" t="s">
        <v>312</v>
      </c>
      <c r="C19" s="258"/>
      <c r="T19" s="114"/>
    </row>
    <row r="20" spans="2:20">
      <c r="B20" s="269" t="s">
        <v>350</v>
      </c>
      <c r="C20" s="259">
        <v>12325.021739130434</v>
      </c>
      <c r="D20" s="175"/>
      <c r="E20" s="270">
        <f ca="1">$J$20/$J$17*E17</f>
        <v>0</v>
      </c>
      <c r="F20" s="270">
        <f ca="1">$J$20/$J$17*F17</f>
        <v>0</v>
      </c>
      <c r="G20" s="270">
        <f ca="1">$J$20/$J$17*G17</f>
        <v>0</v>
      </c>
      <c r="H20" s="270">
        <f ca="1">$J$20/$J$17*H17</f>
        <v>0</v>
      </c>
      <c r="I20" s="270">
        <f ca="1">IF(Summary!$C$56="Yes",'421a'!$K$5,$J$20/$J$17*I17)</f>
        <v>192525.89400872236</v>
      </c>
      <c r="J20" s="169">
        <f>IF(Summary!$C$56="Yes",'421a'!$K$6,C20*Summary!$O$18)</f>
        <v>1133902</v>
      </c>
      <c r="K20" s="270">
        <f>J20*(1+Summary!$C$45)</f>
        <v>1173588.5699999998</v>
      </c>
      <c r="L20" s="270">
        <f>K20*(1+Summary!$C$45)</f>
        <v>1214664.1699499998</v>
      </c>
      <c r="M20" s="270">
        <f>L20*(1+Summary!$C$45)</f>
        <v>1257177.4158982497</v>
      </c>
      <c r="N20" s="270">
        <f>M20*(1+Summary!$C$45)</f>
        <v>1301178.6254546884</v>
      </c>
      <c r="O20" s="270">
        <f>N20*(1+Summary!$C$45)</f>
        <v>1346719.8773456025</v>
      </c>
      <c r="P20" s="270">
        <f>O20*(1+Summary!$C$45)</f>
        <v>1393855.0730526985</v>
      </c>
      <c r="Q20" s="270">
        <f>P20*(1+Summary!$C$45)</f>
        <v>1442640.0006095429</v>
      </c>
      <c r="R20" s="270">
        <f>Q20*(1+Summary!$C$45)</f>
        <v>1493132.4006308769</v>
      </c>
      <c r="S20" s="270">
        <f>R20*(1+Summary!$C$45)</f>
        <v>1545392.0346529575</v>
      </c>
      <c r="T20" s="140">
        <f>S20*(1+Summary!$C$45)</f>
        <v>1599480.7558658109</v>
      </c>
    </row>
    <row r="21" spans="2:20">
      <c r="B21" s="269" t="s">
        <v>222</v>
      </c>
      <c r="C21" s="259">
        <v>694.22</v>
      </c>
      <c r="E21" s="175">
        <f ca="1">F21/$J$17*$E$17</f>
        <v>0</v>
      </c>
      <c r="F21" s="175">
        <f ca="1">G21/$J$17*$F$17</f>
        <v>0</v>
      </c>
      <c r="G21" s="175">
        <f ca="1">H21/$J$17*$G$17</f>
        <v>0</v>
      </c>
      <c r="H21" s="270">
        <f ca="1">I21/$J$17*$H$17</f>
        <v>0</v>
      </c>
      <c r="I21" s="270">
        <f ca="1">J21/$J$17*$I$17</f>
        <v>10844.226401191323</v>
      </c>
      <c r="J21" s="169">
        <f>C21*Summary!$O$18</f>
        <v>63868.240000000005</v>
      </c>
      <c r="K21" s="270">
        <f>J21*(1+Summary!$C$45)</f>
        <v>66103.628400000001</v>
      </c>
      <c r="L21" s="270">
        <f>K21*(1+Summary!$C$45)</f>
        <v>68417.255393999993</v>
      </c>
      <c r="M21" s="270">
        <f>L21*(1+Summary!$C$45)</f>
        <v>70811.859332789987</v>
      </c>
      <c r="N21" s="270">
        <f>M21*(1+Summary!$C$45)</f>
        <v>73290.274409437625</v>
      </c>
      <c r="O21" s="270">
        <f>N21*(1+Summary!$C$45)</f>
        <v>75855.434013767939</v>
      </c>
      <c r="P21" s="270">
        <f>O21*(1+Summary!$C$45)</f>
        <v>78510.374204249805</v>
      </c>
      <c r="Q21" s="270">
        <f>P21*(1+Summary!$C$45)</f>
        <v>81258.237301398549</v>
      </c>
      <c r="R21" s="270">
        <f>Q21*(1+Summary!$C$45)</f>
        <v>84102.275606947485</v>
      </c>
      <c r="S21" s="270">
        <f>R21*(1+Summary!$C$45)</f>
        <v>87045.855253190646</v>
      </c>
      <c r="T21" s="140">
        <f>S21*(1+Summary!$C$45)</f>
        <v>90092.460187052318</v>
      </c>
    </row>
    <row r="22" spans="2:20">
      <c r="B22" s="269" t="s">
        <v>351</v>
      </c>
      <c r="C22" s="259">
        <v>1602.68</v>
      </c>
      <c r="E22" s="175">
        <f t="shared" ref="E22:E28" ca="1" si="6">F22/$J$17*$E$17</f>
        <v>0</v>
      </c>
      <c r="F22" s="175">
        <f t="shared" ref="F22:F28" ca="1" si="7">G22/$J$17*$F$17</f>
        <v>0</v>
      </c>
      <c r="G22" s="175">
        <f t="shared" ref="G22:G28" ca="1" si="8">H22/$J$17*$G$17</f>
        <v>0</v>
      </c>
      <c r="H22" s="270">
        <f t="shared" ref="H22:H28" ca="1" si="9">I22/$J$17*$H$17</f>
        <v>0</v>
      </c>
      <c r="I22" s="270">
        <f t="shared" ref="I22:I28" ca="1" si="10">J22/$J$17*$I$17</f>
        <v>25035.038991474328</v>
      </c>
      <c r="J22" s="169">
        <f>C22*Summary!$O$18</f>
        <v>147446.56</v>
      </c>
      <c r="K22" s="270">
        <f>J22*(1+Summary!$C$45)</f>
        <v>152607.18959999998</v>
      </c>
      <c r="L22" s="270">
        <f>K22*(1+Summary!$C$45)</f>
        <v>157948.44123599998</v>
      </c>
      <c r="M22" s="270">
        <f>L22*(1+Summary!$C$45)</f>
        <v>163476.63667925997</v>
      </c>
      <c r="N22" s="270">
        <f>M22*(1+Summary!$C$45)</f>
        <v>169198.31896303405</v>
      </c>
      <c r="O22" s="270">
        <f>N22*(1+Summary!$C$45)</f>
        <v>175120.26012674024</v>
      </c>
      <c r="P22" s="270">
        <f>O22*(1+Summary!$C$45)</f>
        <v>181249.46923117613</v>
      </c>
      <c r="Q22" s="270">
        <f>P22*(1+Summary!$C$45)</f>
        <v>187593.20065426728</v>
      </c>
      <c r="R22" s="270">
        <f>Q22*(1+Summary!$C$45)</f>
        <v>194158.96267716662</v>
      </c>
      <c r="S22" s="270">
        <f>R22*(1+Summary!$C$45)</f>
        <v>200954.52637086745</v>
      </c>
      <c r="T22" s="140">
        <f>S22*(1+Summary!$C$45)</f>
        <v>207987.93479384779</v>
      </c>
    </row>
    <row r="23" spans="2:20">
      <c r="B23" s="269" t="s">
        <v>185</v>
      </c>
      <c r="C23" s="259">
        <v>1335.91</v>
      </c>
      <c r="E23" s="175">
        <f t="shared" ca="1" si="6"/>
        <v>0</v>
      </c>
      <c r="F23" s="175">
        <f t="shared" ca="1" si="7"/>
        <v>0</v>
      </c>
      <c r="G23" s="175">
        <f t="shared" ca="1" si="8"/>
        <v>0</v>
      </c>
      <c r="H23" s="270">
        <f t="shared" ca="1" si="9"/>
        <v>0</v>
      </c>
      <c r="I23" s="270">
        <f t="shared" ca="1" si="10"/>
        <v>20867.895611788048</v>
      </c>
      <c r="J23" s="169">
        <f>C23*Summary!$O$18</f>
        <v>122903.72</v>
      </c>
      <c r="K23" s="270">
        <f>J23*(1+Summary!$C$45)</f>
        <v>127205.35019999999</v>
      </c>
      <c r="L23" s="270">
        <f>K23*(1+Summary!$C$45)</f>
        <v>131657.53745699997</v>
      </c>
      <c r="M23" s="270">
        <f>L23*(1+Summary!$C$45)</f>
        <v>136265.55126799495</v>
      </c>
      <c r="N23" s="270">
        <f>M23*(1+Summary!$C$45)</f>
        <v>141034.84556237477</v>
      </c>
      <c r="O23" s="270">
        <f>N23*(1+Summary!$C$45)</f>
        <v>145971.06515705789</v>
      </c>
      <c r="P23" s="270">
        <f>O23*(1+Summary!$C$45)</f>
        <v>151080.0524375549</v>
      </c>
      <c r="Q23" s="270">
        <f>P23*(1+Summary!$C$45)</f>
        <v>156367.8542728693</v>
      </c>
      <c r="R23" s="270">
        <f>Q23*(1+Summary!$C$45)</f>
        <v>161840.7291724197</v>
      </c>
      <c r="S23" s="270">
        <f>R23*(1+Summary!$C$45)</f>
        <v>167505.15469345439</v>
      </c>
      <c r="T23" s="140">
        <f>S23*(1+Summary!$C$45)</f>
        <v>173367.83510772529</v>
      </c>
    </row>
    <row r="24" spans="2:20">
      <c r="B24" s="269" t="s">
        <v>283</v>
      </c>
      <c r="C24" s="259">
        <v>427.45</v>
      </c>
      <c r="E24" s="175">
        <f t="shared" ca="1" si="6"/>
        <v>0</v>
      </c>
      <c r="F24" s="175">
        <f t="shared" ca="1" si="7"/>
        <v>0</v>
      </c>
      <c r="G24" s="175">
        <f t="shared" ca="1" si="8"/>
        <v>0</v>
      </c>
      <c r="H24" s="270">
        <f t="shared" ca="1" si="9"/>
        <v>0</v>
      </c>
      <c r="I24" s="270">
        <f t="shared" ca="1" si="10"/>
        <v>6677.0830215050428</v>
      </c>
      <c r="J24" s="169">
        <f>C24*Summary!$O$18</f>
        <v>39325.4</v>
      </c>
      <c r="K24" s="270">
        <f>J24*(1+Summary!$C$45)</f>
        <v>40701.788999999997</v>
      </c>
      <c r="L24" s="270">
        <f>K24*(1+Summary!$C$45)</f>
        <v>42126.351614999992</v>
      </c>
      <c r="M24" s="270">
        <f>L24*(1+Summary!$C$45)</f>
        <v>43600.773921524989</v>
      </c>
      <c r="N24" s="270">
        <f>M24*(1+Summary!$C$45)</f>
        <v>45126.801008778362</v>
      </c>
      <c r="O24" s="270">
        <f>N24*(1+Summary!$C$45)</f>
        <v>46706.239044085603</v>
      </c>
      <c r="P24" s="270">
        <f>O24*(1+Summary!$C$45)</f>
        <v>48340.957410628595</v>
      </c>
      <c r="Q24" s="270">
        <f>P24*(1+Summary!$C$45)</f>
        <v>50032.890920000595</v>
      </c>
      <c r="R24" s="270">
        <f>Q24*(1+Summary!$C$45)</f>
        <v>51784.042102200612</v>
      </c>
      <c r="S24" s="270">
        <f>R24*(1+Summary!$C$45)</f>
        <v>53596.483575777631</v>
      </c>
      <c r="T24" s="140">
        <f>S24*(1+Summary!$C$45)</f>
        <v>55472.360500929841</v>
      </c>
    </row>
    <row r="25" spans="2:20">
      <c r="B25" s="269" t="s">
        <v>352</v>
      </c>
      <c r="C25" s="259">
        <v>908.46</v>
      </c>
      <c r="E25" s="175">
        <f t="shared" ca="1" si="6"/>
        <v>0</v>
      </c>
      <c r="F25" s="175">
        <f t="shared" ca="1" si="7"/>
        <v>0</v>
      </c>
      <c r="G25" s="175">
        <f t="shared" ca="1" si="8"/>
        <v>0</v>
      </c>
      <c r="H25" s="270">
        <f t="shared" ca="1" si="9"/>
        <v>0</v>
      </c>
      <c r="I25" s="270">
        <f t="shared" ca="1" si="10"/>
        <v>14190.812590283005</v>
      </c>
      <c r="J25" s="169">
        <f>C25*Summary!$O$18</f>
        <v>83578.320000000007</v>
      </c>
      <c r="K25" s="270">
        <f>J25*(1+Summary!$C$45)</f>
        <v>86503.561199999996</v>
      </c>
      <c r="L25" s="270">
        <f>K25*(1+Summary!$C$45)</f>
        <v>89531.185841999992</v>
      </c>
      <c r="M25" s="270">
        <f>L25*(1+Summary!$C$45)</f>
        <v>92664.777346469986</v>
      </c>
      <c r="N25" s="270">
        <f>M25*(1+Summary!$C$45)</f>
        <v>95908.044553596425</v>
      </c>
      <c r="O25" s="270">
        <f>N25*(1+Summary!$C$45)</f>
        <v>99264.826112972296</v>
      </c>
      <c r="P25" s="270">
        <f>O25*(1+Summary!$C$45)</f>
        <v>102739.09502692631</v>
      </c>
      <c r="Q25" s="270">
        <f>P25*(1+Summary!$C$45)</f>
        <v>106334.96335286873</v>
      </c>
      <c r="R25" s="270">
        <f>Q25*(1+Summary!$C$45)</f>
        <v>110056.68707021912</v>
      </c>
      <c r="S25" s="270">
        <f>R25*(1+Summary!$C$45)</f>
        <v>113908.67111767679</v>
      </c>
      <c r="T25" s="140">
        <f>S25*(1+Summary!$C$45)</f>
        <v>117895.47460679547</v>
      </c>
    </row>
    <row r="26" spans="2:20">
      <c r="B26" s="269" t="s">
        <v>353</v>
      </c>
      <c r="C26" s="259">
        <v>266.77</v>
      </c>
      <c r="E26" s="175">
        <f t="shared" ca="1" si="6"/>
        <v>0</v>
      </c>
      <c r="F26" s="175">
        <f t="shared" ca="1" si="7"/>
        <v>0</v>
      </c>
      <c r="G26" s="175">
        <f t="shared" ca="1" si="8"/>
        <v>0</v>
      </c>
      <c r="H26" s="270">
        <f t="shared" ca="1" si="9"/>
        <v>0</v>
      </c>
      <c r="I26" s="270">
        <f t="shared" ca="1" si="10"/>
        <v>4167.1433796862784</v>
      </c>
      <c r="J26" s="169">
        <f>C26*Summary!$O$18</f>
        <v>24542.839999999997</v>
      </c>
      <c r="K26" s="270">
        <f>J26*(1+Summary!$C$45)</f>
        <v>25401.839399999993</v>
      </c>
      <c r="L26" s="270">
        <f>K26*(1+Summary!$C$45)</f>
        <v>26290.903778999993</v>
      </c>
      <c r="M26" s="270">
        <f>L26*(1+Summary!$C$45)</f>
        <v>27211.08541126499</v>
      </c>
      <c r="N26" s="270">
        <f>M26*(1+Summary!$C$45)</f>
        <v>28163.473400659263</v>
      </c>
      <c r="O26" s="270">
        <f>N26*(1+Summary!$C$45)</f>
        <v>29149.194969682336</v>
      </c>
      <c r="P26" s="270">
        <f>O26*(1+Summary!$C$45)</f>
        <v>30169.416793621214</v>
      </c>
      <c r="Q26" s="270">
        <f>P26*(1+Summary!$C$45)</f>
        <v>31225.346381397954</v>
      </c>
      <c r="R26" s="270">
        <f>Q26*(1+Summary!$C$45)</f>
        <v>32318.23350474688</v>
      </c>
      <c r="S26" s="270">
        <f>R26*(1+Summary!$C$45)</f>
        <v>33449.371677413015</v>
      </c>
      <c r="T26" s="140">
        <f>S26*(1+Summary!$C$45)</f>
        <v>34620.09968612247</v>
      </c>
    </row>
    <row r="27" spans="2:20">
      <c r="B27" s="269" t="s">
        <v>354</v>
      </c>
      <c r="C27" s="259">
        <v>213.21</v>
      </c>
      <c r="E27" s="175">
        <f t="shared" ca="1" si="6"/>
        <v>0</v>
      </c>
      <c r="F27" s="175">
        <f t="shared" ca="1" si="7"/>
        <v>0</v>
      </c>
      <c r="G27" s="175">
        <f t="shared" ca="1" si="8"/>
        <v>0</v>
      </c>
      <c r="H27" s="270">
        <f t="shared" ca="1" si="9"/>
        <v>0</v>
      </c>
      <c r="I27" s="270">
        <f t="shared" ca="1" si="10"/>
        <v>3330.4968324133579</v>
      </c>
      <c r="J27" s="169">
        <f>C27*Summary!$O$18</f>
        <v>19615.32</v>
      </c>
      <c r="K27" s="270">
        <f>J27*(1+Summary!$C$45)</f>
        <v>20301.856199999998</v>
      </c>
      <c r="L27" s="270">
        <f>K27*(1+Summary!$C$45)</f>
        <v>21012.421166999997</v>
      </c>
      <c r="M27" s="270">
        <f>L27*(1+Summary!$C$45)</f>
        <v>21747.855907844994</v>
      </c>
      <c r="N27" s="270">
        <f>M27*(1+Summary!$C$45)</f>
        <v>22509.030864619566</v>
      </c>
      <c r="O27" s="270">
        <f>N27*(1+Summary!$C$45)</f>
        <v>23296.84694488125</v>
      </c>
      <c r="P27" s="270">
        <f>O27*(1+Summary!$C$45)</f>
        <v>24112.236587952091</v>
      </c>
      <c r="Q27" s="270">
        <f>P27*(1+Summary!$C$45)</f>
        <v>24956.164868530414</v>
      </c>
      <c r="R27" s="270">
        <f>Q27*(1+Summary!$C$45)</f>
        <v>25829.630638928975</v>
      </c>
      <c r="S27" s="270">
        <f>R27*(1+Summary!$C$45)</f>
        <v>26733.667711291488</v>
      </c>
      <c r="T27" s="140">
        <f>S27*(1+Summary!$C$45)</f>
        <v>27669.346081186686</v>
      </c>
    </row>
    <row r="28" spans="2:20">
      <c r="B28" s="269" t="s">
        <v>355</v>
      </c>
      <c r="C28" s="259">
        <v>218.36</v>
      </c>
      <c r="E28" s="175">
        <f t="shared" ca="1" si="6"/>
        <v>0</v>
      </c>
      <c r="F28" s="175">
        <f t="shared" ca="1" si="7"/>
        <v>0</v>
      </c>
      <c r="G28" s="175">
        <f t="shared" ca="1" si="8"/>
        <v>0</v>
      </c>
      <c r="H28" s="270">
        <f t="shared" ca="1" si="9"/>
        <v>0</v>
      </c>
      <c r="I28" s="270">
        <f t="shared" ca="1" si="10"/>
        <v>3410.9436158049862</v>
      </c>
      <c r="J28" s="169">
        <f>C28*Summary!$O$18</f>
        <v>20089.120000000003</v>
      </c>
      <c r="K28" s="270">
        <f>J28*(1+Summary!$C$45)</f>
        <v>20792.2392</v>
      </c>
      <c r="L28" s="270">
        <f>K28*(1+Summary!$C$45)</f>
        <v>21519.967571999998</v>
      </c>
      <c r="M28" s="270">
        <f>L28*(1+Summary!$C$45)</f>
        <v>22273.166437019994</v>
      </c>
      <c r="N28" s="270">
        <f>M28*(1+Summary!$C$45)</f>
        <v>23052.727262315693</v>
      </c>
      <c r="O28" s="270">
        <f>N28*(1+Summary!$C$45)</f>
        <v>23859.572716496739</v>
      </c>
      <c r="P28" s="270">
        <f>O28*(1+Summary!$C$45)</f>
        <v>24694.657761574123</v>
      </c>
      <c r="Q28" s="270">
        <f>P28*(1+Summary!$C$45)</f>
        <v>25558.970783229215</v>
      </c>
      <c r="R28" s="270">
        <f>Q28*(1+Summary!$C$45)</f>
        <v>26453.534760642237</v>
      </c>
      <c r="S28" s="270">
        <f>R28*(1+Summary!$C$45)</f>
        <v>27379.408477264711</v>
      </c>
      <c r="T28" s="140">
        <f>S28*(1+Summary!$C$45)</f>
        <v>28337.687773968973</v>
      </c>
    </row>
    <row r="29" spans="2:20">
      <c r="B29" s="269" t="s">
        <v>313</v>
      </c>
      <c r="C29" s="260">
        <v>0.03</v>
      </c>
      <c r="E29" s="169">
        <f t="shared" ref="E29:T29" si="11">$C$29*E17</f>
        <v>0</v>
      </c>
      <c r="F29" s="169">
        <f t="shared" si="11"/>
        <v>0</v>
      </c>
      <c r="G29" s="169">
        <f t="shared" si="11"/>
        <v>0</v>
      </c>
      <c r="H29" s="169">
        <f t="shared" ca="1" si="11"/>
        <v>0</v>
      </c>
      <c r="I29" s="169">
        <f t="shared" ca="1" si="11"/>
        <v>20958.301299925432</v>
      </c>
      <c r="J29" s="169">
        <f t="shared" ca="1" si="11"/>
        <v>123436.1740427051</v>
      </c>
      <c r="K29" s="169">
        <f t="shared" ca="1" si="11"/>
        <v>148917.49633618243</v>
      </c>
      <c r="L29" s="169">
        <f t="shared" ca="1" si="11"/>
        <v>154129.60870794873</v>
      </c>
      <c r="M29" s="169">
        <f t="shared" ca="1" si="11"/>
        <v>159524.14501272695</v>
      </c>
      <c r="N29" s="169">
        <f t="shared" ca="1" si="11"/>
        <v>165107.49008817237</v>
      </c>
      <c r="O29" s="169">
        <f t="shared" ca="1" si="11"/>
        <v>170886.25224125842</v>
      </c>
      <c r="P29" s="169">
        <f t="shared" ca="1" si="11"/>
        <v>176867.27106970243</v>
      </c>
      <c r="Q29" s="169">
        <f t="shared" ca="1" si="11"/>
        <v>183057.62555714202</v>
      </c>
      <c r="R29" s="169">
        <f t="shared" ca="1" si="11"/>
        <v>189464.64245164202</v>
      </c>
      <c r="S29" s="169">
        <f t="shared" ca="1" si="11"/>
        <v>196095.90493744946</v>
      </c>
      <c r="T29" s="166">
        <f t="shared" ca="1" si="11"/>
        <v>202959.26161026015</v>
      </c>
    </row>
    <row r="30" spans="2:20">
      <c r="B30" s="269" t="s">
        <v>356</v>
      </c>
      <c r="C30" s="259">
        <v>107.12</v>
      </c>
      <c r="E30" s="175">
        <f ca="1">F30/$J$17*$E$17</f>
        <v>0</v>
      </c>
      <c r="F30" s="175">
        <f ca="1">G30/$J$17*$F$17</f>
        <v>0</v>
      </c>
      <c r="G30" s="175">
        <f ca="1">H30/$J$17*$G$17</f>
        <v>0</v>
      </c>
      <c r="H30" s="270">
        <f ca="1">I30/$J$17*$H$17</f>
        <v>0</v>
      </c>
      <c r="I30" s="270">
        <f ca="1">J30/$J$17*$I$17</f>
        <v>1673.2930945458422</v>
      </c>
      <c r="J30" s="169">
        <f>C30*Summary!$O$18</f>
        <v>9855.0400000000009</v>
      </c>
      <c r="K30" s="270">
        <f>J30*(1+Summary!$C$45)</f>
        <v>10199.966399999999</v>
      </c>
      <c r="L30" s="270">
        <f>K30*(1+Summary!$C$45)</f>
        <v>10556.965223999998</v>
      </c>
      <c r="M30" s="270">
        <f>L30*(1+Summary!$C$45)</f>
        <v>10926.459006839998</v>
      </c>
      <c r="N30" s="270">
        <f>M30*(1+Summary!$C$45)</f>
        <v>11308.885072079396</v>
      </c>
      <c r="O30" s="270">
        <f>N30*(1+Summary!$C$45)</f>
        <v>11704.696049602175</v>
      </c>
      <c r="P30" s="270">
        <f>O30*(1+Summary!$C$45)</f>
        <v>12114.36041133825</v>
      </c>
      <c r="Q30" s="270">
        <f>P30*(1+Summary!$C$45)</f>
        <v>12538.363025735087</v>
      </c>
      <c r="R30" s="270">
        <f>Q30*(1+Summary!$C$45)</f>
        <v>12977.205731635813</v>
      </c>
      <c r="S30" s="270">
        <f>R30*(1+Summary!$C$45)</f>
        <v>13431.407932243066</v>
      </c>
      <c r="T30" s="140">
        <f>S30*(1+Summary!$C$45)</f>
        <v>13901.507209871572</v>
      </c>
    </row>
    <row r="31" spans="2:20">
      <c r="B31" s="275" t="s">
        <v>357</v>
      </c>
      <c r="C31" s="276"/>
      <c r="D31" s="150"/>
      <c r="E31" s="279">
        <f t="shared" ref="E31:J31" ca="1" si="12">SUM(E20:E30)</f>
        <v>0</v>
      </c>
      <c r="F31" s="279">
        <f t="shared" ca="1" si="12"/>
        <v>0</v>
      </c>
      <c r="G31" s="279">
        <f t="shared" ca="1" si="12"/>
        <v>0</v>
      </c>
      <c r="H31" s="277">
        <f t="shared" ca="1" si="12"/>
        <v>0</v>
      </c>
      <c r="I31" s="277">
        <f t="shared" ca="1" si="12"/>
        <v>303681.12884734006</v>
      </c>
      <c r="J31" s="277">
        <f t="shared" ca="1" si="12"/>
        <v>1788562.7340427055</v>
      </c>
      <c r="K31" s="277">
        <f t="shared" ref="K31:T31" ca="1" si="13">SUM(K20:K30)</f>
        <v>1872323.4859361821</v>
      </c>
      <c r="L31" s="277">
        <f t="shared" ca="1" si="13"/>
        <v>1937854.8079439488</v>
      </c>
      <c r="M31" s="277">
        <f t="shared" ca="1" si="13"/>
        <v>2005679.7262219868</v>
      </c>
      <c r="N31" s="277">
        <f t="shared" ca="1" si="13"/>
        <v>2075878.516639756</v>
      </c>
      <c r="O31" s="277">
        <f t="shared" ca="1" si="13"/>
        <v>2148534.264722147</v>
      </c>
      <c r="P31" s="277">
        <f t="shared" ca="1" si="13"/>
        <v>2223732.9639874222</v>
      </c>
      <c r="Q31" s="277">
        <f t="shared" ca="1" si="13"/>
        <v>2301563.6177269816</v>
      </c>
      <c r="R31" s="277">
        <f t="shared" ca="1" si="13"/>
        <v>2382118.3443474267</v>
      </c>
      <c r="S31" s="277">
        <f t="shared" ca="1" si="13"/>
        <v>2465492.4863995863</v>
      </c>
      <c r="T31" s="278">
        <f t="shared" ca="1" si="13"/>
        <v>2551784.7234235713</v>
      </c>
    </row>
    <row r="32" spans="2:20">
      <c r="B32" s="272" t="s">
        <v>290</v>
      </c>
      <c r="C32" s="258"/>
      <c r="E32" s="290" t="str">
        <f ca="1">IFERROR(E31/E17," ")</f>
        <v xml:space="preserve"> </v>
      </c>
      <c r="F32" s="290" t="str">
        <f ca="1">IFERROR(F31/F17," ")</f>
        <v xml:space="preserve"> </v>
      </c>
      <c r="G32" s="290" t="str">
        <f ca="1">IFERROR(G31/G17," ")</f>
        <v xml:space="preserve"> </v>
      </c>
      <c r="H32" s="290" t="str">
        <f ca="1">IFERROR(H31/H17," ")</f>
        <v xml:space="preserve"> </v>
      </c>
      <c r="I32" s="290">
        <f ca="1">IFERROR(I31/I17," ")</f>
        <v>0.43469333392265985</v>
      </c>
      <c r="J32" s="290">
        <f t="shared" ref="J32:T32" ca="1" si="14">IFERROR(J31/J17," ")</f>
        <v>0.43469333392265985</v>
      </c>
      <c r="K32" s="290">
        <f t="shared" ca="1" si="14"/>
        <v>0.37718673735476932</v>
      </c>
      <c r="L32" s="290">
        <f t="shared" ca="1" si="14"/>
        <v>0.37718673735476954</v>
      </c>
      <c r="M32" s="290">
        <f t="shared" ca="1" si="14"/>
        <v>0.37718673735476954</v>
      </c>
      <c r="N32" s="290">
        <f t="shared" ca="1" si="14"/>
        <v>0.37718673735476949</v>
      </c>
      <c r="O32" s="290">
        <f t="shared" ca="1" si="14"/>
        <v>0.37718673735476937</v>
      </c>
      <c r="P32" s="290">
        <f t="shared" ca="1" si="14"/>
        <v>0.37718673735476943</v>
      </c>
      <c r="Q32" s="290">
        <f t="shared" ca="1" si="14"/>
        <v>0.37718673735476937</v>
      </c>
      <c r="R32" s="290">
        <f t="shared" ca="1" si="14"/>
        <v>0.37718673735476943</v>
      </c>
      <c r="S32" s="290">
        <f t="shared" ca="1" si="14"/>
        <v>0.37718673735476943</v>
      </c>
      <c r="T32" s="291">
        <f t="shared" ca="1" si="14"/>
        <v>0.37718673735476949</v>
      </c>
    </row>
    <row r="33" spans="2:20">
      <c r="B33" s="269"/>
      <c r="C33" s="258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140"/>
    </row>
    <row r="34" spans="2:20">
      <c r="B34" s="275" t="s">
        <v>314</v>
      </c>
      <c r="C34" s="276"/>
      <c r="D34" s="150"/>
      <c r="E34" s="150"/>
      <c r="F34" s="150"/>
      <c r="G34" s="150"/>
      <c r="H34" s="280">
        <f ca="1">H17-H31</f>
        <v>0</v>
      </c>
      <c r="I34" s="280">
        <f ca="1">I17-I31</f>
        <v>394928.91448350769</v>
      </c>
      <c r="J34" s="280">
        <f ca="1">J17-J31</f>
        <v>2325976.4007141311</v>
      </c>
      <c r="K34" s="280">
        <f t="shared" ref="K34:T34" ca="1" si="15">K17-K31</f>
        <v>3091593.0586032323</v>
      </c>
      <c r="L34" s="280">
        <f t="shared" ca="1" si="15"/>
        <v>3199798.815654343</v>
      </c>
      <c r="M34" s="280">
        <f t="shared" ca="1" si="15"/>
        <v>3311791.7742022444</v>
      </c>
      <c r="N34" s="280">
        <f t="shared" ca="1" si="15"/>
        <v>3427704.4862993229</v>
      </c>
      <c r="O34" s="280">
        <f t="shared" ca="1" si="15"/>
        <v>3547674.1433198005</v>
      </c>
      <c r="P34" s="280">
        <f t="shared" ca="1" si="15"/>
        <v>3671842.7383359922</v>
      </c>
      <c r="Q34" s="280">
        <f t="shared" ca="1" si="15"/>
        <v>3800357.2341777524</v>
      </c>
      <c r="R34" s="280">
        <f t="shared" ca="1" si="15"/>
        <v>3933369.7373739742</v>
      </c>
      <c r="S34" s="280">
        <f t="shared" ca="1" si="15"/>
        <v>4071037.6781820627</v>
      </c>
      <c r="T34" s="145">
        <f t="shared" ca="1" si="15"/>
        <v>4213523.9969184333</v>
      </c>
    </row>
    <row r="35" spans="2:20">
      <c r="B35" s="269" t="s">
        <v>358</v>
      </c>
      <c r="C35" s="259">
        <v>155</v>
      </c>
      <c r="E35" s="175">
        <f ca="1">F35/$J$17*$E$17</f>
        <v>0</v>
      </c>
      <c r="F35" s="175">
        <f ca="1">G35/$J$17*$F$17</f>
        <v>0</v>
      </c>
      <c r="G35" s="175">
        <f ca="1">H35/$J$17*$G$17</f>
        <v>0</v>
      </c>
      <c r="H35" s="270">
        <f ca="1">I35/$J$17*$H$17</f>
        <v>0</v>
      </c>
      <c r="I35" s="270">
        <f ca="1">J35/$J$17*$I$17</f>
        <v>2421.213869068386</v>
      </c>
      <c r="J35" s="169">
        <f>C35*Summary!$O$18</f>
        <v>14260</v>
      </c>
      <c r="K35" s="270">
        <f>J35*(1+Summary!$C$45)</f>
        <v>14759.099999999999</v>
      </c>
      <c r="L35" s="270">
        <f>K35*(1+Summary!$C$45)</f>
        <v>15275.668499999998</v>
      </c>
      <c r="M35" s="270">
        <f>L35*(1+Summary!$C$45)</f>
        <v>15810.316897499997</v>
      </c>
      <c r="N35" s="270">
        <f>M35*(1+Summary!$C$45)</f>
        <v>16363.677988912495</v>
      </c>
      <c r="O35" s="270">
        <f>N35*(1+Summary!$C$45)</f>
        <v>16936.406718524431</v>
      </c>
      <c r="P35" s="270">
        <f>O35*(1+Summary!$C$45)</f>
        <v>17529.180953672785</v>
      </c>
      <c r="Q35" s="270">
        <f>P35*(1+Summary!$C$45)</f>
        <v>18142.702287051332</v>
      </c>
      <c r="R35" s="270">
        <f>Q35*(1+Summary!$C$45)</f>
        <v>18777.696867098126</v>
      </c>
      <c r="S35" s="270">
        <f>R35*(1+Summary!$C$45)</f>
        <v>19434.916257446559</v>
      </c>
      <c r="T35" s="140">
        <f>S35*(1+Summary!$C$45)</f>
        <v>20115.138326457189</v>
      </c>
    </row>
    <row r="36" spans="2:20">
      <c r="B36" s="269" t="s">
        <v>359</v>
      </c>
      <c r="C36" s="261">
        <v>5.0000000000000001E-3</v>
      </c>
      <c r="E36" s="169">
        <f t="shared" ref="E36:J36" si="16">$C$36*E17</f>
        <v>0</v>
      </c>
      <c r="F36" s="169">
        <f t="shared" si="16"/>
        <v>0</v>
      </c>
      <c r="G36" s="169">
        <f t="shared" si="16"/>
        <v>0</v>
      </c>
      <c r="H36" s="169">
        <f t="shared" ca="1" si="16"/>
        <v>0</v>
      </c>
      <c r="I36" s="169">
        <f t="shared" ca="1" si="16"/>
        <v>3493.0502166542387</v>
      </c>
      <c r="J36" s="169">
        <f t="shared" ca="1" si="16"/>
        <v>20572.695673784183</v>
      </c>
      <c r="K36" s="169">
        <f t="shared" ref="K36:T36" ca="1" si="17">$C$36*K17</f>
        <v>24819.582722697072</v>
      </c>
      <c r="L36" s="169">
        <f t="shared" ca="1" si="17"/>
        <v>25688.268117991458</v>
      </c>
      <c r="M36" s="169">
        <f t="shared" ca="1" si="17"/>
        <v>26587.357502121158</v>
      </c>
      <c r="N36" s="169">
        <f t="shared" ca="1" si="17"/>
        <v>27517.915014695394</v>
      </c>
      <c r="O36" s="169">
        <f t="shared" ca="1" si="17"/>
        <v>28481.042040209737</v>
      </c>
      <c r="P36" s="169">
        <f t="shared" ca="1" si="17"/>
        <v>29477.878511617073</v>
      </c>
      <c r="Q36" s="169">
        <f t="shared" ca="1" si="17"/>
        <v>30509.604259523672</v>
      </c>
      <c r="R36" s="169">
        <f t="shared" ca="1" si="17"/>
        <v>31577.440408607006</v>
      </c>
      <c r="S36" s="169">
        <f t="shared" ca="1" si="17"/>
        <v>32682.650822908246</v>
      </c>
      <c r="T36" s="166">
        <f t="shared" ca="1" si="17"/>
        <v>33826.543601710022</v>
      </c>
    </row>
    <row r="37" spans="2:20">
      <c r="B37" s="269"/>
      <c r="C37" s="258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140"/>
    </row>
    <row r="38" spans="2:20">
      <c r="B38" s="275" t="s">
        <v>361</v>
      </c>
      <c r="C38" s="276"/>
      <c r="D38" s="150"/>
      <c r="E38" s="280">
        <f t="shared" ref="E38:J38" ca="1" si="18">E34-SUM(E35:E36)</f>
        <v>0</v>
      </c>
      <c r="F38" s="280">
        <f t="shared" ca="1" si="18"/>
        <v>0</v>
      </c>
      <c r="G38" s="280">
        <f t="shared" ca="1" si="18"/>
        <v>0</v>
      </c>
      <c r="H38" s="280">
        <f t="shared" ca="1" si="18"/>
        <v>0</v>
      </c>
      <c r="I38" s="280">
        <f t="shared" ca="1" si="18"/>
        <v>389014.65039778507</v>
      </c>
      <c r="J38" s="280">
        <f t="shared" ca="1" si="18"/>
        <v>2291143.7050403468</v>
      </c>
      <c r="K38" s="280">
        <f t="shared" ref="K38:T38" ca="1" si="19">K34-SUM(K35:K36)</f>
        <v>3052014.3758805352</v>
      </c>
      <c r="L38" s="280">
        <f t="shared" ca="1" si="19"/>
        <v>3158834.8790363516</v>
      </c>
      <c r="M38" s="280">
        <f t="shared" ca="1" si="19"/>
        <v>3269394.099802623</v>
      </c>
      <c r="N38" s="280">
        <f t="shared" ca="1" si="19"/>
        <v>3383822.8932957151</v>
      </c>
      <c r="O38" s="280">
        <f t="shared" ca="1" si="19"/>
        <v>3502256.6945610661</v>
      </c>
      <c r="P38" s="280">
        <f t="shared" ca="1" si="19"/>
        <v>3624835.6788707022</v>
      </c>
      <c r="Q38" s="280">
        <f t="shared" ca="1" si="19"/>
        <v>3751704.9276311775</v>
      </c>
      <c r="R38" s="280">
        <f t="shared" ca="1" si="19"/>
        <v>3883014.6000982691</v>
      </c>
      <c r="S38" s="280">
        <f t="shared" ca="1" si="19"/>
        <v>4018920.1111017079</v>
      </c>
      <c r="T38" s="145">
        <f t="shared" ca="1" si="19"/>
        <v>4159582.3149902662</v>
      </c>
    </row>
    <row r="39" spans="2:20">
      <c r="B39" s="272" t="s">
        <v>285</v>
      </c>
      <c r="C39" s="258"/>
      <c r="E39" s="290" t="str">
        <f ca="1">IFERROR(E38/E17," ")</f>
        <v xml:space="preserve"> </v>
      </c>
      <c r="F39" s="290" t="str">
        <f ca="1">IFERROR(F38/F17," ")</f>
        <v xml:space="preserve"> </v>
      </c>
      <c r="G39" s="290" t="str">
        <f ca="1">IFERROR(G38/G17," ")</f>
        <v xml:space="preserve"> </v>
      </c>
      <c r="H39" s="290" t="str">
        <f ca="1">IFERROR(H38/H17," ")</f>
        <v xml:space="preserve"> </v>
      </c>
      <c r="I39" s="290">
        <f ca="1">IFERROR(I38/I17," ")</f>
        <v>0.55684090732940628</v>
      </c>
      <c r="J39" s="290">
        <f t="shared" ref="J39:T39" ca="1" si="20">IFERROR(J38/J17," ")</f>
        <v>0.55684090732940617</v>
      </c>
      <c r="K39" s="290">
        <f t="shared" ca="1" si="20"/>
        <v>0.61483998542197926</v>
      </c>
      <c r="L39" s="290">
        <f t="shared" ca="1" si="20"/>
        <v>0.61483998542197904</v>
      </c>
      <c r="M39" s="290">
        <f t="shared" ca="1" si="20"/>
        <v>0.61483998542197893</v>
      </c>
      <c r="N39" s="290">
        <f t="shared" ca="1" si="20"/>
        <v>0.61483998542197904</v>
      </c>
      <c r="O39" s="290">
        <f t="shared" ca="1" si="20"/>
        <v>0.61483998542197915</v>
      </c>
      <c r="P39" s="290">
        <f t="shared" ca="1" si="20"/>
        <v>0.61483998542197904</v>
      </c>
      <c r="Q39" s="290">
        <f t="shared" ca="1" si="20"/>
        <v>0.61483998542197915</v>
      </c>
      <c r="R39" s="290">
        <f t="shared" ca="1" si="20"/>
        <v>0.61483998542197915</v>
      </c>
      <c r="S39" s="290">
        <f t="shared" ca="1" si="20"/>
        <v>0.61483998542197915</v>
      </c>
      <c r="T39" s="291">
        <f t="shared" ca="1" si="20"/>
        <v>0.61483998542197915</v>
      </c>
    </row>
    <row r="40" spans="2:20">
      <c r="B40" s="269"/>
      <c r="C40" s="258"/>
      <c r="T40" s="114"/>
    </row>
    <row r="41" spans="2:20">
      <c r="B41" s="268" t="s">
        <v>315</v>
      </c>
      <c r="C41" s="258"/>
      <c r="T41" s="114"/>
    </row>
    <row r="42" spans="2:20">
      <c r="B42" s="273" t="s">
        <v>321</v>
      </c>
      <c r="C42" s="258"/>
      <c r="T42" s="114"/>
    </row>
    <row r="43" spans="2:20">
      <c r="B43" s="269" t="s">
        <v>316</v>
      </c>
      <c r="C43" s="262">
        <f>J43/139</f>
        <v>57348.192765955013</v>
      </c>
      <c r="H43" s="169" cm="1">
        <f t="array" ref="H43">(AVERAGE(IF(('Construction Schedule'!$AW$7:$CB$7&gt;='Rental - Annual Proforma'!G8)*('Construction Schedule'!$AW$7:$CB$7&lt;'Rental - Annual Proforma'!H8),'Construction Schedule'!$AW$97:$CB$97)))*Summary!$S$11*(1+Summary!$C$42)^H9</f>
        <v>0</v>
      </c>
      <c r="I43" s="169" cm="1">
        <f t="array" ref="I43">(AVERAGE(IF(('Construction Schedule'!$AW$7:$CB$7&gt;='Rental - Annual Proforma'!H8)*('Construction Schedule'!$AW$7:$CB$7&lt;'Rental - Annual Proforma'!I8),'Construction Schedule'!$AW$97:$CB$97)))*Summary!$S$11*(1+Summary!$C$42)^I9</f>
        <v>919346.04142616957</v>
      </c>
      <c r="J43" s="169" cm="1">
        <f t="array" ref="J43">(AVERAGE(IF(('Construction Schedule'!$AW$7:$CB$7&gt;='Rental - Annual Proforma'!I8)*('Construction Schedule'!$AW$7:$CB$7&lt;'Rental - Annual Proforma'!J8),'Construction Schedule'!$AW$97:$CB$97)))*Summary!$S$11*(1+Summary!$C$42)^J9</f>
        <v>7971398.7944677472</v>
      </c>
      <c r="K43" s="270">
        <f>Summary!$S$11*(1+Summary!$C$42)^K9*(1-Summary!$C$50)</f>
        <v>10303430.650947085</v>
      </c>
      <c r="L43" s="270">
        <f>Summary!$S$11*(1+Summary!$C$42)^L9*(1-Summary!$C$50)</f>
        <v>10612533.570475496</v>
      </c>
      <c r="M43" s="270">
        <f>Summary!$S$11*(1+Summary!$C$42)^M9*(1-Summary!$C$50)</f>
        <v>10930909.577589761</v>
      </c>
      <c r="N43" s="270">
        <f>Summary!$S$11*(1+Summary!$C$42)^N9*(1-Summary!$C$50)</f>
        <v>11258836.864917453</v>
      </c>
      <c r="O43" s="270">
        <f>Summary!$S$11*(1+Summary!$C$42)^O9*(1-Summary!$C$50)</f>
        <v>11596601.970864978</v>
      </c>
      <c r="P43" s="270">
        <f>Summary!$S$11*(1+Summary!$C$42)^P9*(1-Summary!$C$50)</f>
        <v>11944500.029990926</v>
      </c>
      <c r="Q43" s="270">
        <f>Summary!$S$11*(1+Summary!$C$42)^Q9*(1-Summary!$C$50)</f>
        <v>12302835.030890653</v>
      </c>
      <c r="R43" s="270">
        <f>Summary!$S$11*(1+Summary!$C$42)^R9*(1-Summary!$C$50)</f>
        <v>12671920.081817374</v>
      </c>
      <c r="S43" s="270">
        <f>Summary!$S$11*(1+Summary!$C$42)^S9*(1-Summary!$C$50)</f>
        <v>13052077.684271896</v>
      </c>
      <c r="T43" s="140">
        <f>Summary!$S$11*(1+Summary!$C$42)^T9*(1-Summary!$C$50)</f>
        <v>13443640.014800049</v>
      </c>
    </row>
    <row r="44" spans="2:20">
      <c r="B44" s="269" t="s">
        <v>317</v>
      </c>
      <c r="C44" s="263">
        <v>8.3000000000000004E-2</v>
      </c>
      <c r="H44" s="270">
        <f>$C$44*H43</f>
        <v>0</v>
      </c>
      <c r="I44" s="270">
        <f t="shared" ref="I44:T44" si="21">$C$44*I43</f>
        <v>76305.721438372071</v>
      </c>
      <c r="J44" s="270">
        <f t="shared" si="21"/>
        <v>661626.09994082304</v>
      </c>
      <c r="K44" s="270">
        <f t="shared" si="21"/>
        <v>855184.74402860808</v>
      </c>
      <c r="L44" s="270">
        <f t="shared" si="21"/>
        <v>880840.28634946619</v>
      </c>
      <c r="M44" s="270">
        <f t="shared" si="21"/>
        <v>907265.49493995029</v>
      </c>
      <c r="N44" s="270">
        <f t="shared" si="21"/>
        <v>934483.45978814864</v>
      </c>
      <c r="O44" s="270">
        <f t="shared" si="21"/>
        <v>962517.96358179324</v>
      </c>
      <c r="P44" s="270">
        <f t="shared" si="21"/>
        <v>991393.50248924689</v>
      </c>
      <c r="Q44" s="270">
        <f t="shared" si="21"/>
        <v>1021135.3075639242</v>
      </c>
      <c r="R44" s="270">
        <f t="shared" si="21"/>
        <v>1051769.366790842</v>
      </c>
      <c r="S44" s="270">
        <f t="shared" si="21"/>
        <v>1083322.4477945676</v>
      </c>
      <c r="T44" s="140">
        <f t="shared" si="21"/>
        <v>1115822.1212284041</v>
      </c>
    </row>
    <row r="45" spans="2:20">
      <c r="B45" s="269" t="s">
        <v>319</v>
      </c>
      <c r="C45" s="263">
        <v>2.1999999999999999E-2</v>
      </c>
      <c r="H45" s="270">
        <f>$C$45*H43</f>
        <v>0</v>
      </c>
      <c r="I45" s="270">
        <f t="shared" ref="I45:T45" si="22">$C$45*I43</f>
        <v>20225.612911375731</v>
      </c>
      <c r="J45" s="270">
        <f t="shared" si="22"/>
        <v>175370.77347829042</v>
      </c>
      <c r="K45" s="270">
        <f t="shared" si="22"/>
        <v>226675.47432083584</v>
      </c>
      <c r="L45" s="270">
        <f t="shared" si="22"/>
        <v>233475.7385504609</v>
      </c>
      <c r="M45" s="270">
        <f t="shared" si="22"/>
        <v>240480.01070697475</v>
      </c>
      <c r="N45" s="270">
        <f t="shared" si="22"/>
        <v>247694.41102818397</v>
      </c>
      <c r="O45" s="270">
        <f t="shared" si="22"/>
        <v>255125.2433590295</v>
      </c>
      <c r="P45" s="270">
        <f t="shared" si="22"/>
        <v>262779.00065980037</v>
      </c>
      <c r="Q45" s="270">
        <f t="shared" si="22"/>
        <v>270662.37067959434</v>
      </c>
      <c r="R45" s="270">
        <f t="shared" si="22"/>
        <v>278782.24179998221</v>
      </c>
      <c r="S45" s="270">
        <f t="shared" si="22"/>
        <v>287145.7090539817</v>
      </c>
      <c r="T45" s="140">
        <f t="shared" si="22"/>
        <v>295760.08032560104</v>
      </c>
    </row>
    <row r="46" spans="2:20">
      <c r="B46" s="275" t="s">
        <v>324</v>
      </c>
      <c r="C46" s="276"/>
      <c r="D46" s="150"/>
      <c r="E46" s="150"/>
      <c r="F46" s="150"/>
      <c r="G46" s="150"/>
      <c r="H46" s="280">
        <f t="shared" ref="H46:T46" si="23">SUM(H43:H45)</f>
        <v>0</v>
      </c>
      <c r="I46" s="280">
        <f t="shared" si="23"/>
        <v>1015877.3757759173</v>
      </c>
      <c r="J46" s="280">
        <f t="shared" si="23"/>
        <v>8808395.6678868607</v>
      </c>
      <c r="K46" s="280">
        <f t="shared" si="23"/>
        <v>11385290.869296528</v>
      </c>
      <c r="L46" s="280">
        <f t="shared" si="23"/>
        <v>11726849.595375422</v>
      </c>
      <c r="M46" s="280">
        <f t="shared" si="23"/>
        <v>12078655.083236685</v>
      </c>
      <c r="N46" s="280">
        <f t="shared" si="23"/>
        <v>12441014.735733787</v>
      </c>
      <c r="O46" s="280">
        <f t="shared" si="23"/>
        <v>12814245.1778058</v>
      </c>
      <c r="P46" s="280">
        <f t="shared" si="23"/>
        <v>13198672.533139974</v>
      </c>
      <c r="Q46" s="280">
        <f t="shared" si="23"/>
        <v>13594632.709134173</v>
      </c>
      <c r="R46" s="280">
        <f t="shared" si="23"/>
        <v>14002471.690408198</v>
      </c>
      <c r="S46" s="280">
        <f t="shared" si="23"/>
        <v>14422545.841120446</v>
      </c>
      <c r="T46" s="145">
        <f t="shared" si="23"/>
        <v>14855222.216354055</v>
      </c>
    </row>
    <row r="47" spans="2:20">
      <c r="B47" s="269"/>
      <c r="C47" s="258"/>
      <c r="T47" s="114"/>
    </row>
    <row r="48" spans="2:20">
      <c r="B48" s="273" t="s">
        <v>320</v>
      </c>
      <c r="C48" s="258"/>
      <c r="T48" s="114"/>
    </row>
    <row r="49" spans="2:20">
      <c r="B49" s="269" t="s">
        <v>316</v>
      </c>
      <c r="C49" s="261">
        <v>0.22440191387559807</v>
      </c>
      <c r="E49" s="270">
        <f t="shared" ref="E49:J49" si="24">$C$49*E46</f>
        <v>0</v>
      </c>
      <c r="F49" s="270">
        <f t="shared" si="24"/>
        <v>0</v>
      </c>
      <c r="G49" s="270">
        <f t="shared" si="24"/>
        <v>0</v>
      </c>
      <c r="H49" s="270">
        <f t="shared" si="24"/>
        <v>0</v>
      </c>
      <c r="I49" s="270">
        <f t="shared" si="24"/>
        <v>227964.82738703597</v>
      </c>
      <c r="J49" s="270">
        <f t="shared" si="24"/>
        <v>1976620.8460473386</v>
      </c>
      <c r="K49" s="270">
        <f t="shared" ref="K49:T49" si="25">$C$49*K46</f>
        <v>2554881.0611005127</v>
      </c>
      <c r="L49" s="270">
        <f t="shared" si="25"/>
        <v>2631527.4929335276</v>
      </c>
      <c r="M49" s="270">
        <f t="shared" si="25"/>
        <v>2710473.3177215336</v>
      </c>
      <c r="N49" s="270">
        <f t="shared" si="25"/>
        <v>2791787.5172531796</v>
      </c>
      <c r="O49" s="270">
        <f t="shared" si="25"/>
        <v>2875541.1427707751</v>
      </c>
      <c r="P49" s="270">
        <f t="shared" si="25"/>
        <v>2961807.3770538983</v>
      </c>
      <c r="Q49" s="270">
        <f t="shared" si="25"/>
        <v>3050661.598365515</v>
      </c>
      <c r="R49" s="270">
        <f t="shared" si="25"/>
        <v>3142181.4463164806</v>
      </c>
      <c r="S49" s="270">
        <f t="shared" si="25"/>
        <v>3236446.8897059755</v>
      </c>
      <c r="T49" s="140">
        <f t="shared" si="25"/>
        <v>3333540.2963971538</v>
      </c>
    </row>
    <row r="50" spans="2:20">
      <c r="B50" s="269" t="s">
        <v>317</v>
      </c>
      <c r="C50" s="264">
        <v>6.6427432216905904E-2</v>
      </c>
      <c r="E50" s="270">
        <f t="shared" ref="E50:J50" si="26">$C$50*E46</f>
        <v>0</v>
      </c>
      <c r="F50" s="270">
        <f t="shared" si="26"/>
        <v>0</v>
      </c>
      <c r="G50" s="270">
        <f t="shared" si="26"/>
        <v>0</v>
      </c>
      <c r="H50" s="270">
        <f t="shared" si="26"/>
        <v>0</v>
      </c>
      <c r="I50" s="270">
        <f t="shared" si="26"/>
        <v>67482.125520043002</v>
      </c>
      <c r="J50" s="270">
        <f t="shared" si="26"/>
        <v>585119.10616824205</v>
      </c>
      <c r="K50" s="270">
        <f t="shared" ref="K50:T50" si="27">$C$50*K46</f>
        <v>756295.63748995285</v>
      </c>
      <c r="L50" s="270">
        <f t="shared" si="27"/>
        <v>778984.5066146513</v>
      </c>
      <c r="M50" s="270">
        <f t="shared" si="27"/>
        <v>802354.04181309079</v>
      </c>
      <c r="N50" s="270">
        <f t="shared" si="27"/>
        <v>826424.66306748358</v>
      </c>
      <c r="O50" s="270">
        <f t="shared" si="27"/>
        <v>851217.40295950812</v>
      </c>
      <c r="P50" s="270">
        <f t="shared" si="27"/>
        <v>876753.92504829331</v>
      </c>
      <c r="Q50" s="270">
        <f t="shared" si="27"/>
        <v>903056.54279974219</v>
      </c>
      <c r="R50" s="270">
        <f t="shared" si="27"/>
        <v>930148.23908373446</v>
      </c>
      <c r="S50" s="270">
        <f t="shared" si="27"/>
        <v>958052.68625624664</v>
      </c>
      <c r="T50" s="140">
        <f t="shared" si="27"/>
        <v>986794.26684393373</v>
      </c>
    </row>
    <row r="51" spans="2:20">
      <c r="B51" s="269" t="s">
        <v>322</v>
      </c>
      <c r="C51" s="264">
        <v>7.7352472089314197E-3</v>
      </c>
      <c r="E51" s="270">
        <f t="shared" ref="E51:J51" si="28">$C$51*E46</f>
        <v>0</v>
      </c>
      <c r="F51" s="270">
        <f t="shared" si="28"/>
        <v>0</v>
      </c>
      <c r="G51" s="270">
        <f t="shared" si="28"/>
        <v>0</v>
      </c>
      <c r="H51" s="270">
        <f t="shared" si="28"/>
        <v>0</v>
      </c>
      <c r="I51" s="270">
        <f t="shared" si="28"/>
        <v>7858.0626355872391</v>
      </c>
      <c r="J51" s="270">
        <f t="shared" si="28"/>
        <v>68135.118005185446</v>
      </c>
      <c r="K51" s="270">
        <f t="shared" ref="K51:T51" si="29">$C$51*K46</f>
        <v>88068.039419598354</v>
      </c>
      <c r="L51" s="270">
        <f t="shared" si="29"/>
        <v>90710.080602186281</v>
      </c>
      <c r="M51" s="270">
        <f t="shared" si="29"/>
        <v>93431.383020251873</v>
      </c>
      <c r="N51" s="270">
        <f t="shared" si="29"/>
        <v>96234.324510859442</v>
      </c>
      <c r="O51" s="270">
        <f t="shared" si="29"/>
        <v>99121.354246185219</v>
      </c>
      <c r="P51" s="270">
        <f t="shared" si="29"/>
        <v>102094.99487357077</v>
      </c>
      <c r="Q51" s="270">
        <f t="shared" si="29"/>
        <v>105157.84471977789</v>
      </c>
      <c r="R51" s="270">
        <f t="shared" si="29"/>
        <v>108312.58006137123</v>
      </c>
      <c r="S51" s="270">
        <f t="shared" si="29"/>
        <v>111561.95746321238</v>
      </c>
      <c r="T51" s="140">
        <f t="shared" si="29"/>
        <v>114908.81618710872</v>
      </c>
    </row>
    <row r="52" spans="2:20">
      <c r="B52" s="275" t="s">
        <v>323</v>
      </c>
      <c r="C52" s="276"/>
      <c r="D52" s="150"/>
      <c r="E52" s="280">
        <f t="shared" ref="E52:T52" si="30">SUM(E49:E51)</f>
        <v>0</v>
      </c>
      <c r="F52" s="280">
        <f t="shared" si="30"/>
        <v>0</v>
      </c>
      <c r="G52" s="280">
        <f t="shared" si="30"/>
        <v>0</v>
      </c>
      <c r="H52" s="280">
        <f t="shared" si="30"/>
        <v>0</v>
      </c>
      <c r="I52" s="280">
        <f t="shared" si="30"/>
        <v>303305.01554266619</v>
      </c>
      <c r="J52" s="280">
        <f t="shared" si="30"/>
        <v>2629875.0702207661</v>
      </c>
      <c r="K52" s="280">
        <f t="shared" si="30"/>
        <v>3399244.7380100642</v>
      </c>
      <c r="L52" s="280">
        <f t="shared" si="30"/>
        <v>3501222.0801503654</v>
      </c>
      <c r="M52" s="280">
        <f t="shared" si="30"/>
        <v>3606258.7425548765</v>
      </c>
      <c r="N52" s="280">
        <f t="shared" si="30"/>
        <v>3714446.5048315227</v>
      </c>
      <c r="O52" s="280">
        <f t="shared" si="30"/>
        <v>3825879.8999764686</v>
      </c>
      <c r="P52" s="280">
        <f t="shared" si="30"/>
        <v>3940656.2969757621</v>
      </c>
      <c r="Q52" s="280">
        <f t="shared" si="30"/>
        <v>4058875.9858850352</v>
      </c>
      <c r="R52" s="280">
        <f t="shared" si="30"/>
        <v>4180642.2654615864</v>
      </c>
      <c r="S52" s="280">
        <f t="shared" si="30"/>
        <v>4306061.5334254345</v>
      </c>
      <c r="T52" s="145">
        <f t="shared" si="30"/>
        <v>4435243.3794281967</v>
      </c>
    </row>
    <row r="53" spans="2:20">
      <c r="B53" s="269"/>
      <c r="C53" s="258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140"/>
    </row>
    <row r="54" spans="2:20">
      <c r="B54" s="275" t="s">
        <v>325</v>
      </c>
      <c r="C54" s="276"/>
      <c r="D54" s="150"/>
      <c r="E54" s="280">
        <f t="shared" ref="E54:J54" si="31">E46-E52</f>
        <v>0</v>
      </c>
      <c r="F54" s="280">
        <f t="shared" si="31"/>
        <v>0</v>
      </c>
      <c r="G54" s="280">
        <f t="shared" si="31"/>
        <v>0</v>
      </c>
      <c r="H54" s="280">
        <f t="shared" si="31"/>
        <v>0</v>
      </c>
      <c r="I54" s="280">
        <f t="shared" si="31"/>
        <v>712572.36023325112</v>
      </c>
      <c r="J54" s="280">
        <f t="shared" si="31"/>
        <v>6178520.5976660941</v>
      </c>
      <c r="K54" s="280">
        <f t="shared" ref="K54:T54" si="32">K46-K52</f>
        <v>7986046.1312864646</v>
      </c>
      <c r="L54" s="280">
        <f t="shared" si="32"/>
        <v>8225627.5152250566</v>
      </c>
      <c r="M54" s="280">
        <f t="shared" si="32"/>
        <v>8472396.3406818081</v>
      </c>
      <c r="N54" s="280">
        <f t="shared" si="32"/>
        <v>8726568.2309022639</v>
      </c>
      <c r="O54" s="280">
        <f t="shared" si="32"/>
        <v>8988365.2778293304</v>
      </c>
      <c r="P54" s="280">
        <f t="shared" si="32"/>
        <v>9258016.2361642122</v>
      </c>
      <c r="Q54" s="280">
        <f t="shared" si="32"/>
        <v>9535756.7232491374</v>
      </c>
      <c r="R54" s="280">
        <f t="shared" si="32"/>
        <v>9821829.4249466117</v>
      </c>
      <c r="S54" s="280">
        <f t="shared" si="32"/>
        <v>10116484.307695013</v>
      </c>
      <c r="T54" s="145">
        <f t="shared" si="32"/>
        <v>10419978.836925859</v>
      </c>
    </row>
    <row r="55" spans="2:20">
      <c r="B55" s="269"/>
      <c r="C55" s="258"/>
      <c r="E55" s="270"/>
      <c r="F55" s="270"/>
      <c r="G55" s="270"/>
      <c r="H55" s="270"/>
      <c r="I55" s="270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140"/>
    </row>
    <row r="56" spans="2:20">
      <c r="B56" s="273" t="s">
        <v>326</v>
      </c>
      <c r="C56" s="258"/>
      <c r="E56" s="270"/>
      <c r="F56" s="270"/>
      <c r="G56" s="270"/>
      <c r="H56" s="270"/>
      <c r="I56" s="270"/>
      <c r="J56" s="270"/>
      <c r="K56" s="270"/>
      <c r="L56" s="270"/>
      <c r="M56" s="270"/>
      <c r="N56" s="270"/>
      <c r="O56" s="270"/>
      <c r="P56" s="270"/>
      <c r="Q56" s="270"/>
      <c r="R56" s="270"/>
      <c r="S56" s="270"/>
      <c r="T56" s="140"/>
    </row>
    <row r="57" spans="2:20">
      <c r="B57" s="269" t="s">
        <v>327</v>
      </c>
      <c r="C57" s="264">
        <v>7.6634768740031903E-2</v>
      </c>
      <c r="E57" s="270">
        <f t="shared" ref="E57:J57" si="33">$C$57*E46</f>
        <v>0</v>
      </c>
      <c r="F57" s="270">
        <f t="shared" si="33"/>
        <v>0</v>
      </c>
      <c r="G57" s="270">
        <f t="shared" si="33"/>
        <v>0</v>
      </c>
      <c r="H57" s="270">
        <f t="shared" si="33"/>
        <v>0</v>
      </c>
      <c r="I57" s="270">
        <f t="shared" si="33"/>
        <v>77851.527760817917</v>
      </c>
      <c r="J57" s="270">
        <f t="shared" si="33"/>
        <v>675029.36497920845</v>
      </c>
      <c r="K57" s="270">
        <f t="shared" ref="K57:T57" si="34">$C$57*K46</f>
        <v>872509.13280653628</v>
      </c>
      <c r="L57" s="270">
        <f t="shared" si="34"/>
        <v>898684.40679073217</v>
      </c>
      <c r="M57" s="270">
        <f t="shared" si="34"/>
        <v>925644.9389944541</v>
      </c>
      <c r="N57" s="270">
        <f t="shared" si="34"/>
        <v>953414.28716428787</v>
      </c>
      <c r="O57" s="270">
        <f t="shared" si="34"/>
        <v>982016.71577921649</v>
      </c>
      <c r="P57" s="270">
        <f t="shared" si="34"/>
        <v>1011477.2172525929</v>
      </c>
      <c r="Q57" s="270">
        <f t="shared" si="34"/>
        <v>1041821.5337701708</v>
      </c>
      <c r="R57" s="270">
        <f t="shared" si="34"/>
        <v>1073076.1797832758</v>
      </c>
      <c r="S57" s="270">
        <f t="shared" si="34"/>
        <v>1105268.4651767742</v>
      </c>
      <c r="T57" s="140">
        <f t="shared" si="34"/>
        <v>1138426.5191320772</v>
      </c>
    </row>
    <row r="58" spans="2:20">
      <c r="B58" s="269" t="s">
        <v>328</v>
      </c>
      <c r="C58" s="264">
        <v>3.0622009569377991E-2</v>
      </c>
      <c r="E58" s="270">
        <f t="shared" ref="E58:J58" si="35">$C$58*E46</f>
        <v>0</v>
      </c>
      <c r="F58" s="270">
        <f t="shared" si="35"/>
        <v>0</v>
      </c>
      <c r="G58" s="270">
        <f t="shared" si="35"/>
        <v>0</v>
      </c>
      <c r="H58" s="270">
        <f t="shared" si="35"/>
        <v>0</v>
      </c>
      <c r="I58" s="270">
        <f t="shared" si="35"/>
        <v>31108.206722324743</v>
      </c>
      <c r="J58" s="270">
        <f t="shared" si="35"/>
        <v>269730.77643289912</v>
      </c>
      <c r="K58" s="270">
        <f t="shared" ref="K58:T58" si="36">$C$58*K46</f>
        <v>348640.48594975017</v>
      </c>
      <c r="L58" s="270">
        <f t="shared" si="36"/>
        <v>359099.70052824263</v>
      </c>
      <c r="M58" s="270">
        <f t="shared" si="36"/>
        <v>369872.69154408987</v>
      </c>
      <c r="N58" s="270">
        <f t="shared" si="36"/>
        <v>380968.8722904126</v>
      </c>
      <c r="O58" s="270">
        <f t="shared" si="36"/>
        <v>392397.938459125</v>
      </c>
      <c r="P58" s="270">
        <f t="shared" si="36"/>
        <v>404169.87661289872</v>
      </c>
      <c r="Q58" s="270">
        <f t="shared" si="36"/>
        <v>416294.9729112857</v>
      </c>
      <c r="R58" s="270">
        <f t="shared" si="36"/>
        <v>428783.82209862425</v>
      </c>
      <c r="S58" s="270">
        <f t="shared" si="36"/>
        <v>441647.33676158305</v>
      </c>
      <c r="T58" s="140">
        <f t="shared" si="36"/>
        <v>454896.75686443044</v>
      </c>
    </row>
    <row r="59" spans="2:20">
      <c r="B59" s="269" t="s">
        <v>185</v>
      </c>
      <c r="C59" s="264">
        <v>2.0813397129186603E-2</v>
      </c>
      <c r="E59" s="270">
        <f t="shared" ref="E59:J59" si="37">$C$59*E46</f>
        <v>0</v>
      </c>
      <c r="F59" s="270">
        <f t="shared" si="37"/>
        <v>0</v>
      </c>
      <c r="G59" s="270">
        <f t="shared" si="37"/>
        <v>0</v>
      </c>
      <c r="H59" s="270">
        <f t="shared" si="37"/>
        <v>0</v>
      </c>
      <c r="I59" s="270">
        <f t="shared" si="37"/>
        <v>21143.859256580097</v>
      </c>
      <c r="J59" s="270">
        <f t="shared" si="37"/>
        <v>183332.6371067361</v>
      </c>
      <c r="K59" s="270">
        <f t="shared" ref="K59:T59" si="38">$C$59*K46</f>
        <v>236966.58029397082</v>
      </c>
      <c r="L59" s="270">
        <f t="shared" si="38"/>
        <v>244075.57770278989</v>
      </c>
      <c r="M59" s="270">
        <f t="shared" si="38"/>
        <v>251397.8450338736</v>
      </c>
      <c r="N59" s="270">
        <f t="shared" si="38"/>
        <v>258939.78038488983</v>
      </c>
      <c r="O59" s="270">
        <f t="shared" si="38"/>
        <v>266707.9737964365</v>
      </c>
      <c r="P59" s="270">
        <f t="shared" si="38"/>
        <v>274709.21301032958</v>
      </c>
      <c r="Q59" s="270">
        <f t="shared" si="38"/>
        <v>282950.48940063949</v>
      </c>
      <c r="R59" s="270">
        <f t="shared" si="38"/>
        <v>291439.00408265868</v>
      </c>
      <c r="S59" s="270">
        <f t="shared" si="38"/>
        <v>300182.17420513846</v>
      </c>
      <c r="T59" s="140">
        <f t="shared" si="38"/>
        <v>309187.63943129254</v>
      </c>
    </row>
    <row r="60" spans="2:20">
      <c r="B60" s="269" t="s">
        <v>329</v>
      </c>
      <c r="C60" s="264">
        <v>2.9984051036682616E-2</v>
      </c>
      <c r="E60" s="270">
        <f t="shared" ref="E60:J60" si="39">$C$60*E46</f>
        <v>0</v>
      </c>
      <c r="F60" s="270">
        <f t="shared" si="39"/>
        <v>0</v>
      </c>
      <c r="G60" s="270">
        <f t="shared" si="39"/>
        <v>0</v>
      </c>
      <c r="H60" s="270">
        <f t="shared" si="39"/>
        <v>0</v>
      </c>
      <c r="I60" s="270">
        <f t="shared" si="39"/>
        <v>30460.119082276309</v>
      </c>
      <c r="J60" s="270">
        <f t="shared" si="39"/>
        <v>264111.38525721367</v>
      </c>
      <c r="K60" s="270">
        <f t="shared" ref="K60:T60" si="40">$C$60*K46</f>
        <v>341377.1424924637</v>
      </c>
      <c r="L60" s="270">
        <f t="shared" si="40"/>
        <v>351618.45676723757</v>
      </c>
      <c r="M60" s="270">
        <f t="shared" si="40"/>
        <v>362167.0104702547</v>
      </c>
      <c r="N60" s="270">
        <f t="shared" si="40"/>
        <v>373032.02078436234</v>
      </c>
      <c r="O60" s="270">
        <f t="shared" si="40"/>
        <v>384222.98140789324</v>
      </c>
      <c r="P60" s="270">
        <f t="shared" si="40"/>
        <v>395749.67085013003</v>
      </c>
      <c r="Q60" s="270">
        <f t="shared" si="40"/>
        <v>407622.16097563389</v>
      </c>
      <c r="R60" s="270">
        <f t="shared" si="40"/>
        <v>419850.82580490294</v>
      </c>
      <c r="S60" s="270">
        <f t="shared" si="40"/>
        <v>432446.35057905008</v>
      </c>
      <c r="T60" s="140">
        <f t="shared" si="40"/>
        <v>445419.74109642144</v>
      </c>
    </row>
    <row r="61" spans="2:20">
      <c r="B61" s="275" t="s">
        <v>330</v>
      </c>
      <c r="C61" s="276"/>
      <c r="D61" s="150"/>
      <c r="E61" s="280">
        <f t="shared" ref="E61:T61" si="41">SUM(E57:E60)</f>
        <v>0</v>
      </c>
      <c r="F61" s="280">
        <f t="shared" si="41"/>
        <v>0</v>
      </c>
      <c r="G61" s="280">
        <f t="shared" si="41"/>
        <v>0</v>
      </c>
      <c r="H61" s="280">
        <f t="shared" si="41"/>
        <v>0</v>
      </c>
      <c r="I61" s="280">
        <f t="shared" si="41"/>
        <v>160563.71282199907</v>
      </c>
      <c r="J61" s="280">
        <f t="shared" si="41"/>
        <v>1392204.1637760573</v>
      </c>
      <c r="K61" s="280">
        <f t="shared" si="41"/>
        <v>1799493.3415427208</v>
      </c>
      <c r="L61" s="280">
        <f t="shared" si="41"/>
        <v>1853478.1417890021</v>
      </c>
      <c r="M61" s="280">
        <f t="shared" si="41"/>
        <v>1909082.4860426723</v>
      </c>
      <c r="N61" s="280">
        <f t="shared" si="41"/>
        <v>1966354.9606239526</v>
      </c>
      <c r="O61" s="280">
        <f t="shared" si="41"/>
        <v>2025345.6094426713</v>
      </c>
      <c r="P61" s="280">
        <f t="shared" si="41"/>
        <v>2086105.9777259512</v>
      </c>
      <c r="Q61" s="280">
        <f t="shared" si="41"/>
        <v>2148689.1570577295</v>
      </c>
      <c r="R61" s="280">
        <f t="shared" si="41"/>
        <v>2213149.8317694617</v>
      </c>
      <c r="S61" s="280">
        <f t="shared" si="41"/>
        <v>2279544.3267225455</v>
      </c>
      <c r="T61" s="145">
        <f t="shared" si="41"/>
        <v>2347930.6565242219</v>
      </c>
    </row>
    <row r="62" spans="2:20">
      <c r="B62" s="269"/>
      <c r="C62" s="258"/>
      <c r="E62" s="270"/>
      <c r="F62" s="270"/>
      <c r="G62" s="270"/>
      <c r="H62" s="270"/>
      <c r="I62" s="270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140"/>
    </row>
    <row r="63" spans="2:20">
      <c r="B63" s="275" t="s">
        <v>331</v>
      </c>
      <c r="C63" s="276"/>
      <c r="D63" s="150"/>
      <c r="E63" s="280">
        <f t="shared" ref="E63:J63" si="42">E54-E61</f>
        <v>0</v>
      </c>
      <c r="F63" s="280">
        <f t="shared" si="42"/>
        <v>0</v>
      </c>
      <c r="G63" s="280">
        <f t="shared" si="42"/>
        <v>0</v>
      </c>
      <c r="H63" s="280">
        <f t="shared" si="42"/>
        <v>0</v>
      </c>
      <c r="I63" s="280">
        <f t="shared" si="42"/>
        <v>552008.64741125202</v>
      </c>
      <c r="J63" s="280">
        <f t="shared" si="42"/>
        <v>4786316.4338900372</v>
      </c>
      <c r="K63" s="280">
        <f t="shared" ref="K63:T63" si="43">K54-K61</f>
        <v>6186552.7897437438</v>
      </c>
      <c r="L63" s="280">
        <f t="shared" si="43"/>
        <v>6372149.3734360542</v>
      </c>
      <c r="M63" s="280">
        <f t="shared" si="43"/>
        <v>6563313.8546391353</v>
      </c>
      <c r="N63" s="280">
        <f t="shared" si="43"/>
        <v>6760213.2702783113</v>
      </c>
      <c r="O63" s="280">
        <f t="shared" si="43"/>
        <v>6963019.6683866587</v>
      </c>
      <c r="P63" s="280">
        <f t="shared" si="43"/>
        <v>7171910.2584382612</v>
      </c>
      <c r="Q63" s="280">
        <f t="shared" si="43"/>
        <v>7387067.5661914079</v>
      </c>
      <c r="R63" s="280">
        <f t="shared" si="43"/>
        <v>7608679.59317715</v>
      </c>
      <c r="S63" s="280">
        <f t="shared" si="43"/>
        <v>7836939.980972467</v>
      </c>
      <c r="T63" s="145">
        <f t="shared" si="43"/>
        <v>8072048.1804016363</v>
      </c>
    </row>
    <row r="64" spans="2:20">
      <c r="B64" s="269"/>
      <c r="C64" s="258"/>
      <c r="E64" s="270"/>
      <c r="F64" s="270"/>
      <c r="G64" s="270"/>
      <c r="H64" s="270"/>
      <c r="I64" s="270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140"/>
    </row>
    <row r="65" spans="2:20">
      <c r="B65" s="269" t="s">
        <v>332</v>
      </c>
      <c r="C65" s="265">
        <v>0.03</v>
      </c>
      <c r="E65" s="270">
        <f t="shared" ref="E65:J65" si="44">$C$65*E46</f>
        <v>0</v>
      </c>
      <c r="F65" s="270">
        <f t="shared" si="44"/>
        <v>0</v>
      </c>
      <c r="G65" s="270">
        <f t="shared" si="44"/>
        <v>0</v>
      </c>
      <c r="H65" s="270">
        <f t="shared" si="44"/>
        <v>0</v>
      </c>
      <c r="I65" s="270">
        <f t="shared" si="44"/>
        <v>30476.321273277517</v>
      </c>
      <c r="J65" s="270">
        <f t="shared" si="44"/>
        <v>264251.8700366058</v>
      </c>
      <c r="K65" s="270">
        <f t="shared" ref="K65:T65" si="45">$C$65*K46</f>
        <v>341558.72607889585</v>
      </c>
      <c r="L65" s="270">
        <f t="shared" si="45"/>
        <v>351805.48786126263</v>
      </c>
      <c r="M65" s="270">
        <f t="shared" si="45"/>
        <v>362359.65249710053</v>
      </c>
      <c r="N65" s="270">
        <f t="shared" si="45"/>
        <v>373230.44207201357</v>
      </c>
      <c r="O65" s="270">
        <f t="shared" si="45"/>
        <v>384427.355334174</v>
      </c>
      <c r="P65" s="270">
        <f t="shared" si="45"/>
        <v>395960.17599419918</v>
      </c>
      <c r="Q65" s="270">
        <f t="shared" si="45"/>
        <v>407838.98127402517</v>
      </c>
      <c r="R65" s="270">
        <f t="shared" si="45"/>
        <v>420074.1507122459</v>
      </c>
      <c r="S65" s="270">
        <f t="shared" si="45"/>
        <v>432676.37523361336</v>
      </c>
      <c r="T65" s="140">
        <f t="shared" si="45"/>
        <v>445656.66649062163</v>
      </c>
    </row>
    <row r="66" spans="2:20">
      <c r="B66" s="269"/>
      <c r="C66" s="258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140"/>
    </row>
    <row r="67" spans="2:20">
      <c r="B67" s="275" t="s">
        <v>333</v>
      </c>
      <c r="C67" s="276"/>
      <c r="D67" s="150"/>
      <c r="E67" s="280">
        <f t="shared" ref="E67:J67" si="46">E63-E65</f>
        <v>0</v>
      </c>
      <c r="F67" s="280">
        <f t="shared" si="46"/>
        <v>0</v>
      </c>
      <c r="G67" s="280">
        <f t="shared" si="46"/>
        <v>0</v>
      </c>
      <c r="H67" s="280">
        <f t="shared" si="46"/>
        <v>0</v>
      </c>
      <c r="I67" s="280">
        <f t="shared" si="46"/>
        <v>521532.32613797451</v>
      </c>
      <c r="J67" s="280">
        <f t="shared" si="46"/>
        <v>4522064.5638534315</v>
      </c>
      <c r="K67" s="280">
        <f t="shared" ref="K67:T67" si="47">K63-K65</f>
        <v>5844994.063664848</v>
      </c>
      <c r="L67" s="280">
        <f t="shared" si="47"/>
        <v>6020343.8855747916</v>
      </c>
      <c r="M67" s="280">
        <f t="shared" si="47"/>
        <v>6200954.2021420347</v>
      </c>
      <c r="N67" s="280">
        <f t="shared" si="47"/>
        <v>6386982.8282062979</v>
      </c>
      <c r="O67" s="280">
        <f t="shared" si="47"/>
        <v>6578592.3130524848</v>
      </c>
      <c r="P67" s="280">
        <f t="shared" si="47"/>
        <v>6775950.0824440625</v>
      </c>
      <c r="Q67" s="280">
        <f t="shared" si="47"/>
        <v>6979228.5849173823</v>
      </c>
      <c r="R67" s="280">
        <f t="shared" si="47"/>
        <v>7188605.4424649039</v>
      </c>
      <c r="S67" s="280">
        <f t="shared" si="47"/>
        <v>7404263.605738854</v>
      </c>
      <c r="T67" s="145">
        <f t="shared" si="47"/>
        <v>7626391.5139110144</v>
      </c>
    </row>
    <row r="68" spans="2:20">
      <c r="B68" s="269"/>
      <c r="C68" s="258"/>
      <c r="E68" s="270"/>
      <c r="F68" s="270"/>
      <c r="G68" s="270"/>
      <c r="H68" s="270"/>
      <c r="I68" s="270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140"/>
    </row>
    <row r="69" spans="2:20">
      <c r="B69" s="273" t="s">
        <v>360</v>
      </c>
      <c r="C69" s="258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140"/>
    </row>
    <row r="70" spans="2:20">
      <c r="B70" s="269" t="s">
        <v>334</v>
      </c>
      <c r="C70" s="261">
        <v>6.3E-2</v>
      </c>
      <c r="E70" s="270">
        <f t="shared" ref="E70:J70" si="48">$C$70*E46</f>
        <v>0</v>
      </c>
      <c r="F70" s="270">
        <f t="shared" si="48"/>
        <v>0</v>
      </c>
      <c r="G70" s="270">
        <f t="shared" si="48"/>
        <v>0</v>
      </c>
      <c r="H70" s="270">
        <f t="shared" si="48"/>
        <v>0</v>
      </c>
      <c r="I70" s="270">
        <f t="shared" si="48"/>
        <v>64000.274673882792</v>
      </c>
      <c r="J70" s="270">
        <f t="shared" si="48"/>
        <v>554928.92707687221</v>
      </c>
      <c r="K70" s="270">
        <f t="shared" ref="K70:T70" si="49">$C$70*K46</f>
        <v>717273.32476568129</v>
      </c>
      <c r="L70" s="270">
        <f t="shared" si="49"/>
        <v>738791.52450865158</v>
      </c>
      <c r="M70" s="270">
        <f t="shared" si="49"/>
        <v>760955.27024391119</v>
      </c>
      <c r="N70" s="270">
        <f t="shared" si="49"/>
        <v>783783.92835122859</v>
      </c>
      <c r="O70" s="270">
        <f t="shared" si="49"/>
        <v>807297.44620176544</v>
      </c>
      <c r="P70" s="270">
        <f t="shared" si="49"/>
        <v>831516.36958781839</v>
      </c>
      <c r="Q70" s="270">
        <f t="shared" si="49"/>
        <v>856461.86067545286</v>
      </c>
      <c r="R70" s="270">
        <f t="shared" si="49"/>
        <v>882155.71649571648</v>
      </c>
      <c r="S70" s="270">
        <f t="shared" si="49"/>
        <v>908620.38799058809</v>
      </c>
      <c r="T70" s="140">
        <f t="shared" si="49"/>
        <v>935878.99963030545</v>
      </c>
    </row>
    <row r="71" spans="2:20">
      <c r="B71" s="269" t="s">
        <v>222</v>
      </c>
      <c r="C71" s="264">
        <v>7.0175438596491229E-3</v>
      </c>
      <c r="E71" s="270">
        <f t="shared" ref="E71:J71" si="50">$C$71*E46</f>
        <v>0</v>
      </c>
      <c r="F71" s="270">
        <f t="shared" si="50"/>
        <v>0</v>
      </c>
      <c r="G71" s="270">
        <f t="shared" si="50"/>
        <v>0</v>
      </c>
      <c r="H71" s="270">
        <f t="shared" si="50"/>
        <v>0</v>
      </c>
      <c r="I71" s="270">
        <f t="shared" si="50"/>
        <v>7128.9640405327536</v>
      </c>
      <c r="J71" s="270">
        <f t="shared" si="50"/>
        <v>61813.302932539373</v>
      </c>
      <c r="K71" s="270">
        <f t="shared" ref="K71:T71" si="51">$C$71*K46</f>
        <v>79896.778030151079</v>
      </c>
      <c r="L71" s="270">
        <f t="shared" si="51"/>
        <v>82293.681371055602</v>
      </c>
      <c r="M71" s="270">
        <f t="shared" si="51"/>
        <v>84762.491812187262</v>
      </c>
      <c r="N71" s="270">
        <f t="shared" si="51"/>
        <v>87305.366566552897</v>
      </c>
      <c r="O71" s="270">
        <f t="shared" si="51"/>
        <v>89924.527563549476</v>
      </c>
      <c r="P71" s="270">
        <f t="shared" si="51"/>
        <v>92622.263390455963</v>
      </c>
      <c r="Q71" s="270">
        <f t="shared" si="51"/>
        <v>95400.93129216964</v>
      </c>
      <c r="R71" s="270">
        <f t="shared" si="51"/>
        <v>98262.959230934721</v>
      </c>
      <c r="S71" s="270">
        <f t="shared" si="51"/>
        <v>101210.84800786278</v>
      </c>
      <c r="T71" s="140">
        <f t="shared" si="51"/>
        <v>104247.17344809863</v>
      </c>
    </row>
    <row r="72" spans="2:20">
      <c r="B72" s="269"/>
      <c r="C72" s="258"/>
      <c r="E72" s="270"/>
      <c r="F72" s="270"/>
      <c r="G72" s="270"/>
      <c r="H72" s="270"/>
      <c r="I72" s="270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140"/>
    </row>
    <row r="73" spans="2:20">
      <c r="B73" s="275" t="s">
        <v>335</v>
      </c>
      <c r="C73" s="276"/>
      <c r="D73" s="150"/>
      <c r="E73" s="277">
        <f t="shared" ref="E73:T73" si="52">SUM(E70:E72)</f>
        <v>0</v>
      </c>
      <c r="F73" s="277">
        <f t="shared" si="52"/>
        <v>0</v>
      </c>
      <c r="G73" s="277">
        <f t="shared" si="52"/>
        <v>0</v>
      </c>
      <c r="H73" s="277">
        <f t="shared" si="52"/>
        <v>0</v>
      </c>
      <c r="I73" s="277">
        <f t="shared" si="52"/>
        <v>71129.238714415551</v>
      </c>
      <c r="J73" s="277">
        <f t="shared" si="52"/>
        <v>616742.23000941158</v>
      </c>
      <c r="K73" s="277">
        <f t="shared" si="52"/>
        <v>797170.10279583232</v>
      </c>
      <c r="L73" s="277">
        <f t="shared" si="52"/>
        <v>821085.20587970712</v>
      </c>
      <c r="M73" s="277">
        <f t="shared" si="52"/>
        <v>845717.76205609844</v>
      </c>
      <c r="N73" s="277">
        <f t="shared" si="52"/>
        <v>871089.29491778149</v>
      </c>
      <c r="O73" s="277">
        <f t="shared" si="52"/>
        <v>897221.97376531491</v>
      </c>
      <c r="P73" s="277">
        <f t="shared" si="52"/>
        <v>924138.63297827437</v>
      </c>
      <c r="Q73" s="277">
        <f t="shared" si="52"/>
        <v>951862.79196762247</v>
      </c>
      <c r="R73" s="277">
        <f t="shared" si="52"/>
        <v>980418.67572665121</v>
      </c>
      <c r="S73" s="277">
        <f t="shared" si="52"/>
        <v>1009831.2359984509</v>
      </c>
      <c r="T73" s="278">
        <f t="shared" si="52"/>
        <v>1040126.173078404</v>
      </c>
    </row>
    <row r="74" spans="2:20">
      <c r="B74" s="269"/>
      <c r="C74" s="258"/>
      <c r="E74" s="270"/>
      <c r="F74" s="270"/>
      <c r="G74" s="270"/>
      <c r="H74" s="270"/>
      <c r="I74" s="270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140"/>
    </row>
    <row r="75" spans="2:20">
      <c r="B75" s="275" t="s">
        <v>362</v>
      </c>
      <c r="C75" s="276"/>
      <c r="D75" s="150"/>
      <c r="E75" s="280">
        <f t="shared" ref="E75:J75" si="53">E67-E73</f>
        <v>0</v>
      </c>
      <c r="F75" s="280">
        <f t="shared" si="53"/>
        <v>0</v>
      </c>
      <c r="G75" s="280">
        <f t="shared" si="53"/>
        <v>0</v>
      </c>
      <c r="H75" s="280">
        <f t="shared" si="53"/>
        <v>0</v>
      </c>
      <c r="I75" s="280">
        <f t="shared" si="53"/>
        <v>450403.08742355893</v>
      </c>
      <c r="J75" s="280">
        <f t="shared" si="53"/>
        <v>3905322.33384402</v>
      </c>
      <c r="K75" s="280">
        <f t="shared" ref="K75:T75" si="54">K67-K73</f>
        <v>5047823.9608690161</v>
      </c>
      <c r="L75" s="280">
        <f t="shared" si="54"/>
        <v>5199258.6796950847</v>
      </c>
      <c r="M75" s="280">
        <f t="shared" si="54"/>
        <v>5355236.4400859363</v>
      </c>
      <c r="N75" s="280">
        <f t="shared" si="54"/>
        <v>5515893.5332885161</v>
      </c>
      <c r="O75" s="280">
        <f t="shared" si="54"/>
        <v>5681370.3392871702</v>
      </c>
      <c r="P75" s="280">
        <f t="shared" si="54"/>
        <v>5851811.449465788</v>
      </c>
      <c r="Q75" s="280">
        <f t="shared" si="54"/>
        <v>6027365.7929497603</v>
      </c>
      <c r="R75" s="280">
        <f t="shared" si="54"/>
        <v>6208186.7667382527</v>
      </c>
      <c r="S75" s="280">
        <f t="shared" si="54"/>
        <v>6394432.3697404033</v>
      </c>
      <c r="T75" s="145">
        <f t="shared" si="54"/>
        <v>6586265.3408326106</v>
      </c>
    </row>
    <row r="76" spans="2:20">
      <c r="B76" s="269" t="s">
        <v>336</v>
      </c>
      <c r="C76" s="264">
        <v>4.0031897926634766E-2</v>
      </c>
      <c r="E76" s="270">
        <f t="shared" ref="E76:J76" si="55">$C$76*E46</f>
        <v>0</v>
      </c>
      <c r="F76" s="270">
        <f t="shared" si="55"/>
        <v>0</v>
      </c>
      <c r="G76" s="270">
        <f t="shared" si="55"/>
        <v>0</v>
      </c>
      <c r="H76" s="270">
        <f t="shared" si="55"/>
        <v>0</v>
      </c>
      <c r="I76" s="270">
        <f t="shared" si="55"/>
        <v>40667.499413039113</v>
      </c>
      <c r="J76" s="270">
        <f t="shared" si="55"/>
        <v>352616.7962742587</v>
      </c>
      <c r="K76" s="270">
        <f t="shared" ref="K76:T76" si="56">$C$76*K46</f>
        <v>455774.80194472545</v>
      </c>
      <c r="L76" s="270">
        <f t="shared" si="56"/>
        <v>469448.04600306711</v>
      </c>
      <c r="M76" s="270">
        <f t="shared" si="56"/>
        <v>483531.48738315911</v>
      </c>
      <c r="N76" s="270">
        <f t="shared" si="56"/>
        <v>498037.43200465397</v>
      </c>
      <c r="O76" s="270">
        <f t="shared" si="56"/>
        <v>512978.55496479355</v>
      </c>
      <c r="P76" s="270">
        <f t="shared" si="56"/>
        <v>528367.91161373735</v>
      </c>
      <c r="Q76" s="270">
        <f t="shared" si="56"/>
        <v>544218.94896214944</v>
      </c>
      <c r="R76" s="270">
        <f t="shared" si="56"/>
        <v>560545.51743101398</v>
      </c>
      <c r="S76" s="270">
        <f t="shared" si="56"/>
        <v>577361.8829539445</v>
      </c>
      <c r="T76" s="140">
        <f t="shared" si="56"/>
        <v>594682.73944256257</v>
      </c>
    </row>
    <row r="77" spans="2:20">
      <c r="B77" s="269"/>
      <c r="C77" s="258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140"/>
    </row>
    <row r="78" spans="2:20">
      <c r="B78" s="275" t="s">
        <v>363</v>
      </c>
      <c r="C78" s="276"/>
      <c r="D78" s="150"/>
      <c r="E78" s="280">
        <f t="shared" ref="E78:J78" si="57">E75-E76</f>
        <v>0</v>
      </c>
      <c r="F78" s="280">
        <f t="shared" si="57"/>
        <v>0</v>
      </c>
      <c r="G78" s="280">
        <f t="shared" si="57"/>
        <v>0</v>
      </c>
      <c r="H78" s="280">
        <f t="shared" si="57"/>
        <v>0</v>
      </c>
      <c r="I78" s="280">
        <f t="shared" si="57"/>
        <v>409735.5880105198</v>
      </c>
      <c r="J78" s="280">
        <f t="shared" si="57"/>
        <v>3552705.5375697613</v>
      </c>
      <c r="K78" s="280">
        <f t="shared" ref="K78:T78" si="58">K75-K76</f>
        <v>4592049.1589242909</v>
      </c>
      <c r="L78" s="280">
        <f t="shared" si="58"/>
        <v>4729810.6336920178</v>
      </c>
      <c r="M78" s="280">
        <f t="shared" si="58"/>
        <v>4871704.9527027775</v>
      </c>
      <c r="N78" s="280">
        <f t="shared" si="58"/>
        <v>5017856.1012838623</v>
      </c>
      <c r="O78" s="280">
        <f t="shared" si="58"/>
        <v>5168391.7843223764</v>
      </c>
      <c r="P78" s="280">
        <f t="shared" si="58"/>
        <v>5323443.5378520507</v>
      </c>
      <c r="Q78" s="280">
        <f t="shared" si="58"/>
        <v>5483146.8439876111</v>
      </c>
      <c r="R78" s="280">
        <f t="shared" si="58"/>
        <v>5647641.2493072385</v>
      </c>
      <c r="S78" s="280">
        <f t="shared" si="58"/>
        <v>5817070.4867864586</v>
      </c>
      <c r="T78" s="145">
        <f t="shared" si="58"/>
        <v>5991582.6013900479</v>
      </c>
    </row>
    <row r="79" spans="2:20">
      <c r="B79" s="272" t="s">
        <v>285</v>
      </c>
      <c r="C79" s="258"/>
      <c r="E79" s="514" t="str">
        <f>IFERROR(E78/E46," ")</f>
        <v xml:space="preserve"> </v>
      </c>
      <c r="F79" s="514" t="str">
        <f>IFERROR(F78/F46," ")</f>
        <v xml:space="preserve"> </v>
      </c>
      <c r="G79" s="514" t="str">
        <f>IFERROR(G78/G46," ")</f>
        <v xml:space="preserve"> </v>
      </c>
      <c r="H79" s="514" t="str">
        <f>IFERROR(H78/H46," ")</f>
        <v xml:space="preserve"> </v>
      </c>
      <c r="I79" s="290">
        <f>IFERROR(I78/I46," ")</f>
        <v>0.40333173843700154</v>
      </c>
      <c r="J79" s="290">
        <f t="shared" ref="J79:T79" si="59">IFERROR(J78/J46," ")</f>
        <v>0.4033317384370016</v>
      </c>
      <c r="K79" s="290">
        <f t="shared" si="59"/>
        <v>0.40333173843700171</v>
      </c>
      <c r="L79" s="290">
        <f t="shared" si="59"/>
        <v>0.4033317384370016</v>
      </c>
      <c r="M79" s="290">
        <f t="shared" si="59"/>
        <v>0.40333173843700154</v>
      </c>
      <c r="N79" s="290">
        <f t="shared" si="59"/>
        <v>0.4033317384370016</v>
      </c>
      <c r="O79" s="290">
        <f t="shared" si="59"/>
        <v>0.40333173843700149</v>
      </c>
      <c r="P79" s="290">
        <f t="shared" si="59"/>
        <v>0.40333173843700171</v>
      </c>
      <c r="Q79" s="290">
        <f t="shared" si="59"/>
        <v>0.40333173843700165</v>
      </c>
      <c r="R79" s="290">
        <f t="shared" si="59"/>
        <v>0.40333173843700154</v>
      </c>
      <c r="S79" s="290">
        <f t="shared" si="59"/>
        <v>0.40333173843700171</v>
      </c>
      <c r="T79" s="291">
        <f t="shared" si="59"/>
        <v>0.40333173843700154</v>
      </c>
    </row>
    <row r="80" spans="2:20">
      <c r="B80" s="269"/>
      <c r="C80" s="258"/>
      <c r="E80" s="270"/>
      <c r="F80" s="270"/>
      <c r="G80" s="270"/>
      <c r="H80" s="270"/>
      <c r="I80" s="270"/>
      <c r="J80" s="270"/>
      <c r="K80" s="270"/>
      <c r="L80" s="270"/>
      <c r="M80" s="270"/>
      <c r="N80" s="270"/>
      <c r="O80" s="270"/>
      <c r="P80" s="270"/>
      <c r="Q80" s="270"/>
      <c r="R80" s="270"/>
      <c r="S80" s="270"/>
      <c r="T80" s="140"/>
    </row>
    <row r="81" spans="2:20" ht="17" thickBot="1">
      <c r="B81" s="281" t="s">
        <v>364</v>
      </c>
      <c r="C81" s="282"/>
      <c r="D81" s="283"/>
      <c r="E81" s="284">
        <f t="shared" ref="E81:J81" ca="1" si="60">E78+E38</f>
        <v>0</v>
      </c>
      <c r="F81" s="284">
        <f t="shared" ca="1" si="60"/>
        <v>0</v>
      </c>
      <c r="G81" s="284">
        <f t="shared" ca="1" si="60"/>
        <v>0</v>
      </c>
      <c r="H81" s="284">
        <f t="shared" ca="1" si="60"/>
        <v>0</v>
      </c>
      <c r="I81" s="284">
        <f t="shared" ca="1" si="60"/>
        <v>798750.23840830487</v>
      </c>
      <c r="J81" s="284">
        <f t="shared" ca="1" si="60"/>
        <v>5843849.2426101081</v>
      </c>
      <c r="K81" s="284">
        <f t="shared" ref="K81:T81" ca="1" si="61">K78+K38</f>
        <v>7644063.5348048266</v>
      </c>
      <c r="L81" s="284">
        <f t="shared" ca="1" si="61"/>
        <v>7888645.5127283689</v>
      </c>
      <c r="M81" s="284">
        <f t="shared" ca="1" si="61"/>
        <v>8141099.0525054</v>
      </c>
      <c r="N81" s="284">
        <f t="shared" ca="1" si="61"/>
        <v>8401678.9945795778</v>
      </c>
      <c r="O81" s="284">
        <f t="shared" ca="1" si="61"/>
        <v>8670648.4788834415</v>
      </c>
      <c r="P81" s="284">
        <f t="shared" ca="1" si="61"/>
        <v>8948279.2167227529</v>
      </c>
      <c r="Q81" s="284">
        <f t="shared" ca="1" si="61"/>
        <v>9234851.7716187891</v>
      </c>
      <c r="R81" s="284">
        <f t="shared" ca="1" si="61"/>
        <v>9530655.8494055085</v>
      </c>
      <c r="S81" s="284">
        <f t="shared" ca="1" si="61"/>
        <v>9835990.5978881661</v>
      </c>
      <c r="T81" s="285">
        <f t="shared" ca="1" si="61"/>
        <v>10151164.916380314</v>
      </c>
    </row>
    <row r="82" spans="2:20" ht="17" thickTop="1">
      <c r="B82" s="269"/>
      <c r="C82" s="258"/>
      <c r="T82" s="114"/>
    </row>
    <row r="83" spans="2:20">
      <c r="B83" s="268" t="s">
        <v>223</v>
      </c>
      <c r="C83" s="258"/>
      <c r="T83" s="114"/>
    </row>
    <row r="84" spans="2:20">
      <c r="B84" s="269" t="s">
        <v>337</v>
      </c>
      <c r="C84" s="258"/>
      <c r="E84" s="169">
        <f>IF(AND(E9&gt;Summary!$C$12,E9&lt;Summary!$C$12+2),LOOKUP(E9,Debt!$B$19:$B$48,Debt!$D$19:$D$48),IF(E9&gt;=Summary!$C$12+2,LOOKUP(E9-5,Debt!$Q$19:$Q$58,Debt!$S$19:$S$58),0))</f>
        <v>0</v>
      </c>
      <c r="F84" s="169">
        <f>IF(AND(F9&gt;Summary!$C$12,F9&lt;Summary!$C$12+2),LOOKUP(F9,Debt!$B$19:$B$48,Debt!$D$19:$D$48),IF(F9&gt;=Summary!$C$12+2,LOOKUP(F9-5,Debt!$Q$19:$Q$58,Debt!$S$19:$S$58),0))</f>
        <v>0</v>
      </c>
      <c r="G84" s="169">
        <f>IF(AND(G9&gt;Summary!$C$12,G9&lt;Summary!$C$12+2),LOOKUP(G9,Debt!$B$19:$B$48,Debt!$D$19:$D$48),IF(G9&gt;=Summary!$C$12+2,LOOKUP(G9-5,Debt!$Q$19:$Q$58,Debt!$S$19:$S$58),0))</f>
        <v>0</v>
      </c>
      <c r="H84" s="169">
        <f>IF(AND(H9&gt;Summary!$C$12,H9&lt;Summary!$C$12+2),LOOKUP(H9,Debt!$B$19:$B$48,Debt!$D$19:$D$48),IF(H9&gt;=Summary!$C$12+2,LOOKUP(H9-5,Debt!$Q$19:$Q$58,Debt!$S$19:$S$58),0))</f>
        <v>0</v>
      </c>
      <c r="I84" s="169">
        <f>IF(AND(I9&gt;Summary!$C$12,I9&lt;Summary!$C$12+2),LOOKUP(I9,Debt!$B$19:$B$48,Debt!$D$19:$D$48),IF(I9&gt;=Summary!$C$12+2,LOOKUP(I9-5,Debt!$Q$19:$Q$58,Debt!$S$19:$S$58),0))</f>
        <v>0</v>
      </c>
      <c r="J84" s="169">
        <f>IF(AND(J9&gt;Summary!$C$12,J9&lt;Summary!$C$12+2),LOOKUP(J9,Debt!$B$19:$B$48,Debt!$D$19:$D$48),IF(J9&gt;=Summary!$C$12+2,LOOKUP(J9-5,Debt!$Q$19:$Q$58,Debt!$S$19:$S$58),0))</f>
        <v>5089046.666666667</v>
      </c>
      <c r="K84" s="169">
        <f ca="1">IF(AND(K9&gt;Summary!$C$12,K9&lt;Summary!$C$12+2),LOOKUP(K9,Debt!$B$19:$B$48,Debt!$D$19:$D$48),IF(K9&gt;=Summary!$C$12+2,LOOKUP(K9-5,Debt!$Q$19:$Q$58,Debt!$S$19:$S$58),0))</f>
        <v>5585225.1347819222</v>
      </c>
      <c r="L84" s="169">
        <f ca="1">IF(AND(L9&gt;Summary!$C$12,L9&lt;Summary!$C$12+2),LOOKUP(L9,Debt!$B$19:$B$48,Debt!$D$19:$D$48),IF(L9&gt;=Summary!$C$12+2,LOOKUP(L9-5,Debt!$Q$19:$Q$58,Debt!$S$19:$S$58),0))</f>
        <v>5585225.1347819222</v>
      </c>
      <c r="M84" s="169">
        <f ca="1">IF(AND(M9&gt;Summary!$C$12,M9&lt;Summary!$C$12+2),LOOKUP(M9,Debt!$B$19:$B$48,Debt!$D$19:$D$48),IF(M9&gt;=Summary!$C$12+2,LOOKUP(M9-5,Debt!$Q$19:$Q$58,Debt!$S$19:$S$58),0))</f>
        <v>5585225.1347819222</v>
      </c>
      <c r="N84" s="169">
        <f ca="1">IF(AND(N9&gt;Summary!$C$12,N9&lt;Summary!$C$12+2),LOOKUP(N9,Debt!$B$19:$B$48,Debt!$D$19:$D$48),IF(N9&gt;=Summary!$C$12+2,LOOKUP(N9-5,Debt!$Q$19:$Q$58,Debt!$S$19:$S$58),0))</f>
        <v>5585225.1347819222</v>
      </c>
      <c r="O84" s="169">
        <f ca="1">IF(AND(O9&gt;Summary!$C$12,O9&lt;Summary!$C$12+2),LOOKUP(O9,Debt!$B$19:$B$48,Debt!$D$19:$D$48),IF(O9&gt;=Summary!$C$12+2,LOOKUP(O9-5,Debt!$Q$19:$Q$58,Debt!$S$19:$S$58),0))</f>
        <v>5585225.1347819222</v>
      </c>
      <c r="P84" s="169">
        <f ca="1">IF(AND(P9&gt;Summary!$C$12,P9&lt;Summary!$C$12+2),LOOKUP(P9,Debt!$B$19:$B$48,Debt!$D$19:$D$48),IF(P9&gt;=Summary!$C$12+2,LOOKUP(P9-5,Debt!$Q$19:$Q$58,Debt!$S$19:$S$58),0))</f>
        <v>5585225.1347819222</v>
      </c>
      <c r="Q84" s="169">
        <f ca="1">IF(AND(Q9&gt;Summary!$C$12,Q9&lt;Summary!$C$12+2),LOOKUP(Q9,Debt!$B$19:$B$48,Debt!$D$19:$D$48),IF(Q9&gt;=Summary!$C$12+2,LOOKUP(Q9-5,Debt!$Q$19:$Q$58,Debt!$S$19:$S$58),0))</f>
        <v>5585225.1347819222</v>
      </c>
      <c r="R84" s="169">
        <f ca="1">IF(AND(R9&gt;Summary!$C$12,R9&lt;Summary!$C$12+2),LOOKUP(R9,Debt!$B$19:$B$48,Debt!$D$19:$D$48),IF(R9&gt;=Summary!$C$12+2,LOOKUP(R9-5,Debt!$Q$19:$Q$58,Debt!$S$19:$S$58),0))</f>
        <v>5585225.1347819222</v>
      </c>
      <c r="S84" s="169">
        <f ca="1">IF(AND(S9&gt;Summary!$C$12,S9&lt;Summary!$C$12+2),LOOKUP(S9,Debt!$B$19:$B$48,Debt!$D$19:$D$48),IF(S9&gt;=Summary!$C$12+2,LOOKUP(S9-5,Debt!$Q$19:$Q$58,Debt!$S$19:$S$58),0))</f>
        <v>5585225.1347819222</v>
      </c>
      <c r="T84" s="166">
        <f ca="1">IF(AND(T9&gt;Summary!$C$12,T9&lt;Summary!$C$12+2),LOOKUP(T9,Debt!$B$19:$B$48,Debt!$D$19:$D$48),IF(T9&gt;=Summary!$C$12+2,LOOKUP(T9-5,Debt!$Q$19:$Q$58,Debt!$S$19:$S$58),0))</f>
        <v>5525093.9055610765</v>
      </c>
    </row>
    <row r="85" spans="2:20">
      <c r="B85" s="269" t="s">
        <v>209</v>
      </c>
      <c r="C85" s="258"/>
      <c r="E85" s="169">
        <f>IF(AND(E9&gt;Summary!$C$12,E9&lt;Summary!$C$12+2),LOOKUP(E9,Debt!$B$19:$B$48,Debt!$E$19:$E$48),IF(E9&gt;5,LOOKUP(E9-5,Debt!$Q$19:$Q$58,Debt!$T$19:$T$58),0))</f>
        <v>0</v>
      </c>
      <c r="F85" s="169">
        <f>IF(AND(F9&gt;Summary!$C$12,F9&lt;Summary!$C$12+2),LOOKUP(F9,Debt!$B$19:$B$48,Debt!$E$19:$E$48),IF(F9&gt;5,LOOKUP(F9-5,Debt!$Q$19:$Q$58,Debt!$T$19:$T$58),0))</f>
        <v>0</v>
      </c>
      <c r="G85" s="169">
        <f>IF(AND(G9&gt;Summary!$C$12,G9&lt;Summary!$C$12+2),LOOKUP(G9,Debt!$B$19:$B$48,Debt!$E$19:$E$48),IF(G9&gt;5,LOOKUP(G9-5,Debt!$Q$19:$Q$58,Debt!$T$19:$T$58),0))</f>
        <v>0</v>
      </c>
      <c r="H85" s="169">
        <f>IF(AND(H9&gt;Summary!$C$12,H9&lt;Summary!$C$12+2),LOOKUP(H9,Debt!$B$19:$B$48,Debt!$E$19:$E$48),IF(H9&gt;5,LOOKUP(H9-5,Debt!$Q$19:$Q$58,Debt!$T$19:$T$58),0))</f>
        <v>0</v>
      </c>
      <c r="I85" s="169">
        <f>IF(AND(I9&gt;Summary!$C$12,I9&lt;Summary!$C$12+2),LOOKUP(I9,Debt!$B$19:$B$48,Debt!$E$19:$E$48),IF(I9&gt;5,LOOKUP(I9-5,Debt!$Q$19:$Q$58,Debt!$T$19:$T$58),0))</f>
        <v>0</v>
      </c>
      <c r="J85" s="169">
        <f>IF(AND(J9&gt;Summary!$C$12,J9&lt;Summary!$C$12+2),LOOKUP(J9,Debt!$B$19:$B$48,Debt!$E$19:$E$48),IF(J9&gt;5,LOOKUP(J9-5,Debt!$Q$19:$Q$58,Debt!$T$19:$T$58),0))</f>
        <v>0</v>
      </c>
      <c r="K85" s="169">
        <f>IF(AND(K9&gt;Summary!$C$12,K9&lt;Summary!$C$12+2),LOOKUP(K9,Debt!$B$19:$B$48,Debt!$E$19:$E$48),IF(K9&gt;5,LOOKUP(K9-5,Debt!$Q$19:$Q$58,Debt!$T$19:$T$58),0))</f>
        <v>0</v>
      </c>
      <c r="L85" s="169">
        <f>IF(AND(L9&gt;Summary!$C$12,L9&lt;Summary!$C$12+2),LOOKUP(L9,Debt!$B$19:$B$48,Debt!$E$19:$E$48),IF(L9&gt;5,LOOKUP(L9-5,Debt!$Q$19:$Q$58,Debt!$T$19:$T$58),0))</f>
        <v>0</v>
      </c>
      <c r="M85" s="169">
        <f>IF(AND(M9&gt;Summary!$C$12,M9&lt;Summary!$C$12+2),LOOKUP(M9,Debt!$B$19:$B$48,Debt!$E$19:$E$48),IF(M9&gt;5,LOOKUP(M9-5,Debt!$Q$19:$Q$58,Debt!$T$19:$T$58),0))</f>
        <v>0</v>
      </c>
      <c r="N85" s="169">
        <f>IF(AND(N9&gt;Summary!$C$12,N9&lt;Summary!$C$12+2),LOOKUP(N9,Debt!$B$19:$B$48,Debt!$E$19:$E$48),IF(N9&gt;5,LOOKUP(N9-5,Debt!$Q$19:$Q$58,Debt!$T$19:$T$58),0))</f>
        <v>0</v>
      </c>
      <c r="O85" s="169">
        <f>IF(AND(O9&gt;Summary!$C$12,O9&lt;Summary!$C$12+2),LOOKUP(O9,Debt!$B$19:$B$48,Debt!$E$19:$E$48),IF(O9&gt;5,LOOKUP(O9-5,Debt!$Q$19:$Q$58,Debt!$T$19:$T$58),0))</f>
        <v>0</v>
      </c>
      <c r="P85" s="169">
        <f>IF(AND(P9&gt;Summary!$C$12,P9&lt;Summary!$C$12+2),LOOKUP(P9,Debt!$B$19:$B$48,Debt!$E$19:$E$48),IF(P9&gt;5,LOOKUP(P9-5,Debt!$Q$19:$Q$58,Debt!$T$19:$T$58),0))</f>
        <v>0</v>
      </c>
      <c r="Q85" s="169">
        <f>IF(AND(Q9&gt;Summary!$C$12,Q9&lt;Summary!$C$12+2),LOOKUP(Q9,Debt!$B$19:$B$48,Debt!$E$19:$E$48),IF(Q9&gt;5,LOOKUP(Q9-5,Debt!$Q$19:$Q$58,Debt!$T$19:$T$58),0))</f>
        <v>0</v>
      </c>
      <c r="R85" s="169">
        <f>IF(AND(R9&gt;Summary!$C$12,R9&lt;Summary!$C$12+2),LOOKUP(R9,Debt!$B$19:$B$48,Debt!$E$19:$E$48),IF(R9&gt;5,LOOKUP(R9-5,Debt!$Q$19:$Q$58,Debt!$T$19:$T$58),0))</f>
        <v>0</v>
      </c>
      <c r="S85" s="169">
        <f>IF(AND(S9&gt;Summary!$C$12,S9&lt;Summary!$C$12+2),LOOKUP(S9,Debt!$B$19:$B$48,Debt!$E$19:$E$48),IF(S9&gt;5,LOOKUP(S9-5,Debt!$Q$19:$Q$58,Debt!$T$19:$T$58),0))</f>
        <v>0</v>
      </c>
      <c r="T85" s="166">
        <f ca="1">IF(AND(T9&gt;Summary!$C$12,T9&lt;Summary!$C$12+2),LOOKUP(T9,Debt!$B$19:$B$48,Debt!$E$19:$E$48),IF(T9&gt;5,LOOKUP(T9-5,Debt!$Q$19:$Q$58,Debt!$T$19:$T$58),0))</f>
        <v>1898138.8410472823</v>
      </c>
    </row>
    <row r="86" spans="2:20">
      <c r="B86" s="275" t="s">
        <v>338</v>
      </c>
      <c r="C86" s="276"/>
      <c r="D86" s="150"/>
      <c r="E86" s="280">
        <f t="shared" ref="E86:T86" si="62">SUM(E84:E85)</f>
        <v>0</v>
      </c>
      <c r="F86" s="280">
        <f t="shared" si="62"/>
        <v>0</v>
      </c>
      <c r="G86" s="280">
        <f t="shared" si="62"/>
        <v>0</v>
      </c>
      <c r="H86" s="280">
        <f t="shared" si="62"/>
        <v>0</v>
      </c>
      <c r="I86" s="280">
        <f t="shared" si="62"/>
        <v>0</v>
      </c>
      <c r="J86" s="280">
        <f t="shared" si="62"/>
        <v>5089046.666666667</v>
      </c>
      <c r="K86" s="280">
        <f t="shared" ca="1" si="62"/>
        <v>5585225.1347819222</v>
      </c>
      <c r="L86" s="280">
        <f t="shared" ca="1" si="62"/>
        <v>5585225.1347819222</v>
      </c>
      <c r="M86" s="280">
        <f t="shared" ca="1" si="62"/>
        <v>5585225.1347819222</v>
      </c>
      <c r="N86" s="280">
        <f t="shared" ca="1" si="62"/>
        <v>5585225.1347819222</v>
      </c>
      <c r="O86" s="280">
        <f t="shared" ca="1" si="62"/>
        <v>5585225.1347819222</v>
      </c>
      <c r="P86" s="280">
        <f t="shared" ca="1" si="62"/>
        <v>5585225.1347819222</v>
      </c>
      <c r="Q86" s="280">
        <f t="shared" ca="1" si="62"/>
        <v>5585225.1347819222</v>
      </c>
      <c r="R86" s="280">
        <f t="shared" ca="1" si="62"/>
        <v>5585225.1347819222</v>
      </c>
      <c r="S86" s="280">
        <f t="shared" ca="1" si="62"/>
        <v>5585225.1347819222</v>
      </c>
      <c r="T86" s="145">
        <f t="shared" ca="1" si="62"/>
        <v>7423232.7466083588</v>
      </c>
    </row>
    <row r="87" spans="2:20">
      <c r="B87" s="272" t="s">
        <v>289</v>
      </c>
      <c r="C87" s="258"/>
      <c r="E87" s="292" t="str">
        <f ca="1">IFERROR(E81/E86," ")</f>
        <v xml:space="preserve"> </v>
      </c>
      <c r="F87" s="292" t="str">
        <f ca="1">IFERROR(F81/F86," ")</f>
        <v xml:space="preserve"> </v>
      </c>
      <c r="G87" s="292" t="str">
        <f ca="1">IFERROR(G81/G86," ")</f>
        <v xml:space="preserve"> </v>
      </c>
      <c r="H87" s="292" t="str">
        <f ca="1">IFERROR(H81/H86," ")</f>
        <v xml:space="preserve"> </v>
      </c>
      <c r="I87" s="292" t="str">
        <f t="shared" ref="I87:T87" ca="1" si="63">IFERROR(I81/I86," ")</f>
        <v xml:space="preserve"> </v>
      </c>
      <c r="J87" s="292">
        <f t="shared" ca="1" si="63"/>
        <v>1.1483190517562767</v>
      </c>
      <c r="K87" s="292">
        <f t="shared" ca="1" si="63"/>
        <v>1.3686222757971767</v>
      </c>
      <c r="L87" s="292">
        <f t="shared" ca="1" si="63"/>
        <v>1.4124131655144794</v>
      </c>
      <c r="M87" s="292">
        <f t="shared" ca="1" si="63"/>
        <v>1.4576134096738202</v>
      </c>
      <c r="N87" s="292">
        <f t="shared" ca="1" si="63"/>
        <v>1.504268635879729</v>
      </c>
      <c r="O87" s="292">
        <f t="shared" ca="1" si="63"/>
        <v>1.5524259577088635</v>
      </c>
      <c r="P87" s="292">
        <f t="shared" ca="1" si="63"/>
        <v>1.6021340233892187</v>
      </c>
      <c r="Q87" s="292">
        <f t="shared" ca="1" si="63"/>
        <v>1.6534430660832025</v>
      </c>
      <c r="R87" s="292">
        <f t="shared" ca="1" si="63"/>
        <v>1.7064049558277363</v>
      </c>
      <c r="S87" s="292">
        <f t="shared" ca="1" si="63"/>
        <v>1.7610732531862776</v>
      </c>
      <c r="T87" s="486">
        <f t="shared" ca="1" si="63"/>
        <v>1.3674857387461461</v>
      </c>
    </row>
    <row r="88" spans="2:20">
      <c r="B88" s="269"/>
      <c r="C88" s="258"/>
      <c r="T88" s="114"/>
    </row>
    <row r="89" spans="2:20" ht="17" thickBot="1">
      <c r="B89" s="281" t="s">
        <v>365</v>
      </c>
      <c r="C89" s="282"/>
      <c r="D89" s="283"/>
      <c r="E89" s="284">
        <f t="shared" ref="E89:J89" ca="1" si="64">E81-E86</f>
        <v>0</v>
      </c>
      <c r="F89" s="284">
        <f t="shared" ca="1" si="64"/>
        <v>0</v>
      </c>
      <c r="G89" s="284">
        <f t="shared" ca="1" si="64"/>
        <v>0</v>
      </c>
      <c r="H89" s="284">
        <f t="shared" ca="1" si="64"/>
        <v>0</v>
      </c>
      <c r="I89" s="284">
        <f t="shared" ca="1" si="64"/>
        <v>798750.23840830487</v>
      </c>
      <c r="J89" s="284">
        <f t="shared" ca="1" si="64"/>
        <v>754802.57594344113</v>
      </c>
      <c r="K89" s="284">
        <f t="shared" ref="K89:T89" ca="1" si="65">K81-K86</f>
        <v>2058838.4000229044</v>
      </c>
      <c r="L89" s="284">
        <f t="shared" ca="1" si="65"/>
        <v>2303420.3779464466</v>
      </c>
      <c r="M89" s="284">
        <f t="shared" ca="1" si="65"/>
        <v>2555873.9177234778</v>
      </c>
      <c r="N89" s="284">
        <f t="shared" ca="1" si="65"/>
        <v>2816453.8597976556</v>
      </c>
      <c r="O89" s="284">
        <f t="shared" ca="1" si="65"/>
        <v>3085423.3441015193</v>
      </c>
      <c r="P89" s="284">
        <f t="shared" ca="1" si="65"/>
        <v>3363054.0819408307</v>
      </c>
      <c r="Q89" s="284">
        <f t="shared" ca="1" si="65"/>
        <v>3649626.6368368668</v>
      </c>
      <c r="R89" s="284">
        <f t="shared" ca="1" si="65"/>
        <v>3945430.7146235863</v>
      </c>
      <c r="S89" s="284">
        <f t="shared" ca="1" si="65"/>
        <v>4250765.4631062439</v>
      </c>
      <c r="T89" s="285">
        <f t="shared" ca="1" si="65"/>
        <v>2727932.1697719553</v>
      </c>
    </row>
    <row r="90" spans="2:20" ht="18" thickTop="1" thickBot="1">
      <c r="B90" s="136" t="s">
        <v>288</v>
      </c>
      <c r="C90" s="274"/>
      <c r="D90" s="131"/>
      <c r="E90" s="288">
        <f ca="1">E89/Summary!$K$8</f>
        <v>0</v>
      </c>
      <c r="F90" s="288">
        <f ca="1">F89/Summary!$K$8</f>
        <v>0</v>
      </c>
      <c r="G90" s="288">
        <f ca="1">G89/Summary!$K$8</f>
        <v>0</v>
      </c>
      <c r="H90" s="288">
        <f ca="1">H89/Summary!$K$8</f>
        <v>0</v>
      </c>
      <c r="I90" s="288">
        <f ca="1">I89/Summary!$K$8</f>
        <v>1.4949114706878597E-2</v>
      </c>
      <c r="J90" s="288">
        <f ca="1">J89/Summary!$K$8</f>
        <v>1.4126606473772322E-2</v>
      </c>
      <c r="K90" s="288">
        <f ca="1">K89/Summary!$K$8</f>
        <v>3.8532459741358861E-2</v>
      </c>
      <c r="L90" s="288">
        <f ca="1">L89/Summary!$K$8</f>
        <v>4.3109965784424685E-2</v>
      </c>
      <c r="M90" s="288">
        <f ca="1">M89/Summary!$K$8</f>
        <v>4.7834793074373119E-2</v>
      </c>
      <c r="N90" s="288">
        <f ca="1">N89/Summary!$K$8</f>
        <v>5.2711711110906327E-2</v>
      </c>
      <c r="O90" s="288">
        <f ca="1">O89/Summary!$K$8</f>
        <v>5.7745644723897704E-2</v>
      </c>
      <c r="P90" s="288">
        <f ca="1">P89/Summary!$K$8</f>
        <v>6.2941679161878858E-2</v>
      </c>
      <c r="Q90" s="288">
        <f ca="1">Q89/Summary!$K$8</f>
        <v>6.830506534818033E-2</v>
      </c>
      <c r="R90" s="288">
        <f ca="1">R89/Summary!$K$8</f>
        <v>7.3841225310283101E-2</v>
      </c>
      <c r="S90" s="288">
        <f ca="1">S89/Summary!$K$8</f>
        <v>7.9555757788118686E-2</v>
      </c>
      <c r="T90" s="289">
        <f ca="1">T89/Summary!$K$8</f>
        <v>5.1054971826699082E-2</v>
      </c>
    </row>
  </sheetData>
  <pageMargins left="0.7" right="0.7" top="0.75" bottom="0.75" header="0.3" footer="0.3"/>
  <pageSetup scale="50" orientation="portrait" horizontalDpi="0" verticalDpi="0"/>
  <colBreaks count="2" manualBreakCount="2">
    <brk id="12" max="89" man="1"/>
    <brk id="20" max="1048575" man="1"/>
  </colBreaks>
  <ignoredErrors>
    <ignoredError sqref="E29:T2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E4E-776A-714F-B5BA-05FF2D1C8F8C}">
  <sheetPr codeName="Sheet6"/>
  <dimension ref="B2:Y27"/>
  <sheetViews>
    <sheetView zoomScaleNormal="100" workbookViewId="0">
      <selection activeCell="K27" sqref="K27"/>
    </sheetView>
  </sheetViews>
  <sheetFormatPr baseColWidth="10" defaultRowHeight="16"/>
  <cols>
    <col min="2" max="2" width="21.83203125" customWidth="1"/>
    <col min="3" max="3" width="3.6640625" customWidth="1"/>
    <col min="4" max="4" width="14.5" bestFit="1" customWidth="1"/>
    <col min="5" max="5" width="3.6640625" customWidth="1"/>
    <col min="6" max="6" width="17" customWidth="1"/>
    <col min="7" max="7" width="13.5" customWidth="1"/>
    <col min="8" max="8" width="12.5" bestFit="1" customWidth="1"/>
    <col min="9" max="9" width="12.1640625" bestFit="1" customWidth="1"/>
    <col min="10" max="10" width="14.83203125" customWidth="1"/>
    <col min="11" max="11" width="14.5" bestFit="1" customWidth="1"/>
    <col min="12" max="12" width="14.33203125" customWidth="1"/>
    <col min="13" max="13" width="14.6640625" customWidth="1"/>
    <col min="14" max="14" width="14.5" bestFit="1" customWidth="1"/>
    <col min="15" max="15" width="16" bestFit="1" customWidth="1"/>
    <col min="16" max="16" width="14.83203125" customWidth="1"/>
    <col min="17" max="17" width="13.6640625" customWidth="1"/>
    <col min="18" max="18" width="12.5" bestFit="1" customWidth="1"/>
    <col min="20" max="20" width="13" bestFit="1" customWidth="1"/>
  </cols>
  <sheetData>
    <row r="2" spans="2:25">
      <c r="B2" s="164" t="s">
        <v>464</v>
      </c>
    </row>
    <row r="5" spans="2:25" ht="17" thickBot="1"/>
    <row r="6" spans="2:25">
      <c r="B6" s="235" t="s">
        <v>372</v>
      </c>
      <c r="C6" s="236"/>
      <c r="D6" s="254">
        <f ca="1">LOOKUP("Stabilization",F6:V6,F9:V9)-3+Summary!C57</f>
        <v>10</v>
      </c>
      <c r="F6" s="365"/>
      <c r="G6" s="366"/>
      <c r="H6" s="366"/>
      <c r="I6" s="366"/>
      <c r="J6" s="367" t="str">
        <f ca="1">'Rental - Annual Proforma'!H6</f>
        <v xml:space="preserve"> </v>
      </c>
      <c r="K6" s="367" t="str">
        <f ca="1">'Rental - Annual Proforma'!I6</f>
        <v>Lease-up</v>
      </c>
      <c r="L6" s="367" t="str">
        <f ca="1">'Rental - Annual Proforma'!J6</f>
        <v>Lease-up</v>
      </c>
      <c r="M6" s="367" t="str">
        <f ca="1">'Rental - Annual Proforma'!K6</f>
        <v>Stabilization</v>
      </c>
      <c r="N6" s="367" t="str">
        <f ca="1">'Rental - Annual Proforma'!L6</f>
        <v xml:space="preserve"> </v>
      </c>
      <c r="O6" s="366"/>
      <c r="P6" s="366"/>
      <c r="Q6" s="366"/>
      <c r="R6" s="366"/>
      <c r="S6" s="366"/>
      <c r="T6" s="366"/>
      <c r="U6" s="366"/>
      <c r="V6" s="368"/>
      <c r="W6" s="182"/>
      <c r="X6" s="182"/>
      <c r="Y6" s="182"/>
    </row>
    <row r="7" spans="2:25">
      <c r="B7" s="244"/>
      <c r="C7" s="142"/>
      <c r="D7" s="152"/>
      <c r="F7" s="369"/>
      <c r="G7" s="515" t="str">
        <f>'Rental - Annual Proforma'!E7</f>
        <v>Const.</v>
      </c>
      <c r="H7" s="515" t="str">
        <f>'Rental - Annual Proforma'!F7</f>
        <v>Const.</v>
      </c>
      <c r="I7" s="515" t="str">
        <f>'Rental - Annual Proforma'!G7</f>
        <v>Const.</v>
      </c>
      <c r="J7" s="515" t="str">
        <f>'Rental - Annual Proforma'!H7</f>
        <v>Const.</v>
      </c>
      <c r="K7" s="515" t="str">
        <f>'Rental - Annual Proforma'!I7</f>
        <v xml:space="preserve"> </v>
      </c>
      <c r="L7" s="515"/>
      <c r="M7" s="515"/>
      <c r="N7" s="516"/>
      <c r="O7" s="516"/>
      <c r="P7" s="516"/>
      <c r="Q7" s="516"/>
      <c r="R7" s="516"/>
      <c r="S7" s="516"/>
      <c r="T7" s="516"/>
      <c r="U7" s="516"/>
      <c r="V7" s="370"/>
      <c r="W7" s="182"/>
      <c r="X7" s="182"/>
      <c r="Y7" s="182"/>
    </row>
    <row r="8" spans="2:25">
      <c r="B8" s="187" t="s">
        <v>375</v>
      </c>
      <c r="C8" s="237"/>
      <c r="D8" s="114"/>
      <c r="F8" s="244" t="s">
        <v>452</v>
      </c>
      <c r="G8" s="248">
        <f>'Rental - Annual Proforma'!E8</f>
        <v>44196</v>
      </c>
      <c r="H8" s="248">
        <f>'Rental - Annual Proforma'!F8</f>
        <v>44561</v>
      </c>
      <c r="I8" s="248">
        <f>'Rental - Annual Proforma'!G8</f>
        <v>44926</v>
      </c>
      <c r="J8" s="248">
        <f>'Rental - Annual Proforma'!H8</f>
        <v>45291</v>
      </c>
      <c r="K8" s="248">
        <f>'Rental - Annual Proforma'!I8</f>
        <v>45657</v>
      </c>
      <c r="L8" s="248">
        <f>'Rental - Annual Proforma'!J8</f>
        <v>46022</v>
      </c>
      <c r="M8" s="248">
        <f>'Rental - Annual Proforma'!K8</f>
        <v>46387</v>
      </c>
      <c r="N8" s="248">
        <f>'Rental - Annual Proforma'!L8</f>
        <v>46752</v>
      </c>
      <c r="O8" s="248">
        <f>'Rental - Annual Proforma'!M8</f>
        <v>47118</v>
      </c>
      <c r="P8" s="248">
        <f>'Rental - Annual Proforma'!N8</f>
        <v>47483</v>
      </c>
      <c r="Q8" s="248">
        <f>'Rental - Annual Proforma'!O8</f>
        <v>47848</v>
      </c>
      <c r="R8" s="248">
        <f>'Rental - Annual Proforma'!P8</f>
        <v>48213</v>
      </c>
      <c r="S8" s="248">
        <f>'Rental - Annual Proforma'!Q8</f>
        <v>48579</v>
      </c>
      <c r="T8" s="248">
        <f>'Rental - Annual Proforma'!R8</f>
        <v>48944</v>
      </c>
      <c r="U8" s="248">
        <f>'Rental - Annual Proforma'!S8</f>
        <v>49309</v>
      </c>
      <c r="V8" s="249">
        <f>'Rental - Annual Proforma'!T8</f>
        <v>49674</v>
      </c>
      <c r="W8" s="102"/>
      <c r="X8" s="102"/>
      <c r="Y8" s="102"/>
    </row>
    <row r="9" spans="2:25">
      <c r="B9" s="120" t="s">
        <v>159</v>
      </c>
      <c r="D9" s="166">
        <f ca="1">LOOKUP(D6+1,'Rental - Annual Proforma'!$E$9:$T$9,'Rental - Annual Proforma'!$E$78:$T$78)</f>
        <v>5168391.7843223764</v>
      </c>
      <c r="F9" s="250" t="s">
        <v>451</v>
      </c>
      <c r="G9" s="252">
        <f>'Rental - Annual Proforma'!E9</f>
        <v>1</v>
      </c>
      <c r="H9" s="252">
        <f>'Rental - Annual Proforma'!F9</f>
        <v>2</v>
      </c>
      <c r="I9" s="252">
        <f>'Rental - Annual Proforma'!G9</f>
        <v>3</v>
      </c>
      <c r="J9" s="252">
        <f>'Rental - Annual Proforma'!H9</f>
        <v>4</v>
      </c>
      <c r="K9" s="252">
        <f>'Rental - Annual Proforma'!I9</f>
        <v>5</v>
      </c>
      <c r="L9" s="252">
        <f>'Rental - Annual Proforma'!J9</f>
        <v>6</v>
      </c>
      <c r="M9" s="252">
        <f>'Rental - Annual Proforma'!K9</f>
        <v>7</v>
      </c>
      <c r="N9" s="252">
        <f>'Rental - Annual Proforma'!L9</f>
        <v>8</v>
      </c>
      <c r="O9" s="252">
        <f>'Rental - Annual Proforma'!M9</f>
        <v>9</v>
      </c>
      <c r="P9" s="252">
        <f>'Rental - Annual Proforma'!N9</f>
        <v>10</v>
      </c>
      <c r="Q9" s="252">
        <f>'Rental - Annual Proforma'!O9</f>
        <v>11</v>
      </c>
      <c r="R9" s="252">
        <f>'Rental - Annual Proforma'!P9</f>
        <v>12</v>
      </c>
      <c r="S9" s="252">
        <f>'Rental - Annual Proforma'!Q9</f>
        <v>13</v>
      </c>
      <c r="T9" s="252">
        <f>'Rental - Annual Proforma'!R9</f>
        <v>14</v>
      </c>
      <c r="U9" s="252">
        <f>'Rental - Annual Proforma'!S9</f>
        <v>15</v>
      </c>
      <c r="V9" s="253">
        <f>'Rental - Annual Proforma'!T9</f>
        <v>16</v>
      </c>
    </row>
    <row r="10" spans="2:25">
      <c r="B10" s="120" t="s">
        <v>376</v>
      </c>
      <c r="D10" s="166">
        <f ca="1">LOOKUP(D6+1,'Rental - Annual Proforma'!$E$9:$T$9,'Rental - Annual Proforma'!$E$38:$T$38)</f>
        <v>3502256.6945610661</v>
      </c>
      <c r="F10" s="120" t="s">
        <v>163</v>
      </c>
      <c r="G10" s="169">
        <f ca="1">-SUMIFS('Construction Schedule'!$I$69:$BN$69,'Construction Schedule'!$I$7:$BN$7,"&gt;="&amp;Summary!C10,'Construction Schedule'!$I$7:$BN$7,"&lt;"&amp;'Rental - Returns'!H8)</f>
        <v>-32955772.732635163</v>
      </c>
      <c r="H10" s="169">
        <f ca="1">-SUMIFS('Construction Schedule'!$I$69:$BN$69,'Construction Schedule'!$I$7:$BN$7,"&gt;="&amp;H8,'Construction Schedule'!$I$7:$BN$7,"&lt;"&amp;'Rental - Returns'!I8)</f>
        <v>-20475500.895947851</v>
      </c>
      <c r="I10" s="169">
        <f ca="1">-SUMIFS('Construction Schedule'!$I$69:$BN$69,'Construction Schedule'!$I$7:$BN$7,"&gt;="&amp;I8,'Construction Schedule'!$I$7:$BN$7,"&lt;"&amp;'Rental - Returns'!J8)</f>
        <v>0</v>
      </c>
      <c r="J10" s="169">
        <f ca="1">-SUMIFS('Construction Schedule'!$I$69:$BN$69,'Construction Schedule'!$I$7:$BN$7,"&gt;="&amp;J8,'Construction Schedule'!$I$7:$BN$7,"&lt;"&amp;'Rental - Returns'!K8)</f>
        <v>0</v>
      </c>
      <c r="K10" s="169">
        <f>-SUMIFS('Construction Schedule'!$I$69:$BN$69,'Construction Schedule'!$I$7:$BN$7,"&gt;="&amp;K8,'Construction Schedule'!$I$7:$BN$7,"&lt;"&amp;'Rental - Returns'!L8)</f>
        <v>0</v>
      </c>
      <c r="L10" s="169">
        <f>-SUMIFS('Construction Schedule'!$I$69:$BN$69,'Construction Schedule'!$I$7:$BN$7,"&gt;="&amp;L8,'Construction Schedule'!$I$7:$BN$7,"&lt;"&amp;'Rental - Returns'!M8)</f>
        <v>0</v>
      </c>
      <c r="M10" s="169">
        <f>-SUMIFS('Construction Schedule'!$I$69:$BN$69,'Construction Schedule'!$I$7:$BN$7,"&gt;="&amp;M8,'Construction Schedule'!$I$7:$BN$7,"&lt;"&amp;'Rental - Returns'!N8)</f>
        <v>0</v>
      </c>
      <c r="N10" s="169">
        <f>-SUMIFS('Construction Schedule'!$I$69:$BN$69,'Construction Schedule'!$I$7:$BN$7,"&gt;="&amp;N8,'Construction Schedule'!$I$7:$BN$7,"&lt;"&amp;'Rental - Returns'!O8)</f>
        <v>0</v>
      </c>
      <c r="O10" s="169">
        <f>-SUMIFS('Construction Schedule'!$I$69:$BN$69,'Construction Schedule'!$I$7:$BN$7,"&gt;="&amp;O8,'Construction Schedule'!$I$7:$BN$7,"&lt;"&amp;'Rental - Returns'!P8)</f>
        <v>0</v>
      </c>
      <c r="P10" s="169">
        <f>-SUMIFS('Construction Schedule'!$I$69:$BN$69,'Construction Schedule'!$I$7:$BN$7,"&gt;="&amp;P8,'Construction Schedule'!$I$7:$BN$7,"&lt;"&amp;'Rental - Returns'!Q8)</f>
        <v>0</v>
      </c>
      <c r="Q10" s="169">
        <f>-SUMIFS('Construction Schedule'!$I$69:$BN$69,'Construction Schedule'!$I$7:$BN$7,"&gt;="&amp;Q8,'Construction Schedule'!$I$7:$BN$7,"&lt;"&amp;'Rental - Returns'!R8)</f>
        <v>0</v>
      </c>
      <c r="R10" s="169">
        <f>-SUMIFS('Construction Schedule'!$I$69:$BN$69,'Construction Schedule'!$I$7:$BN$7,"&gt;="&amp;R8,'Construction Schedule'!$I$7:$BN$7,"&lt;"&amp;'Rental - Returns'!S8)</f>
        <v>0</v>
      </c>
      <c r="S10" s="169">
        <f>-SUMIFS('Construction Schedule'!$I$69:$BN$69,'Construction Schedule'!$I$7:$BN$7,"&gt;="&amp;S8,'Construction Schedule'!$I$7:$BN$7,"&lt;"&amp;'Rental - Returns'!T8)</f>
        <v>0</v>
      </c>
      <c r="T10" s="169">
        <f>-SUMIFS('Construction Schedule'!$I$69:$BN$69,'Construction Schedule'!$I$7:$BN$7,"&gt;="&amp;T8,'Construction Schedule'!$I$7:$BN$7,"&lt;"&amp;'Rental - Returns'!U8)</f>
        <v>0</v>
      </c>
      <c r="U10" s="169">
        <f>-SUMIFS('Construction Schedule'!$I$69:$BN$69,'Construction Schedule'!$I$7:$BN$7,"&gt;="&amp;U8,'Construction Schedule'!$I$7:$BN$7,"&lt;"&amp;'Rental - Returns'!V8)</f>
        <v>0</v>
      </c>
      <c r="V10" s="166">
        <f>-SUMIFS('Construction Schedule'!$I$69:$BN$69,'Construction Schedule'!$I$7:$BN$7,"&gt;="&amp;V8,'Construction Schedule'!$I$7:$BN$7,"&lt;"&amp;'Rental - Returns'!W8)</f>
        <v>0</v>
      </c>
      <c r="W10" s="159"/>
      <c r="X10" s="159"/>
      <c r="Y10" s="159"/>
    </row>
    <row r="11" spans="2:25">
      <c r="B11" s="120"/>
      <c r="D11" s="114"/>
      <c r="F11" s="120" t="s">
        <v>287</v>
      </c>
      <c r="G11" s="169">
        <f ca="1">'Rental - Annual Proforma'!E89</f>
        <v>0</v>
      </c>
      <c r="H11" s="169">
        <f ca="1">'Rental - Annual Proforma'!F89</f>
        <v>0</v>
      </c>
      <c r="I11" s="169">
        <f ca="1">'Rental - Annual Proforma'!G89</f>
        <v>0</v>
      </c>
      <c r="J11" s="169">
        <f ca="1">'Rental - Annual Proforma'!H89</f>
        <v>0</v>
      </c>
      <c r="K11" s="169">
        <f ca="1">'Rental - Annual Proforma'!I89</f>
        <v>798750.23840830487</v>
      </c>
      <c r="L11" s="169">
        <f ca="1">'Rental - Annual Proforma'!J89</f>
        <v>754802.57594344113</v>
      </c>
      <c r="M11" s="169">
        <f ca="1">'Rental - Annual Proforma'!K89</f>
        <v>2058838.4000229044</v>
      </c>
      <c r="N11" s="169">
        <f ca="1">'Rental - Annual Proforma'!L89</f>
        <v>2303420.3779464466</v>
      </c>
      <c r="O11" s="169">
        <f ca="1">'Rental - Annual Proforma'!M89</f>
        <v>2555873.9177234778</v>
      </c>
      <c r="P11" s="169">
        <f ca="1">'Rental - Annual Proforma'!N89</f>
        <v>2816453.8597976556</v>
      </c>
      <c r="Q11" s="169">
        <f ca="1">'Rental - Annual Proforma'!O89</f>
        <v>3085423.3441015193</v>
      </c>
      <c r="R11" s="169">
        <f ca="1">'Rental - Annual Proforma'!P89</f>
        <v>3363054.0819408307</v>
      </c>
      <c r="S11" s="169">
        <f ca="1">'Rental - Annual Proforma'!Q89</f>
        <v>3649626.6368368668</v>
      </c>
      <c r="T11" s="169">
        <f ca="1">'Rental - Annual Proforma'!R89</f>
        <v>3945430.7146235863</v>
      </c>
      <c r="U11" s="169">
        <f ca="1">'Rental - Annual Proforma'!S89</f>
        <v>4250765.4631062439</v>
      </c>
      <c r="V11" s="166">
        <f ca="1">'Rental - Annual Proforma'!T89</f>
        <v>2727932.1697719553</v>
      </c>
      <c r="W11" s="159"/>
      <c r="X11" s="159"/>
      <c r="Y11" s="159"/>
    </row>
    <row r="12" spans="2:25">
      <c r="B12" s="187" t="s">
        <v>377</v>
      </c>
      <c r="C12" s="237"/>
      <c r="D12" s="114"/>
      <c r="F12" s="120" t="s">
        <v>373</v>
      </c>
      <c r="G12" s="169">
        <f>IF(G6="Stabilization",Debt!$M$10,0)</f>
        <v>0</v>
      </c>
      <c r="H12" s="169">
        <f>IF(H6="Stabilization",Debt!$M$10,0)</f>
        <v>0</v>
      </c>
      <c r="I12" s="169">
        <f>IF(I6="Stabilization",Debt!$M$10,0)</f>
        <v>0</v>
      </c>
      <c r="J12" s="169">
        <f ca="1">IF(J6="Stabilization",Debt!$M$10,0)</f>
        <v>0</v>
      </c>
      <c r="K12" s="169">
        <f ca="1">IF(K6="Stabilization",Debt!$M$10,0)</f>
        <v>0</v>
      </c>
      <c r="L12" s="169">
        <f ca="1">IF(L6="Stabilization",Debt!$M$10,0)</f>
        <v>0</v>
      </c>
      <c r="M12" s="169">
        <f ca="1">IF(M6="Stabilization",Debt!$M$10,0)</f>
        <v>12320930.496884599</v>
      </c>
      <c r="N12" s="169">
        <f ca="1">IF(N6="Stabilization",Debt!$M$10,0)</f>
        <v>0</v>
      </c>
      <c r="O12" s="169">
        <f>IF(O6="Stabilization",Debt!$M$10,0)</f>
        <v>0</v>
      </c>
      <c r="P12" s="169">
        <f>IF(P6="Stabilization",Debt!$M$10,0)</f>
        <v>0</v>
      </c>
      <c r="Q12" s="169">
        <f>IF(Q6="Stabilization",Debt!$M$10,0)</f>
        <v>0</v>
      </c>
      <c r="R12" s="169">
        <f>IF(R6="Stabilization",Debt!$M$10,0)</f>
        <v>0</v>
      </c>
      <c r="S12" s="169">
        <f>IF(S6="Stabilization",Debt!$M$10,0)</f>
        <v>0</v>
      </c>
      <c r="T12" s="169">
        <f>IF(T6="Stabilization",Debt!$M$10,0)</f>
        <v>0</v>
      </c>
      <c r="U12" s="169">
        <f>IF(U6="Stabilization",Debt!$M$10,0)</f>
        <v>0</v>
      </c>
      <c r="V12" s="166">
        <f>IF(V6="Stabilization",Debt!$M$10,0)</f>
        <v>0</v>
      </c>
      <c r="W12" s="159"/>
      <c r="X12" s="159"/>
      <c r="Y12" s="159"/>
    </row>
    <row r="13" spans="2:25">
      <c r="B13" s="120" t="s">
        <v>159</v>
      </c>
      <c r="D13" s="140">
        <f ca="1">D9/Summary!C54</f>
        <v>73834168.347462505</v>
      </c>
      <c r="F13" s="120" t="s">
        <v>374</v>
      </c>
      <c r="G13" s="169">
        <f ca="1">IF(G9=$D$6,$D$17,0)</f>
        <v>0</v>
      </c>
      <c r="H13" s="169">
        <f t="shared" ref="H13:V13" ca="1" si="0">IF(H9=$D$6,$D$17,0)</f>
        <v>0</v>
      </c>
      <c r="I13" s="169">
        <f t="shared" ca="1" si="0"/>
        <v>0</v>
      </c>
      <c r="J13" s="169">
        <f t="shared" ca="1" si="0"/>
        <v>0</v>
      </c>
      <c r="K13" s="169">
        <f t="shared" ca="1" si="0"/>
        <v>0</v>
      </c>
      <c r="L13" s="169">
        <f t="shared" ca="1" si="0"/>
        <v>0</v>
      </c>
      <c r="M13" s="169">
        <f t="shared" ca="1" si="0"/>
        <v>0</v>
      </c>
      <c r="N13" s="169">
        <f t="shared" ca="1" si="0"/>
        <v>0</v>
      </c>
      <c r="O13" s="169">
        <f t="shared" ca="1" si="0"/>
        <v>0</v>
      </c>
      <c r="P13" s="169">
        <f t="shared" ca="1" si="0"/>
        <v>156548868.14014447</v>
      </c>
      <c r="Q13" s="169">
        <f t="shared" ca="1" si="0"/>
        <v>0</v>
      </c>
      <c r="R13" s="169">
        <f t="shared" ca="1" si="0"/>
        <v>0</v>
      </c>
      <c r="S13" s="169">
        <f t="shared" ca="1" si="0"/>
        <v>0</v>
      </c>
      <c r="T13" s="169">
        <f t="shared" ca="1" si="0"/>
        <v>0</v>
      </c>
      <c r="U13" s="169">
        <f t="shared" ca="1" si="0"/>
        <v>0</v>
      </c>
      <c r="V13" s="166">
        <f t="shared" ca="1" si="0"/>
        <v>0</v>
      </c>
      <c r="W13" s="159"/>
      <c r="X13" s="159"/>
      <c r="Y13" s="159"/>
    </row>
    <row r="14" spans="2:25">
      <c r="B14" s="120" t="s">
        <v>376</v>
      </c>
      <c r="D14" s="140">
        <f ca="1">D10/Summary!C53</f>
        <v>87556417.364026651</v>
      </c>
      <c r="F14" s="120" t="s">
        <v>380</v>
      </c>
      <c r="G14" s="169">
        <f ca="1">-IF(G9=$D$6,LOOKUP(G9-5,Debt!$Q$19:$Q$58,Debt!$U$19:$U$58),0)*1.01</f>
        <v>0</v>
      </c>
      <c r="H14" s="169">
        <f ca="1">-IF(H9=$D$6,LOOKUP(H9-5,Debt!$Q$19:$Q$58,Debt!$U$19:$U$58),0)*1.01</f>
        <v>0</v>
      </c>
      <c r="I14" s="169">
        <f ca="1">-IF(I9=$D$6,LOOKUP(I9-5,Debt!$Q$19:$Q$58,Debt!$U$19:$U$58),0)*1.01</f>
        <v>0</v>
      </c>
      <c r="J14" s="169">
        <f ca="1">-IF(J9=$D$6,LOOKUP(J9-5,Debt!$Q$19:$Q$58,Debt!$U$19:$U$58),0)*1.01</f>
        <v>0</v>
      </c>
      <c r="K14" s="169">
        <f ca="1">-IF(K9=$D$6,LOOKUP(K9-5,Debt!$Q$19:$Q$58,Debt!$U$19:$U$58),0)*1.01</f>
        <v>0</v>
      </c>
      <c r="L14" s="169">
        <f ca="1">-IF(L9=$D$6,LOOKUP(L9-5,Debt!$Q$19:$Q$58,Debt!$U$19:$U$58),0)*1.01</f>
        <v>0</v>
      </c>
      <c r="M14" s="169">
        <f ca="1">-IF(M9=$D$6,LOOKUP(M9-5,Debt!$Q$19:$Q$58,Debt!$U$19:$U$58),0)*1.01</f>
        <v>0</v>
      </c>
      <c r="N14" s="169">
        <f ca="1">-IF(N9=$D$6,LOOKUP(N9-5,Debt!$Q$19:$Q$58,Debt!$U$19:$U$58),0)*1.01</f>
        <v>0</v>
      </c>
      <c r="O14" s="169">
        <f ca="1">-IF(O9=$D$6,LOOKUP(O9-5,Debt!$Q$19:$Q$58,Debt!$U$19:$U$58),0)*1.01</f>
        <v>0</v>
      </c>
      <c r="P14" s="169">
        <f ca="1">-IF(P9=$D$6,LOOKUP(P9-5,Debt!$Q$19:$Q$58,Debt!$U$19:$U$58),0)*1.01</f>
        <v>-80586819.801853448</v>
      </c>
      <c r="Q14" s="169">
        <f ca="1">-IF(Q9=$D$6,LOOKUP(Q9-5,Debt!$Q$19:$Q$58,Debt!$U$19:$U$58),0)*1.01</f>
        <v>0</v>
      </c>
      <c r="R14" s="169">
        <f ca="1">-IF(R9=$D$6,LOOKUP(R9-5,Debt!$Q$19:$Q$58,Debt!$U$19:$U$58),0)*1.01</f>
        <v>0</v>
      </c>
      <c r="S14" s="169">
        <f ca="1">-IF(S9=$D$6,LOOKUP(S9-5,Debt!$Q$19:$Q$58,Debt!$U$19:$U$58),0)*1.01</f>
        <v>0</v>
      </c>
      <c r="T14" s="169">
        <f ca="1">-IF(T9=$D$6,LOOKUP(T9-5,Debt!$Q$19:$Q$58,Debt!$U$19:$U$58),0)*1.01</f>
        <v>0</v>
      </c>
      <c r="U14" s="169">
        <f ca="1">-IF(U9=$D$6,LOOKUP(U9-5,Debt!$Q$19:$Q$58,Debt!$U$19:$U$58),0)*1.01</f>
        <v>0</v>
      </c>
      <c r="V14" s="166">
        <f ca="1">-IF(V9=$D$6,LOOKUP(V9-5,Debt!$Q$19:$Q$58,Debt!$U$19:$U$58),0)*1.01</f>
        <v>0</v>
      </c>
    </row>
    <row r="15" spans="2:25">
      <c r="B15" s="144" t="s">
        <v>136</v>
      </c>
      <c r="C15" s="150"/>
      <c r="D15" s="145">
        <f ca="1">SUM(D13:D14)</f>
        <v>161390585.71148914</v>
      </c>
      <c r="F15" s="120" t="s">
        <v>572</v>
      </c>
      <c r="G15" s="169">
        <f ca="1">IF(AND('Rental - Annual Proforma'!E9&gt;Summary!$C$12,'Rental - Annual Proforma'!E89&lt;0),Summary!$K$48*Summary!$R$25,0)</f>
        <v>0</v>
      </c>
      <c r="H15" s="169">
        <f ca="1">IF(AND('Rental - Annual Proforma'!F9&gt;Summary!$C$12,'Rental - Annual Proforma'!F89&lt;0),Summary!$K$48*Summary!$R$25,0)</f>
        <v>0</v>
      </c>
      <c r="I15" s="169">
        <f ca="1">IF(AND('Rental - Annual Proforma'!G9&gt;Summary!$C$12,'Rental - Annual Proforma'!G89&lt;0),Summary!$K$48*Summary!$R$25,0)</f>
        <v>0</v>
      </c>
      <c r="J15" s="169">
        <f ca="1">IF(AND('Rental - Annual Proforma'!H9&gt;Summary!$C$12,'Rental - Annual Proforma'!H89&lt;0),Summary!$K$48*Summary!$R$25,0)</f>
        <v>0</v>
      </c>
      <c r="K15" s="169">
        <f ca="1">IF(AND('Rental - Annual Proforma'!I9&gt;Summary!$C$12,'Rental - Annual Proforma'!I89&lt;0),Summary!$K$48*Summary!$R$25,0)</f>
        <v>0</v>
      </c>
      <c r="L15" s="169">
        <f ca="1">IF(AND('Rental - Annual Proforma'!J9&gt;Summary!$C$12,'Rental - Annual Proforma'!J89&lt;0),Summary!$K$48*Summary!$R$25,0)</f>
        <v>0</v>
      </c>
      <c r="M15" s="169">
        <f ca="1">IF(AND('Rental - Annual Proforma'!K9&gt;Summary!$C$12,'Rental - Annual Proforma'!K89&lt;0),Summary!$K$48*Summary!$R$25,0)</f>
        <v>0</v>
      </c>
      <c r="N15" s="169">
        <f ca="1">IF(AND('Rental - Annual Proforma'!L9&gt;Summary!$C$12,'Rental - Annual Proforma'!L89&lt;0),Summary!$K$48*Summary!$R$25,0)</f>
        <v>0</v>
      </c>
      <c r="O15" s="169">
        <f ca="1">IF(AND('Rental - Annual Proforma'!M9&gt;Summary!$C$12,'Rental - Annual Proforma'!M89&lt;0),Summary!$K$48*Summary!$R$25,0)</f>
        <v>0</v>
      </c>
      <c r="P15" s="169">
        <f ca="1">IF(AND('Rental - Annual Proforma'!N9&gt;Summary!$C$12,'Rental - Annual Proforma'!N89&lt;0),Summary!$K$48*Summary!$R$25,0)</f>
        <v>0</v>
      </c>
      <c r="Q15" s="169">
        <f ca="1">IF(AND('Rental - Annual Proforma'!O9&gt;Summary!$C$12,'Rental - Annual Proforma'!O89&lt;0),Summary!$K$48*Summary!$R$25,0)</f>
        <v>0</v>
      </c>
      <c r="R15" s="169">
        <f ca="1">IF(AND('Rental - Annual Proforma'!P9&gt;Summary!$C$12,'Rental - Annual Proforma'!P89&lt;0),Summary!$K$48*Summary!$R$25,0)</f>
        <v>0</v>
      </c>
      <c r="S15" s="169">
        <f ca="1">IF(AND('Rental - Annual Proforma'!Q9&gt;Summary!$C$12,'Rental - Annual Proforma'!Q89&lt;0),Summary!$K$48*Summary!$R$25,0)</f>
        <v>0</v>
      </c>
      <c r="T15" s="169">
        <f ca="1">IF(AND('Rental - Annual Proforma'!R9&gt;Summary!$C$12,'Rental - Annual Proforma'!R89&lt;0),Summary!$K$48*Summary!$R$25,0)</f>
        <v>0</v>
      </c>
      <c r="U15" s="169">
        <f ca="1">IF(AND('Rental - Annual Proforma'!S9&gt;Summary!$C$12,'Rental - Annual Proforma'!S89&lt;0),Summary!$K$48*Summary!$R$25,0)</f>
        <v>0</v>
      </c>
      <c r="V15" s="166">
        <f ca="1">IF(AND('Rental - Annual Proforma'!T9&gt;Summary!$C$12,'Rental - Annual Proforma'!T89&lt;0),Summary!$K$48*Summary!$R$25,0)</f>
        <v>0</v>
      </c>
      <c r="W15" s="176"/>
      <c r="X15" s="176"/>
      <c r="Y15" s="176"/>
    </row>
    <row r="16" spans="2:25" ht="17" thickBot="1">
      <c r="B16" s="120" t="s">
        <v>378</v>
      </c>
      <c r="C16" s="238">
        <v>0.03</v>
      </c>
      <c r="D16" s="140">
        <f ca="1">-C16*D15</f>
        <v>-4841717.5713446736</v>
      </c>
      <c r="F16" s="245" t="s">
        <v>365</v>
      </c>
      <c r="G16" s="246">
        <f ca="1">IF(G9&lt;=$D$6,SUM(G10:G15),0)</f>
        <v>-32955772.732635163</v>
      </c>
      <c r="H16" s="246">
        <f t="shared" ref="H16:V16" ca="1" si="1">IF(H9&lt;=$D$6,SUM(H10:H15),0)</f>
        <v>-20475500.895947851</v>
      </c>
      <c r="I16" s="246">
        <f t="shared" ca="1" si="1"/>
        <v>0</v>
      </c>
      <c r="J16" s="246">
        <f t="shared" ca="1" si="1"/>
        <v>0</v>
      </c>
      <c r="K16" s="246">
        <f t="shared" ca="1" si="1"/>
        <v>798750.23840830487</v>
      </c>
      <c r="L16" s="246">
        <f t="shared" ca="1" si="1"/>
        <v>754802.57594344113</v>
      </c>
      <c r="M16" s="246">
        <f t="shared" ca="1" si="1"/>
        <v>14379768.896907505</v>
      </c>
      <c r="N16" s="246">
        <f t="shared" ca="1" si="1"/>
        <v>2303420.3779464466</v>
      </c>
      <c r="O16" s="246">
        <f t="shared" ca="1" si="1"/>
        <v>2555873.9177234778</v>
      </c>
      <c r="P16" s="246">
        <f t="shared" ca="1" si="1"/>
        <v>78778502.198088676</v>
      </c>
      <c r="Q16" s="246">
        <f t="shared" ca="1" si="1"/>
        <v>0</v>
      </c>
      <c r="R16" s="246">
        <f t="shared" ca="1" si="1"/>
        <v>0</v>
      </c>
      <c r="S16" s="246">
        <f t="shared" ca="1" si="1"/>
        <v>0</v>
      </c>
      <c r="T16" s="246">
        <f t="shared" ca="1" si="1"/>
        <v>0</v>
      </c>
      <c r="U16" s="246">
        <f t="shared" ca="1" si="1"/>
        <v>0</v>
      </c>
      <c r="V16" s="247">
        <f t="shared" ca="1" si="1"/>
        <v>0</v>
      </c>
    </row>
    <row r="17" spans="2:22" ht="18" thickTop="1" thickBot="1">
      <c r="B17" s="255" t="s">
        <v>379</v>
      </c>
      <c r="C17" s="147"/>
      <c r="D17" s="170">
        <f ca="1">SUM(D15:D16)</f>
        <v>156548868.14014447</v>
      </c>
      <c r="F17" s="136" t="s">
        <v>288</v>
      </c>
      <c r="G17" s="240">
        <f ca="1">IF(G16/-$G$16&lt;0,0,G16/-$G$16)</f>
        <v>0</v>
      </c>
      <c r="H17" s="240">
        <f ca="1">IF(H16/-$G$16&lt;0,0,H16/-$G$16)</f>
        <v>0</v>
      </c>
      <c r="I17" s="240">
        <f t="shared" ref="I17:V17" ca="1" si="2">IF(I16/-$G$16&lt;0,0,I16/-$G$16)</f>
        <v>0</v>
      </c>
      <c r="J17" s="240">
        <f t="shared" ca="1" si="2"/>
        <v>0</v>
      </c>
      <c r="K17" s="240">
        <f t="shared" ca="1" si="2"/>
        <v>2.4237035644359972E-2</v>
      </c>
      <c r="L17" s="240">
        <f t="shared" ca="1" si="2"/>
        <v>2.2903501066930881E-2</v>
      </c>
      <c r="M17" s="240">
        <f t="shared" ca="1" si="2"/>
        <v>0.43633535810457963</v>
      </c>
      <c r="N17" s="240">
        <f t="shared" ca="1" si="2"/>
        <v>6.9894291256154803E-2</v>
      </c>
      <c r="O17" s="240">
        <f t="shared" ca="1" si="2"/>
        <v>7.7554665110081564E-2</v>
      </c>
      <c r="P17" s="240">
        <f t="shared" ca="1" si="2"/>
        <v>2.3904310433624447</v>
      </c>
      <c r="Q17" s="240">
        <f t="shared" ca="1" si="2"/>
        <v>0</v>
      </c>
      <c r="R17" s="240">
        <f t="shared" ca="1" si="2"/>
        <v>0</v>
      </c>
      <c r="S17" s="240">
        <f t="shared" ca="1" si="2"/>
        <v>0</v>
      </c>
      <c r="T17" s="240">
        <f t="shared" ca="1" si="2"/>
        <v>0</v>
      </c>
      <c r="U17" s="240">
        <f t="shared" ca="1" si="2"/>
        <v>0</v>
      </c>
      <c r="V17" s="241">
        <f t="shared" ca="1" si="2"/>
        <v>0</v>
      </c>
    </row>
    <row r="18" spans="2:22" ht="17" thickBot="1"/>
    <row r="19" spans="2:22">
      <c r="F19" s="126" t="s">
        <v>381</v>
      </c>
      <c r="G19" s="108"/>
    </row>
    <row r="20" spans="2:22">
      <c r="F20" s="120"/>
      <c r="G20" s="114"/>
    </row>
    <row r="21" spans="2:22">
      <c r="F21" s="120" t="s">
        <v>200</v>
      </c>
      <c r="G21" s="242">
        <f ca="1">XIRR(G16:V16,G8:V8)</f>
        <v>8.0945041775703427E-2</v>
      </c>
    </row>
    <row r="22" spans="2:22">
      <c r="F22" s="120" t="s">
        <v>203</v>
      </c>
      <c r="G22" s="243">
        <f ca="1">AVERAGEIFS(G17:V17,G9:V9,"&lt;="&amp;D6)</f>
        <v>0.30213558945445518</v>
      </c>
    </row>
    <row r="23" spans="2:22">
      <c r="F23" s="120" t="s">
        <v>201</v>
      </c>
      <c r="G23" s="185">
        <f ca="1">SUMIF(G16:V16,"&gt;0")/-SUMIF(G16:V16,"&lt;0")</f>
        <v>1.8635363045464139</v>
      </c>
    </row>
    <row r="24" spans="2:22">
      <c r="F24" s="120" t="s">
        <v>382</v>
      </c>
      <c r="G24" s="140">
        <f ca="1">SUM(G16:V16)</f>
        <v>46139844.576434828</v>
      </c>
    </row>
    <row r="25" spans="2:22" ht="17" thickBot="1">
      <c r="F25" s="239" t="s">
        <v>383</v>
      </c>
      <c r="G25" s="192">
        <f ca="1">NPV(Summary!$C$21,'Rental - Returns'!G16:V16)</f>
        <v>4121402.5379205905</v>
      </c>
    </row>
    <row r="27" spans="2:22">
      <c r="F27" s="51"/>
    </row>
  </sheetData>
  <pageMargins left="0.7" right="0.7" top="0.75" bottom="0.75" header="0.3" footer="0.3"/>
  <pageSetup orientation="portrait" horizontalDpi="0" verticalDpi="0"/>
  <ignoredErrors>
    <ignoredError sqref="D1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C023-4642-EB43-998A-956D2FF80842}">
  <sheetPr codeName="Sheet9"/>
  <dimension ref="B5:ER104"/>
  <sheetViews>
    <sheetView topLeftCell="A5" zoomScaleNormal="100" workbookViewId="0">
      <pane xSplit="2" ySplit="5" topLeftCell="C10" activePane="bottomRight" state="frozen"/>
      <selection activeCell="A5" sqref="A5"/>
      <selection pane="topRight" activeCell="C5" sqref="C5"/>
      <selection pane="bottomLeft" activeCell="A10" sqref="A10"/>
      <selection pane="bottomRight" activeCell="L12" sqref="L12"/>
    </sheetView>
  </sheetViews>
  <sheetFormatPr baseColWidth="10" defaultRowHeight="16"/>
  <cols>
    <col min="2" max="2" width="36.6640625" customWidth="1"/>
    <col min="3" max="3" width="11.5" bestFit="1" customWidth="1"/>
    <col min="4" max="4" width="3.83203125" customWidth="1"/>
    <col min="5" max="5" width="14.83203125" bestFit="1" customWidth="1"/>
    <col min="6" max="7" width="12.33203125" bestFit="1" customWidth="1"/>
    <col min="8" max="8" width="13.83203125" bestFit="1" customWidth="1"/>
    <col min="9" max="9" width="14" bestFit="1" customWidth="1"/>
    <col min="10" max="10" width="14.83203125" bestFit="1" customWidth="1"/>
    <col min="11" max="20" width="14.1640625" bestFit="1" customWidth="1"/>
  </cols>
  <sheetData>
    <row r="5" spans="2:148" ht="17" thickBot="1"/>
    <row r="6" spans="2:148">
      <c r="B6" s="371" t="s">
        <v>463</v>
      </c>
      <c r="C6" s="372"/>
      <c r="D6" s="372"/>
      <c r="E6" s="374"/>
      <c r="F6" s="374"/>
      <c r="G6" s="375" t="str">
        <f>IF(G12=0," ","Sale")</f>
        <v xml:space="preserve"> </v>
      </c>
      <c r="H6" s="375" t="str">
        <f t="shared" ref="H6:P6" si="0">IF(H12=0," ","Sale")</f>
        <v xml:space="preserve"> </v>
      </c>
      <c r="I6" s="375" t="str">
        <f t="shared" si="0"/>
        <v>Sale</v>
      </c>
      <c r="J6" s="375" t="str">
        <f t="shared" si="0"/>
        <v>Sale</v>
      </c>
      <c r="K6" s="375" t="str">
        <f t="shared" si="0"/>
        <v>Sale</v>
      </c>
      <c r="L6" s="375" t="str">
        <f t="shared" si="0"/>
        <v>Sale</v>
      </c>
      <c r="M6" s="375" t="str">
        <f t="shared" si="0"/>
        <v xml:space="preserve"> </v>
      </c>
      <c r="N6" s="375" t="str">
        <f t="shared" si="0"/>
        <v xml:space="preserve"> </v>
      </c>
      <c r="O6" s="375" t="str">
        <f t="shared" si="0"/>
        <v xml:space="preserve"> </v>
      </c>
      <c r="P6" s="375" t="str">
        <f t="shared" si="0"/>
        <v xml:space="preserve"> </v>
      </c>
      <c r="Q6" s="374"/>
      <c r="R6" s="374"/>
      <c r="S6" s="374"/>
      <c r="T6" s="376"/>
    </row>
    <row r="7" spans="2:148">
      <c r="B7" s="364"/>
      <c r="C7" s="506"/>
      <c r="D7" s="506"/>
      <c r="E7" s="482" t="s">
        <v>342</v>
      </c>
      <c r="F7" s="482" t="s">
        <v>342</v>
      </c>
      <c r="G7" s="482" t="s">
        <v>342</v>
      </c>
      <c r="H7" s="483" t="s">
        <v>342</v>
      </c>
      <c r="I7" s="512" t="str">
        <f>IF(I8&lt;=Summary!C13,"Const."," ")</f>
        <v xml:space="preserve"> </v>
      </c>
      <c r="J7" s="512" t="str">
        <f>IF(J8&lt;=Summary!D13,"Const."," ")</f>
        <v xml:space="preserve"> </v>
      </c>
      <c r="K7" s="512" t="str">
        <f>IF(K8&lt;=Summary!E13,"Const."," ")</f>
        <v xml:space="preserve"> </v>
      </c>
      <c r="L7" s="512" t="str">
        <f>IF(L8&lt;=Summary!F13,"Const."," ")</f>
        <v xml:space="preserve"> </v>
      </c>
      <c r="M7" s="513"/>
      <c r="N7" s="513"/>
      <c r="O7" s="513"/>
      <c r="P7" s="513"/>
      <c r="Q7" s="513"/>
      <c r="R7" s="513"/>
      <c r="S7" s="513"/>
      <c r="T7" s="377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43"/>
    </row>
    <row r="8" spans="2:148">
      <c r="B8" s="266" t="s">
        <v>452</v>
      </c>
      <c r="C8" s="256"/>
      <c r="D8" s="142"/>
      <c r="E8" s="248">
        <f>EOMONTH(EDATE(Summary!C10,13),0)</f>
        <v>44196</v>
      </c>
      <c r="F8" s="248">
        <f>EDATE(E8,12)</f>
        <v>44561</v>
      </c>
      <c r="G8" s="248">
        <f t="shared" ref="G8:T8" si="1">EDATE(F8,12)</f>
        <v>44926</v>
      </c>
      <c r="H8" s="248">
        <f t="shared" si="1"/>
        <v>45291</v>
      </c>
      <c r="I8" s="248">
        <f t="shared" si="1"/>
        <v>45657</v>
      </c>
      <c r="J8" s="248">
        <f t="shared" si="1"/>
        <v>46022</v>
      </c>
      <c r="K8" s="248">
        <f t="shared" si="1"/>
        <v>46387</v>
      </c>
      <c r="L8" s="248">
        <f t="shared" si="1"/>
        <v>46752</v>
      </c>
      <c r="M8" s="248">
        <f t="shared" si="1"/>
        <v>47118</v>
      </c>
      <c r="N8" s="248">
        <f t="shared" si="1"/>
        <v>47483</v>
      </c>
      <c r="O8" s="248">
        <f t="shared" si="1"/>
        <v>47848</v>
      </c>
      <c r="P8" s="248">
        <f t="shared" si="1"/>
        <v>48213</v>
      </c>
      <c r="Q8" s="248">
        <f t="shared" si="1"/>
        <v>48579</v>
      </c>
      <c r="R8" s="248">
        <f t="shared" si="1"/>
        <v>48944</v>
      </c>
      <c r="S8" s="248">
        <f t="shared" si="1"/>
        <v>49309</v>
      </c>
      <c r="T8" s="249">
        <f t="shared" si="1"/>
        <v>49674</v>
      </c>
    </row>
    <row r="9" spans="2:148">
      <c r="B9" s="267" t="s">
        <v>451</v>
      </c>
      <c r="C9" s="257"/>
      <c r="D9" s="251"/>
      <c r="E9" s="252">
        <v>1</v>
      </c>
      <c r="F9" s="252">
        <f>E9+1</f>
        <v>2</v>
      </c>
      <c r="G9" s="252">
        <f t="shared" ref="G9:T9" si="2">F9+1</f>
        <v>3</v>
      </c>
      <c r="H9" s="252">
        <f t="shared" si="2"/>
        <v>4</v>
      </c>
      <c r="I9" s="252">
        <f t="shared" si="2"/>
        <v>5</v>
      </c>
      <c r="J9" s="252">
        <f t="shared" si="2"/>
        <v>6</v>
      </c>
      <c r="K9" s="252">
        <f t="shared" si="2"/>
        <v>7</v>
      </c>
      <c r="L9" s="252">
        <f t="shared" si="2"/>
        <v>8</v>
      </c>
      <c r="M9" s="252">
        <f t="shared" si="2"/>
        <v>9</v>
      </c>
      <c r="N9" s="252">
        <f t="shared" si="2"/>
        <v>10</v>
      </c>
      <c r="O9" s="252">
        <f t="shared" si="2"/>
        <v>11</v>
      </c>
      <c r="P9" s="252">
        <f t="shared" si="2"/>
        <v>12</v>
      </c>
      <c r="Q9" s="252">
        <f t="shared" si="2"/>
        <v>13</v>
      </c>
      <c r="R9" s="252">
        <f t="shared" si="2"/>
        <v>14</v>
      </c>
      <c r="S9" s="252">
        <f t="shared" si="2"/>
        <v>15</v>
      </c>
      <c r="T9" s="253">
        <f t="shared" si="2"/>
        <v>16</v>
      </c>
    </row>
    <row r="10" spans="2:148">
      <c r="B10" s="268" t="s">
        <v>306</v>
      </c>
      <c r="C10" s="258"/>
      <c r="J10" s="169"/>
      <c r="T10" s="114"/>
    </row>
    <row r="11" spans="2:148">
      <c r="B11" s="269" t="s">
        <v>310</v>
      </c>
      <c r="C11" s="258"/>
      <c r="E11" s="169">
        <f t="shared" ref="E11:T11" si="3">SUM(E12:E15)</f>
        <v>0</v>
      </c>
      <c r="F11" s="169">
        <f t="shared" si="3"/>
        <v>0</v>
      </c>
      <c r="G11" s="169">
        <f t="shared" si="3"/>
        <v>0</v>
      </c>
      <c r="H11" s="169">
        <f t="shared" ca="1" si="3"/>
        <v>0</v>
      </c>
      <c r="I11" s="169">
        <f t="shared" ca="1" si="3"/>
        <v>15334822.607378969</v>
      </c>
      <c r="J11" s="169">
        <f t="shared" ca="1" si="3"/>
        <v>32008133.952504911</v>
      </c>
      <c r="K11" s="169">
        <f t="shared" ca="1" si="3"/>
        <v>33128418.640842576</v>
      </c>
      <c r="L11" s="169">
        <f t="shared" ca="1" si="3"/>
        <v>2608010.0738795279</v>
      </c>
      <c r="M11" s="169">
        <f t="shared" ca="1" si="3"/>
        <v>770543.37751994259</v>
      </c>
      <c r="N11" s="169">
        <f t="shared" ca="1" si="3"/>
        <v>797512.39573314053</v>
      </c>
      <c r="O11" s="169">
        <f t="shared" ca="1" si="3"/>
        <v>825425.3295838004</v>
      </c>
      <c r="P11" s="169">
        <f t="shared" ca="1" si="3"/>
        <v>854315.21611923329</v>
      </c>
      <c r="Q11" s="169">
        <f t="shared" ca="1" si="3"/>
        <v>884216.24868340639</v>
      </c>
      <c r="R11" s="169">
        <f t="shared" ca="1" si="3"/>
        <v>915163.81738732557</v>
      </c>
      <c r="S11" s="169">
        <f t="shared" ca="1" si="3"/>
        <v>947194.5509958819</v>
      </c>
      <c r="T11" s="166">
        <f t="shared" ca="1" si="3"/>
        <v>980346.36028073775</v>
      </c>
    </row>
    <row r="12" spans="2:148">
      <c r="B12" s="269" t="s">
        <v>318</v>
      </c>
      <c r="C12" s="258"/>
      <c r="E12" s="169">
        <f>SUMIF('Construction Schedule'!$I$6:$DE$6,YEAR('Condo - Annual Proforma'!E8),'Construction Schedule'!$I$102:$DE$102)*Summary!$R$25*(1+Summary!$C$41)^(E9-$H$9)</f>
        <v>0</v>
      </c>
      <c r="F12" s="169">
        <f>SUMIF('Construction Schedule'!$I$6:$DE$6,YEAR('Condo - Annual Proforma'!F8),'Construction Schedule'!$I$102:$DE$102)*Summary!$R$25*(1+Summary!$C$41)^(F9-$H$9)</f>
        <v>0</v>
      </c>
      <c r="G12" s="169">
        <f>SUMIF('Construction Schedule'!$I$6:$DE$6,YEAR('Condo - Annual Proforma'!G8),'Construction Schedule'!$I$102:$DE$102)*Summary!$R$25*(1+Summary!$C$41)^(G9-$H$9)</f>
        <v>0</v>
      </c>
      <c r="H12" s="169">
        <f>SUMIF('Construction Schedule'!$I$6:$DE$6,YEAR('Condo - Annual Proforma'!H8),'Construction Schedule'!$I$102:$DE$102)*Summary!$R$25*(1+Summary!$C$41)^(H9-$H$9)</f>
        <v>0</v>
      </c>
      <c r="I12" s="169">
        <f>SUMIF('Construction Schedule'!$I$6:$DE$6,YEAR('Condo - Annual Proforma'!I8),'Construction Schedule'!$I$102:$DE$102)*Summary!$R$25*(1+Summary!$C$41)^(I9-$H$9)</f>
        <v>15127124.624999998</v>
      </c>
      <c r="J12" s="169">
        <f>SUMIF('Construction Schedule'!$I$6:$DE$6,YEAR('Condo - Annual Proforma'!J8),'Construction Schedule'!$I$102:$DE$102)*Summary!$R$25*(1+Summary!$C$41)^(J9-$H$9)</f>
        <v>31313147.973749995</v>
      </c>
      <c r="K12" s="169">
        <f>SUMIF('Construction Schedule'!$I$6:$DE$6,YEAR('Condo - Annual Proforma'!K8),'Construction Schedule'!$I$102:$DE$102)*Summary!$R$25*(1+Summary!$C$41)^(K9-$H$9)</f>
        <v>32409108.152831241</v>
      </c>
      <c r="L12" s="169">
        <f>SUMIF('Construction Schedule'!$I$6:$DE$6,YEAR('Condo - Annual Proforma'!L8),'Construction Schedule'!$I$102:$DE$102)*Summary!$R$25*(1+Summary!$C$41)^(L9-$H$9)</f>
        <v>1863523.7187877963</v>
      </c>
      <c r="M12" s="169">
        <f>SUMIF('Construction Schedule'!$I$6:$DE$6,YEAR('Condo - Annual Proforma'!M8),'Construction Schedule'!$I$102:$DE$102)*Summary!$R$25*(1+Summary!$C$41)^(M9-$H$9)</f>
        <v>0</v>
      </c>
      <c r="N12" s="169">
        <f>SUMIF('Construction Schedule'!$I$6:$DE$6,YEAR('Condo - Annual Proforma'!N8),'Construction Schedule'!$I$102:$DE$102)*Summary!$R$25*(1+Summary!$C$41)^(N9-$H$9)</f>
        <v>0</v>
      </c>
      <c r="O12" s="169">
        <f>SUMIF('Construction Schedule'!$I$6:$DE$6,YEAR('Condo - Annual Proforma'!O8),'Construction Schedule'!$I$102:$DE$102)*Summary!$R$25*(1+Summary!$C$41)^(O9-$H$9)</f>
        <v>0</v>
      </c>
      <c r="P12" s="169">
        <f>SUMIF('Construction Schedule'!$I$6:$DE$6,YEAR('Condo - Annual Proforma'!P8),'Construction Schedule'!$I$102:$DE$102)*Summary!$R$25*(1+Summary!$C$41)^(P9-$H$9)</f>
        <v>0</v>
      </c>
      <c r="Q12" s="169">
        <f>SUMIF('Construction Schedule'!$I$6:$DE$6,YEAR('Condo - Annual Proforma'!Q8),'Construction Schedule'!$I$102:$DE$102)*Summary!$R$25*(1+Summary!$C$41)^(Q9-$H$9)</f>
        <v>0</v>
      </c>
      <c r="R12" s="169">
        <f>SUMIF('Construction Schedule'!$I$6:$DE$6,YEAR('Condo - Annual Proforma'!R8),'Construction Schedule'!$I$102:$DE$102)*Summary!$R$25*(1+Summary!$C$41)^(R9-$H$9)</f>
        <v>0</v>
      </c>
      <c r="S12" s="169">
        <f>SUMIF('Construction Schedule'!$I$6:$DE$6,YEAR('Condo - Annual Proforma'!S8),'Construction Schedule'!$I$102:$DE$102)*Summary!$R$25*(1+Summary!$C$41)^(S9-$H$9)</f>
        <v>0</v>
      </c>
      <c r="T12" s="166">
        <f>SUMIF('Construction Schedule'!$I$6:$DE$6,YEAR('Condo - Annual Proforma'!T8),'Construction Schedule'!$I$102:$DE$102)*Summary!$R$25*(1+Summary!$C$41)^(T9-$H$9)</f>
        <v>0</v>
      </c>
    </row>
    <row r="13" spans="2:148">
      <c r="B13" s="269" t="s">
        <v>307</v>
      </c>
      <c r="C13" s="258"/>
      <c r="E13" s="169">
        <f>'Rental - Annual Proforma'!E13</f>
        <v>0</v>
      </c>
      <c r="F13" s="169">
        <f>'Rental - Annual Proforma'!F13</f>
        <v>0</v>
      </c>
      <c r="G13" s="169">
        <f>'Rental - Annual Proforma'!G13</f>
        <v>0</v>
      </c>
      <c r="H13" s="169">
        <f ca="1">'Rental - Annual Proforma'!H13</f>
        <v>0</v>
      </c>
      <c r="I13" s="169">
        <f ca="1">'Rental - Annual Proforma'!I13</f>
        <v>5823.5845033958776</v>
      </c>
      <c r="J13" s="169">
        <f>'Rental - Annual Proforma'!J13</f>
        <v>40565.425769369002</v>
      </c>
      <c r="K13" s="169">
        <f>'Rental - Annual Proforma'!K13</f>
        <v>41985.215671296915</v>
      </c>
      <c r="L13" s="169">
        <f>'Rental - Annual Proforma'!L13</f>
        <v>43454.698219792306</v>
      </c>
      <c r="M13" s="169">
        <f>'Rental - Annual Proforma'!M13</f>
        <v>44975.612657485035</v>
      </c>
      <c r="N13" s="169">
        <f>'Rental - Annual Proforma'!N13</f>
        <v>46549.759100497009</v>
      </c>
      <c r="O13" s="169">
        <f>'Rental - Annual Proforma'!O13</f>
        <v>48179.0006690144</v>
      </c>
      <c r="P13" s="169">
        <f>'Rental - Annual Proforma'!P13</f>
        <v>49865.265692429901</v>
      </c>
      <c r="Q13" s="169">
        <f>'Rental - Annual Proforma'!Q13</f>
        <v>51610.549991664942</v>
      </c>
      <c r="R13" s="169">
        <f>'Rental - Annual Proforma'!R13</f>
        <v>53416.919241373209</v>
      </c>
      <c r="S13" s="169">
        <f>'Rental - Annual Proforma'!S13</f>
        <v>55286.511414821267</v>
      </c>
      <c r="T13" s="166">
        <f>'Rental - Annual Proforma'!T13</f>
        <v>57221.539314340007</v>
      </c>
    </row>
    <row r="14" spans="2:148">
      <c r="B14" s="269" t="s">
        <v>308</v>
      </c>
      <c r="C14" s="258"/>
      <c r="E14" s="169">
        <f>'Rental - Annual Proforma'!E14</f>
        <v>0</v>
      </c>
      <c r="F14" s="169">
        <f>'Rental - Annual Proforma'!F14</f>
        <v>0</v>
      </c>
      <c r="G14" s="169">
        <f>'Rental - Annual Proforma'!G14</f>
        <v>0</v>
      </c>
      <c r="H14" s="169">
        <f>'Rental - Annual Proforma'!H14</f>
        <v>0</v>
      </c>
      <c r="I14" s="169">
        <f>'Rental - Annual Proforma'!I14</f>
        <v>178152.94584703117</v>
      </c>
      <c r="J14" s="169">
        <f>'Rental - Annual Proforma'!J14</f>
        <v>442531.91748402547</v>
      </c>
      <c r="K14" s="169">
        <f>'Rental - Annual Proforma'!K14</f>
        <v>458020.53459596634</v>
      </c>
      <c r="L14" s="169">
        <f>'Rental - Annual Proforma'!L14</f>
        <v>474051.25330682512</v>
      </c>
      <c r="M14" s="169">
        <f>'Rental - Annual Proforma'!M14</f>
        <v>490643.04717256397</v>
      </c>
      <c r="N14" s="169">
        <f>'Rental - Annual Proforma'!N14</f>
        <v>507815.55382360367</v>
      </c>
      <c r="O14" s="169">
        <f>'Rental - Annual Proforma'!O14</f>
        <v>525589.09820742975</v>
      </c>
      <c r="P14" s="169">
        <f>'Rental - Annual Proforma'!P14</f>
        <v>543984.71664468979</v>
      </c>
      <c r="Q14" s="169">
        <f>'Rental - Annual Proforma'!Q14</f>
        <v>563024.18172725383</v>
      </c>
      <c r="R14" s="169">
        <f>'Rental - Annual Proforma'!R14</f>
        <v>582730.0280877077</v>
      </c>
      <c r="S14" s="169">
        <f>'Rental - Annual Proforma'!S14</f>
        <v>603125.5790707774</v>
      </c>
      <c r="T14" s="166">
        <f>'Rental - Annual Proforma'!T14</f>
        <v>624234.97433825454</v>
      </c>
    </row>
    <row r="15" spans="2:148">
      <c r="B15" s="269" t="s">
        <v>309</v>
      </c>
      <c r="C15" s="258"/>
      <c r="E15" s="169">
        <f>'Rental - Annual Proforma'!E15</f>
        <v>0</v>
      </c>
      <c r="F15" s="169">
        <f>'Rental - Annual Proforma'!F15</f>
        <v>0</v>
      </c>
      <c r="G15" s="169">
        <f>'Rental - Annual Proforma'!G15</f>
        <v>0</v>
      </c>
      <c r="H15" s="169">
        <f ca="1">'Rental - Annual Proforma'!H15</f>
        <v>0</v>
      </c>
      <c r="I15" s="169">
        <f ca="1">'Rental - Annual Proforma'!I15</f>
        <v>23721.452028544914</v>
      </c>
      <c r="J15" s="169">
        <f ca="1">'Rental - Annual Proforma'!J15</f>
        <v>211888.63550151896</v>
      </c>
      <c r="K15" s="169">
        <f ca="1">'Rental - Annual Proforma'!K15</f>
        <v>219304.7377440721</v>
      </c>
      <c r="L15" s="169">
        <f ca="1">'Rental - Annual Proforma'!L15</f>
        <v>226980.4035651146</v>
      </c>
      <c r="M15" s="169">
        <f ca="1">'Rental - Annual Proforma'!M15</f>
        <v>234924.71768989359</v>
      </c>
      <c r="N15" s="169">
        <f ca="1">'Rental - Annual Proforma'!N15</f>
        <v>243147.08280903986</v>
      </c>
      <c r="O15" s="169">
        <f ca="1">'Rental - Annual Proforma'!O15</f>
        <v>251657.23070735624</v>
      </c>
      <c r="P15" s="169">
        <f ca="1">'Rental - Annual Proforma'!P15</f>
        <v>260465.23378211368</v>
      </c>
      <c r="Q15" s="169">
        <f ca="1">'Rental - Annual Proforma'!Q15</f>
        <v>269581.51696448762</v>
      </c>
      <c r="R15" s="169">
        <f ca="1">'Rental - Annual Proforma'!R15</f>
        <v>279016.87005824468</v>
      </c>
      <c r="S15" s="169">
        <f ca="1">'Rental - Annual Proforma'!S15</f>
        <v>288782.46051028324</v>
      </c>
      <c r="T15" s="166">
        <f ca="1">'Rental - Annual Proforma'!T15</f>
        <v>298889.84662814316</v>
      </c>
    </row>
    <row r="16" spans="2:148">
      <c r="B16" s="269" t="s">
        <v>158</v>
      </c>
      <c r="C16" s="258"/>
      <c r="E16" s="270">
        <f ca="1">-IF(E9&gt;=LOOKUP("Stabilization",'Rental - Annual Proforma'!$E$6:$T$6,'Rental - Annual Proforma'!$E$9:$T$9)-6,('Condo - Annual Proforma'!E11-'Condo - Annual Proforma'!E12)*Summary!$C$51,0)</f>
        <v>0</v>
      </c>
      <c r="F16" s="270">
        <f ca="1">-IF(F9&gt;=LOOKUP("Stabilization",'Rental - Annual Proforma'!$E$6:$T$6,'Rental - Annual Proforma'!$E$9:$T$9)-6,('Condo - Annual Proforma'!F11-'Condo - Annual Proforma'!F12)*Summary!$C$51,0)</f>
        <v>0</v>
      </c>
      <c r="G16" s="270">
        <f ca="1">-IF(G9&gt;=LOOKUP("Stabilization",'Rental - Annual Proforma'!$E$6:$T$6,'Rental - Annual Proforma'!$E$9:$T$9)-6,('Condo - Annual Proforma'!G11-'Condo - Annual Proforma'!G12)*Summary!$C$51,0)</f>
        <v>0</v>
      </c>
      <c r="H16" s="270">
        <f ca="1">-IF(H9&gt;=LOOKUP("Stabilization",'Rental - Annual Proforma'!$E$6:$T$6,'Rental - Annual Proforma'!$E$9:$T$9)-6,('Condo - Annual Proforma'!H11-'Condo - Annual Proforma'!H12)*Summary!$C$51,0)</f>
        <v>0</v>
      </c>
      <c r="I16" s="270">
        <f ca="1">-IF(I9&gt;=LOOKUP("Stabilization",'Rental - Annual Proforma'!$E$6:$T$6,'Rental - Annual Proforma'!$E$9:$T$9)-6,('Condo - Annual Proforma'!I11-'Condo - Annual Proforma'!I12)*Summary!$C$51,0)</f>
        <v>0</v>
      </c>
      <c r="J16" s="270">
        <f ca="1">-IF(J9&gt;=LOOKUP("Stabilization",'Rental - Annual Proforma'!$E$6:$T$6,'Rental - Annual Proforma'!$E$9:$T$9)-6,('Condo - Annual Proforma'!J11-'Condo - Annual Proforma'!J12)*Summary!$C$51,0)</f>
        <v>-24324.509256422039</v>
      </c>
      <c r="K16" s="270">
        <f ca="1">-IF(K9&gt;=LOOKUP("Stabilization",'Rental - Annual Proforma'!$E$6:$T$6,'Rental - Annual Proforma'!$E$9:$T$9)-6,('Condo - Annual Proforma'!K11-'Condo - Annual Proforma'!K12)*Summary!$C$51,0)</f>
        <v>-25175.867080396696</v>
      </c>
      <c r="L16" s="270">
        <f ca="1">-IF(L9&gt;=LOOKUP("Stabilization",'Rental - Annual Proforma'!$E$6:$T$6,'Rental - Annual Proforma'!$E$9:$T$9)-6,('Condo - Annual Proforma'!L11-'Condo - Annual Proforma'!L12)*Summary!$C$51,0)</f>
        <v>-26057.022428210606</v>
      </c>
      <c r="M16" s="270">
        <f ca="1">-IF(M9&gt;=LOOKUP("Stabilization",'Rental - Annual Proforma'!$E$6:$T$6,'Rental - Annual Proforma'!$E$9:$T$9)-6,('Condo - Annual Proforma'!M11-'Condo - Annual Proforma'!M12)*Summary!$C$51,0)</f>
        <v>-26969.018213197993</v>
      </c>
      <c r="N16" s="270">
        <f ca="1">-IF(N9&gt;=LOOKUP("Stabilization",'Rental - Annual Proforma'!$E$6:$T$6,'Rental - Annual Proforma'!$E$9:$T$9)-6,('Condo - Annual Proforma'!N11-'Condo - Annual Proforma'!N12)*Summary!$C$51,0)</f>
        <v>-27912.93385065992</v>
      </c>
      <c r="O16" s="270">
        <f ca="1">-IF(O9&gt;=LOOKUP("Stabilization",'Rental - Annual Proforma'!$E$6:$T$6,'Rental - Annual Proforma'!$E$9:$T$9)-6,('Condo - Annual Proforma'!O11-'Condo - Annual Proforma'!O12)*Summary!$C$51,0)</f>
        <v>-28889.886535433016</v>
      </c>
      <c r="P16" s="270">
        <f ca="1">-IF(P9&gt;=LOOKUP("Stabilization",'Rental - Annual Proforma'!$E$6:$T$6,'Rental - Annual Proforma'!$E$9:$T$9)-6,('Condo - Annual Proforma'!P11-'Condo - Annual Proforma'!P12)*Summary!$C$51,0)</f>
        <v>-29901.032564173169</v>
      </c>
      <c r="Q16" s="270">
        <f ca="1">-IF(Q9&gt;=LOOKUP("Stabilization",'Rental - Annual Proforma'!$E$6:$T$6,'Rental - Annual Proforma'!$E$9:$T$9)-6,('Condo - Annual Proforma'!Q11-'Condo - Annual Proforma'!Q12)*Summary!$C$51,0)</f>
        <v>-30947.568703919227</v>
      </c>
      <c r="R16" s="270">
        <f ca="1">-IF(R9&gt;=LOOKUP("Stabilization",'Rental - Annual Proforma'!$E$6:$T$6,'Rental - Annual Proforma'!$E$9:$T$9)-6,('Condo - Annual Proforma'!R11-'Condo - Annual Proforma'!R12)*Summary!$C$51,0)</f>
        <v>-32030.733608556398</v>
      </c>
      <c r="S16" s="270">
        <f ca="1">-IF(S9&gt;=LOOKUP("Stabilization",'Rental - Annual Proforma'!$E$6:$T$6,'Rental - Annual Proforma'!$E$9:$T$9)-6,('Condo - Annual Proforma'!S11-'Condo - Annual Proforma'!S12)*Summary!$C$51,0)</f>
        <v>-33151.809284855866</v>
      </c>
      <c r="T16" s="140">
        <f ca="1">-IF(T9&gt;=LOOKUP("Stabilization",'Rental - Annual Proforma'!$E$6:$T$6,'Rental - Annual Proforma'!$E$9:$T$9)-6,('Condo - Annual Proforma'!T11-'Condo - Annual Proforma'!T12)*Summary!$C$51,0)</f>
        <v>-34312.122609825827</v>
      </c>
    </row>
    <row r="17" spans="2:20">
      <c r="B17" s="275" t="s">
        <v>311</v>
      </c>
      <c r="C17" s="276"/>
      <c r="D17" s="150"/>
      <c r="E17" s="277">
        <f t="shared" ref="E17:K17" ca="1" si="4">SUM(E12:E16)</f>
        <v>0</v>
      </c>
      <c r="F17" s="277">
        <f t="shared" ca="1" si="4"/>
        <v>0</v>
      </c>
      <c r="G17" s="277">
        <f t="shared" ca="1" si="4"/>
        <v>0</v>
      </c>
      <c r="H17" s="277">
        <f t="shared" ca="1" si="4"/>
        <v>0</v>
      </c>
      <c r="I17" s="277">
        <f t="shared" ca="1" si="4"/>
        <v>15334822.607378969</v>
      </c>
      <c r="J17" s="277">
        <f t="shared" ca="1" si="4"/>
        <v>31983809.443248488</v>
      </c>
      <c r="K17" s="277">
        <f t="shared" ca="1" si="4"/>
        <v>33103242.773762178</v>
      </c>
      <c r="L17" s="277">
        <f t="shared" ref="L17:T17" ca="1" si="5">SUM(L12:L16)</f>
        <v>2581953.051451317</v>
      </c>
      <c r="M17" s="277">
        <f t="shared" ca="1" si="5"/>
        <v>743574.35930674465</v>
      </c>
      <c r="N17" s="277">
        <f t="shared" ca="1" si="5"/>
        <v>769599.46188248065</v>
      </c>
      <c r="O17" s="277">
        <f t="shared" ca="1" si="5"/>
        <v>796535.44304836739</v>
      </c>
      <c r="P17" s="277">
        <f t="shared" ca="1" si="5"/>
        <v>824414.18355506007</v>
      </c>
      <c r="Q17" s="277">
        <f t="shared" ca="1" si="5"/>
        <v>853268.67997948721</v>
      </c>
      <c r="R17" s="277">
        <f t="shared" ca="1" si="5"/>
        <v>883133.08377876913</v>
      </c>
      <c r="S17" s="277">
        <f t="shared" ca="1" si="5"/>
        <v>914042.74171102606</v>
      </c>
      <c r="T17" s="278">
        <f t="shared" ca="1" si="5"/>
        <v>946034.23767091194</v>
      </c>
    </row>
    <row r="18" spans="2:20">
      <c r="B18" s="269"/>
      <c r="C18" s="258"/>
      <c r="J18" s="270"/>
      <c r="T18" s="114"/>
    </row>
    <row r="19" spans="2:20">
      <c r="B19" s="271" t="s">
        <v>529</v>
      </c>
      <c r="C19" s="258"/>
      <c r="J19" s="270"/>
      <c r="T19" s="114"/>
    </row>
    <row r="20" spans="2:20">
      <c r="B20" s="269" t="s">
        <v>531</v>
      </c>
      <c r="C20" s="265">
        <v>0.03</v>
      </c>
      <c r="E20" s="169">
        <f t="shared" ref="E20:H20" si="6">IF(E6="Sale",$C$20*E12,0)</f>
        <v>0</v>
      </c>
      <c r="F20" s="169">
        <f t="shared" si="6"/>
        <v>0</v>
      </c>
      <c r="G20" s="169">
        <f t="shared" si="6"/>
        <v>0</v>
      </c>
      <c r="H20" s="169">
        <f t="shared" si="6"/>
        <v>0</v>
      </c>
      <c r="I20" s="169">
        <f>IF(I6="Sale",$C$20*I12,0)</f>
        <v>453813.7387499999</v>
      </c>
      <c r="J20" s="169">
        <f t="shared" ref="J20:T20" si="7">IF(J6="Sale",$C$20*J12,0)</f>
        <v>939394.43921249977</v>
      </c>
      <c r="K20" s="169">
        <f t="shared" si="7"/>
        <v>972273.24458493723</v>
      </c>
      <c r="L20" s="169">
        <f t="shared" si="7"/>
        <v>55905.711563633886</v>
      </c>
      <c r="M20" s="169">
        <f t="shared" si="7"/>
        <v>0</v>
      </c>
      <c r="N20" s="169">
        <f t="shared" si="7"/>
        <v>0</v>
      </c>
      <c r="O20" s="169">
        <f t="shared" si="7"/>
        <v>0</v>
      </c>
      <c r="P20" s="169">
        <f t="shared" si="7"/>
        <v>0</v>
      </c>
      <c r="Q20" s="169">
        <f t="shared" si="7"/>
        <v>0</v>
      </c>
      <c r="R20" s="169">
        <f t="shared" si="7"/>
        <v>0</v>
      </c>
      <c r="S20" s="169">
        <f t="shared" si="7"/>
        <v>0</v>
      </c>
      <c r="T20" s="166">
        <f t="shared" si="7"/>
        <v>0</v>
      </c>
    </row>
    <row r="21" spans="2:20">
      <c r="B21" s="269" t="s">
        <v>530</v>
      </c>
      <c r="C21" s="457">
        <v>2.7</v>
      </c>
      <c r="E21" s="270">
        <f>IF(E6="Sale",E12/Summary!$Q$25*$C$21,0)</f>
        <v>0</v>
      </c>
      <c r="F21" s="270">
        <f>IF(F6="Sale",F12/Summary!$Q$25*$C$21,0)</f>
        <v>0</v>
      </c>
      <c r="G21" s="270">
        <f>IF(G6="Sale",G12/Summary!$Q$25*$C$21,0)</f>
        <v>0</v>
      </c>
      <c r="H21" s="270">
        <f>IF(H6="Sale",H12/Summary!$Q$25*$C$21,0)</f>
        <v>0</v>
      </c>
      <c r="I21" s="270">
        <f>IF(I6="Sale",I12/Summary!$Q$25*$C$21,0)</f>
        <v>33311.859546542546</v>
      </c>
      <c r="J21" s="270">
        <f>IF(J6="Sale",J12/Summary!$Q$25*$C$21,0)</f>
        <v>68955.549261343069</v>
      </c>
      <c r="K21" s="270">
        <f>IF(K6="Sale",K12/Summary!$Q$25*$C$21,0)</f>
        <v>71368.993485490064</v>
      </c>
      <c r="L21" s="270">
        <f>IF(L6="Sale",L12/Summary!$Q$25*$C$21,0)</f>
        <v>4103.7171254156792</v>
      </c>
      <c r="M21" s="270">
        <f>IF(M6="Sale",M12/Summary!$Q$25*$C$21,0)</f>
        <v>0</v>
      </c>
      <c r="N21" s="270">
        <f>IF(N6="Sale",N12/Summary!$Q$25*$C$21,0)</f>
        <v>0</v>
      </c>
      <c r="O21" s="270">
        <f>IF(O6="Sale",O12/Summary!$Q$25*$C$21,0)</f>
        <v>0</v>
      </c>
      <c r="P21" s="270">
        <f>IF(P6="Sale",P12/Summary!$Q$25*$C$21,0)</f>
        <v>0</v>
      </c>
      <c r="Q21" s="270">
        <f>IF(Q6="Sale",Q12/Summary!$Q$25*$C$21,0)</f>
        <v>0</v>
      </c>
      <c r="R21" s="270">
        <f>IF(R6="Sale",R12/Summary!$Q$25*$C$21,0)</f>
        <v>0</v>
      </c>
      <c r="S21" s="270">
        <f>IF(S6="Sale",S12/Summary!$Q$25*$C$21,0)</f>
        <v>0</v>
      </c>
      <c r="T21" s="140">
        <f>IF(T6="Sale",T12/Summary!$Q$25*$C$21,0)</f>
        <v>0</v>
      </c>
    </row>
    <row r="22" spans="2:20">
      <c r="B22" s="269" t="s">
        <v>442</v>
      </c>
      <c r="C22" s="261">
        <f>12.267%</f>
        <v>0.12267</v>
      </c>
      <c r="E22" s="270">
        <f>IF(E6="Sale",SUM(F12:$T$12)*$C$22*37.5%,0)</f>
        <v>0</v>
      </c>
      <c r="F22" s="270">
        <f>IF(F6="Sale",SUM(G12:$T$12)*$C$22*37.5%,0)</f>
        <v>0</v>
      </c>
      <c r="G22" s="270">
        <f>IF(G6="Sale",SUM(H12:$T$12)*$C$22*37.5%,0)</f>
        <v>0</v>
      </c>
      <c r="H22" s="270">
        <f>IF(H6="Sale",SUM(I12:$T$12)*$C$22*37.5%,0)</f>
        <v>0</v>
      </c>
      <c r="I22" s="270">
        <f>IF(I6="Sale",SUM(J12:$T$12)*$C$22*37.5%,0)</f>
        <v>3017027.8551117824</v>
      </c>
      <c r="J22" s="270">
        <f>IF(J6="Sale",SUM(K12:$T$12)*$C$22*37.5%,0)</f>
        <v>1576583.9068843152</v>
      </c>
      <c r="K22" s="270">
        <f>IF(K6="Sale",SUM(L12:$T$12)*$C$22*37.5%,0)</f>
        <v>85724.42046888711</v>
      </c>
      <c r="L22" s="270">
        <f>IF(L6="Sale",SUM(M12:$T$12)*$C$22*37.5%,0)</f>
        <v>0</v>
      </c>
      <c r="M22" s="270">
        <f>IF(M6="Sale",SUM(N12:$T$12)*$C$22*37.5%,0)</f>
        <v>0</v>
      </c>
      <c r="N22" s="270">
        <f>IF(N6="Sale",SUM(O12:$T$12)*$C$22*37.5%,0)</f>
        <v>0</v>
      </c>
      <c r="O22" s="270">
        <f>IF(O6="Sale",SUM(P12:$T$12)*$C$22*37.5%,0)</f>
        <v>0</v>
      </c>
      <c r="P22" s="270">
        <f>IF(P6="Sale",SUM(Q12:$T$12)*$C$22*37.5%,0)</f>
        <v>0</v>
      </c>
      <c r="Q22" s="270">
        <f>IF(Q6="Sale",SUM(R12:$T$12)*$C$22*37.5%,0)</f>
        <v>0</v>
      </c>
      <c r="R22" s="270">
        <f>IF(R6="Sale",SUM(S12:$T$12)*$C$22*37.5%,0)</f>
        <v>0</v>
      </c>
      <c r="S22" s="270">
        <f>IF(S6="Sale",SUM(T12:$T$12)*$C$22*37.5%,0)</f>
        <v>0</v>
      </c>
      <c r="T22" s="140">
        <f>IF(T6="Sale",SUM($T12:U$12)*$C$22*37.5%,0)</f>
        <v>0</v>
      </c>
    </row>
    <row r="23" spans="2:20">
      <c r="B23" s="275" t="s">
        <v>532</v>
      </c>
      <c r="C23" s="458"/>
      <c r="D23" s="150"/>
      <c r="E23" s="279">
        <f>SUM(E20:E22)</f>
        <v>0</v>
      </c>
      <c r="F23" s="279">
        <f t="shared" ref="F23:T23" si="8">SUM(F20:F22)</f>
        <v>0</v>
      </c>
      <c r="G23" s="279">
        <f t="shared" si="8"/>
        <v>0</v>
      </c>
      <c r="H23" s="277">
        <f t="shared" si="8"/>
        <v>0</v>
      </c>
      <c r="I23" s="277">
        <f t="shared" si="8"/>
        <v>3504153.4534083251</v>
      </c>
      <c r="J23" s="277">
        <f t="shared" si="8"/>
        <v>2584933.8953581583</v>
      </c>
      <c r="K23" s="277">
        <f t="shared" si="8"/>
        <v>1129366.6585393145</v>
      </c>
      <c r="L23" s="279">
        <f t="shared" si="8"/>
        <v>60009.428689049564</v>
      </c>
      <c r="M23" s="279">
        <f t="shared" si="8"/>
        <v>0</v>
      </c>
      <c r="N23" s="279">
        <f t="shared" si="8"/>
        <v>0</v>
      </c>
      <c r="O23" s="279">
        <f t="shared" si="8"/>
        <v>0</v>
      </c>
      <c r="P23" s="279">
        <f t="shared" si="8"/>
        <v>0</v>
      </c>
      <c r="Q23" s="279">
        <f t="shared" si="8"/>
        <v>0</v>
      </c>
      <c r="R23" s="279">
        <f t="shared" si="8"/>
        <v>0</v>
      </c>
      <c r="S23" s="279">
        <f t="shared" si="8"/>
        <v>0</v>
      </c>
      <c r="T23" s="484">
        <f t="shared" si="8"/>
        <v>0</v>
      </c>
    </row>
    <row r="24" spans="2:20">
      <c r="B24" s="269"/>
      <c r="C24" s="258"/>
      <c r="J24" s="270"/>
      <c r="T24" s="114"/>
    </row>
    <row r="25" spans="2:20">
      <c r="B25" s="271" t="s">
        <v>528</v>
      </c>
      <c r="C25" s="258"/>
      <c r="T25" s="114"/>
    </row>
    <row r="26" spans="2:20">
      <c r="B26" s="269" t="s">
        <v>350</v>
      </c>
      <c r="C26" s="264">
        <v>0.23532290220994526</v>
      </c>
      <c r="D26" s="175"/>
      <c r="E26" s="270">
        <f t="shared" ref="E26:G26" ca="1" si="9">(E17-E12)*$C$26</f>
        <v>0</v>
      </c>
      <c r="F26" s="270">
        <f t="shared" ca="1" si="9"/>
        <v>0</v>
      </c>
      <c r="G26" s="270">
        <f t="shared" ca="1" si="9"/>
        <v>0</v>
      </c>
      <c r="H26" s="270">
        <f ca="1">(H17-H12)*$C$26</f>
        <v>0</v>
      </c>
      <c r="I26" s="270">
        <f t="shared" ref="I26:T26" ca="1" si="10">(I17-I12)*$C$26</f>
        <v>48876.091996569485</v>
      </c>
      <c r="J26" s="270">
        <f t="shared" ca="1" si="10"/>
        <v>157822.00340277201</v>
      </c>
      <c r="K26" s="270">
        <f t="shared" ca="1" si="10"/>
        <v>163345.7735218681</v>
      </c>
      <c r="L26" s="270">
        <f t="shared" ca="1" si="10"/>
        <v>169062.87559513393</v>
      </c>
      <c r="M26" s="270">
        <f t="shared" ca="1" si="10"/>
        <v>174980.07624096377</v>
      </c>
      <c r="N26" s="270">
        <f t="shared" ca="1" si="10"/>
        <v>181104.37890939749</v>
      </c>
      <c r="O26" s="270">
        <f t="shared" ca="1" si="10"/>
        <v>187443.03217122637</v>
      </c>
      <c r="P26" s="270">
        <f t="shared" ca="1" si="10"/>
        <v>194003.53829721926</v>
      </c>
      <c r="Q26" s="270">
        <f t="shared" ca="1" si="10"/>
        <v>200793.66213762196</v>
      </c>
      <c r="R26" s="270">
        <f t="shared" ca="1" si="10"/>
        <v>207821.44031243867</v>
      </c>
      <c r="S26" s="270">
        <f t="shared" ca="1" si="10"/>
        <v>215095.19072337402</v>
      </c>
      <c r="T26" s="140">
        <f t="shared" ca="1" si="10"/>
        <v>222623.52239869212</v>
      </c>
    </row>
    <row r="27" spans="2:20">
      <c r="B27" s="269" t="s">
        <v>222</v>
      </c>
      <c r="C27" s="264">
        <v>1.3254813551648479E-2</v>
      </c>
      <c r="E27" s="270">
        <f t="shared" ref="E27:G27" ca="1" si="11">(E17-E12)*$C$27</f>
        <v>0</v>
      </c>
      <c r="F27" s="270">
        <f t="shared" ca="1" si="11"/>
        <v>0</v>
      </c>
      <c r="G27" s="270">
        <f t="shared" ca="1" si="11"/>
        <v>0</v>
      </c>
      <c r="H27" s="270">
        <f ca="1">(H17-H12)*$C$27</f>
        <v>0</v>
      </c>
      <c r="I27" s="270">
        <f t="shared" ref="I27:T27" ca="1" si="12">(I17-I12)*$C$27</f>
        <v>2752.9980314868299</v>
      </c>
      <c r="J27" s="270">
        <f t="shared" ca="1" si="12"/>
        <v>8889.4927344771058</v>
      </c>
      <c r="K27" s="270">
        <f t="shared" ca="1" si="12"/>
        <v>9200.624980183753</v>
      </c>
      <c r="L27" s="270">
        <f t="shared" ca="1" si="12"/>
        <v>9522.6468544902073</v>
      </c>
      <c r="M27" s="270">
        <f t="shared" ca="1" si="12"/>
        <v>9855.9394943973748</v>
      </c>
      <c r="N27" s="270">
        <f t="shared" ca="1" si="12"/>
        <v>10200.897376701281</v>
      </c>
      <c r="O27" s="270">
        <f t="shared" ca="1" si="12"/>
        <v>10557.928784885826</v>
      </c>
      <c r="P27" s="270">
        <f t="shared" ca="1" si="12"/>
        <v>10927.456292356826</v>
      </c>
      <c r="Q27" s="270">
        <f t="shared" ca="1" si="12"/>
        <v>11309.917262589317</v>
      </c>
      <c r="R27" s="270">
        <f t="shared" ca="1" si="12"/>
        <v>11705.76436677994</v>
      </c>
      <c r="S27" s="270">
        <f t="shared" ca="1" si="12"/>
        <v>12115.466119617238</v>
      </c>
      <c r="T27" s="140">
        <f t="shared" ca="1" si="12"/>
        <v>12539.507433803841</v>
      </c>
    </row>
    <row r="28" spans="2:20">
      <c r="B28" s="269" t="s">
        <v>351</v>
      </c>
      <c r="C28" s="264">
        <v>3.0600133362559394E-2</v>
      </c>
      <c r="E28" s="270">
        <f t="shared" ref="E28:G28" ca="1" si="13">(E17-E12)*$C$28</f>
        <v>0</v>
      </c>
      <c r="F28" s="270">
        <f t="shared" ca="1" si="13"/>
        <v>0</v>
      </c>
      <c r="G28" s="270">
        <f t="shared" ca="1" si="13"/>
        <v>0</v>
      </c>
      <c r="H28" s="270">
        <f ca="1">(H17-H12)*$C$28</f>
        <v>0</v>
      </c>
      <c r="I28" s="270">
        <f t="shared" ref="I28:T28" ca="1" si="14">(I17-I12)*$C$28</f>
        <v>6355.5859599310188</v>
      </c>
      <c r="J28" s="270">
        <f t="shared" ca="1" si="14"/>
        <v>20522.330407783938</v>
      </c>
      <c r="K28" s="270">
        <f t="shared" ca="1" si="14"/>
        <v>21240.61197205626</v>
      </c>
      <c r="L28" s="270">
        <f t="shared" ca="1" si="14"/>
        <v>21984.033391078283</v>
      </c>
      <c r="M28" s="270">
        <f t="shared" ca="1" si="14"/>
        <v>22753.474559766044</v>
      </c>
      <c r="N28" s="270">
        <f t="shared" ca="1" si="14"/>
        <v>23549.846169357854</v>
      </c>
      <c r="O28" s="270">
        <f t="shared" ca="1" si="14"/>
        <v>24374.090785285374</v>
      </c>
      <c r="P28" s="270">
        <f t="shared" ca="1" si="14"/>
        <v>25227.183962770356</v>
      </c>
      <c r="Q28" s="270">
        <f t="shared" ca="1" si="14"/>
        <v>26110.13540146732</v>
      </c>
      <c r="R28" s="270">
        <f t="shared" ca="1" si="14"/>
        <v>27023.990140518672</v>
      </c>
      <c r="S28" s="270">
        <f t="shared" ca="1" si="14"/>
        <v>27969.829795436828</v>
      </c>
      <c r="T28" s="140">
        <f t="shared" ca="1" si="14"/>
        <v>28948.773838277117</v>
      </c>
    </row>
    <row r="29" spans="2:20">
      <c r="B29" s="269" t="s">
        <v>185</v>
      </c>
      <c r="C29" s="264">
        <v>2.5506666433958571E-2</v>
      </c>
      <c r="E29" s="270">
        <f t="shared" ref="E29:G29" ca="1" si="15">(E17-E12)*$C$29</f>
        <v>0</v>
      </c>
      <c r="F29" s="270">
        <f t="shared" ca="1" si="15"/>
        <v>0</v>
      </c>
      <c r="G29" s="270">
        <f t="shared" ca="1" si="15"/>
        <v>0</v>
      </c>
      <c r="H29" s="270">
        <f ca="1">(H17-H12)*$C$29</f>
        <v>0</v>
      </c>
      <c r="I29" s="270">
        <f t="shared" ref="I29:T29" ca="1" si="16">(I17-I12)*$C$29</f>
        <v>5297.6831555466142</v>
      </c>
      <c r="J29" s="270">
        <f t="shared" ca="1" si="16"/>
        <v>17106.338392606536</v>
      </c>
      <c r="K29" s="270">
        <f t="shared" ca="1" si="16"/>
        <v>17705.060236347668</v>
      </c>
      <c r="L29" s="270">
        <f t="shared" ca="1" si="16"/>
        <v>18324.73734461988</v>
      </c>
      <c r="M29" s="270">
        <f t="shared" ca="1" si="16"/>
        <v>18966.103151681593</v>
      </c>
      <c r="N29" s="270">
        <f t="shared" ca="1" si="16"/>
        <v>19629.916761990447</v>
      </c>
      <c r="O29" s="270">
        <f t="shared" ca="1" si="16"/>
        <v>20316.963848660111</v>
      </c>
      <c r="P29" s="270">
        <f t="shared" ca="1" si="16"/>
        <v>21028.05758336321</v>
      </c>
      <c r="Q29" s="270">
        <f t="shared" ca="1" si="16"/>
        <v>21764.039598780924</v>
      </c>
      <c r="R29" s="270">
        <f t="shared" ca="1" si="16"/>
        <v>22525.780984738252</v>
      </c>
      <c r="S29" s="270">
        <f t="shared" ca="1" si="16"/>
        <v>23314.183319204094</v>
      </c>
      <c r="T29" s="140">
        <f t="shared" ca="1" si="16"/>
        <v>24130.179735376234</v>
      </c>
    </row>
    <row r="30" spans="2:20">
      <c r="B30" s="269" t="s">
        <v>283</v>
      </c>
      <c r="C30" s="264">
        <v>8.1613466230476533E-3</v>
      </c>
      <c r="E30" s="270">
        <f t="shared" ref="E30:G30" ca="1" si="17">(E17-E12)*$C$30</f>
        <v>0</v>
      </c>
      <c r="F30" s="270">
        <f t="shared" ca="1" si="17"/>
        <v>0</v>
      </c>
      <c r="G30" s="270">
        <f t="shared" ca="1" si="17"/>
        <v>0</v>
      </c>
      <c r="H30" s="270">
        <f ca="1">(H17-H12)*$C$30</f>
        <v>0</v>
      </c>
      <c r="I30" s="270">
        <f t="shared" ref="I30:T30" ca="1" si="18">(I17-I12)*$C$30</f>
        <v>1695.0952271024246</v>
      </c>
      <c r="J30" s="270">
        <f t="shared" ca="1" si="18"/>
        <v>5473.5007192997009</v>
      </c>
      <c r="K30" s="270">
        <f t="shared" ca="1" si="18"/>
        <v>5665.0732444751593</v>
      </c>
      <c r="L30" s="270">
        <f t="shared" ca="1" si="18"/>
        <v>5863.3508080318043</v>
      </c>
      <c r="M30" s="270">
        <f t="shared" ca="1" si="18"/>
        <v>6068.5680863129228</v>
      </c>
      <c r="N30" s="270">
        <f t="shared" ca="1" si="18"/>
        <v>6280.9679693338749</v>
      </c>
      <c r="O30" s="270">
        <f t="shared" ca="1" si="18"/>
        <v>6500.8018482605594</v>
      </c>
      <c r="P30" s="270">
        <f t="shared" ca="1" si="18"/>
        <v>6728.3299129496772</v>
      </c>
      <c r="Q30" s="270">
        <f t="shared" ca="1" si="18"/>
        <v>6963.821459902917</v>
      </c>
      <c r="R30" s="270">
        <f t="shared" ca="1" si="18"/>
        <v>7207.5552109995178</v>
      </c>
      <c r="S30" s="270">
        <f t="shared" ca="1" si="18"/>
        <v>7459.8196433845005</v>
      </c>
      <c r="T30" s="140">
        <f t="shared" ca="1" si="18"/>
        <v>7720.9133309029585</v>
      </c>
    </row>
    <row r="31" spans="2:20">
      <c r="B31" s="269" t="s">
        <v>352</v>
      </c>
      <c r="C31" s="264">
        <v>1.734531981091092E-2</v>
      </c>
      <c r="E31" s="270">
        <f t="shared" ref="E31:G31" ca="1" si="19">(E17-E12)*$C$31</f>
        <v>0</v>
      </c>
      <c r="F31" s="270">
        <f t="shared" ca="1" si="19"/>
        <v>0</v>
      </c>
      <c r="G31" s="270">
        <f t="shared" ca="1" si="19"/>
        <v>0</v>
      </c>
      <c r="H31" s="270">
        <f ca="1">(H17-H12)*$C$31</f>
        <v>0</v>
      </c>
      <c r="I31" s="270">
        <f t="shared" ref="I31:T31" ca="1" si="20">(I17-I12)*$C$31</f>
        <v>3602.5879284441899</v>
      </c>
      <c r="J31" s="270">
        <f t="shared" ca="1" si="20"/>
        <v>11632.837673306836</v>
      </c>
      <c r="K31" s="270">
        <f t="shared" ca="1" si="20"/>
        <v>12039.986991872509</v>
      </c>
      <c r="L31" s="270">
        <f t="shared" ca="1" si="20"/>
        <v>12461.386536588077</v>
      </c>
      <c r="M31" s="270">
        <f t="shared" ca="1" si="20"/>
        <v>12897.535065368673</v>
      </c>
      <c r="N31" s="270">
        <f t="shared" ca="1" si="20"/>
        <v>13348.948792656574</v>
      </c>
      <c r="O31" s="270">
        <f t="shared" ca="1" si="20"/>
        <v>13816.162000399554</v>
      </c>
      <c r="P31" s="270">
        <f t="shared" ca="1" si="20"/>
        <v>14299.727670413535</v>
      </c>
      <c r="Q31" s="270">
        <f t="shared" ca="1" si="20"/>
        <v>14800.218138878008</v>
      </c>
      <c r="R31" s="270">
        <f t="shared" ca="1" si="20"/>
        <v>15318.225773738737</v>
      </c>
      <c r="S31" s="270">
        <f t="shared" ca="1" si="20"/>
        <v>15854.363675819593</v>
      </c>
      <c r="T31" s="140">
        <f t="shared" ca="1" si="20"/>
        <v>16409.266404473277</v>
      </c>
    </row>
    <row r="32" spans="2:20">
      <c r="B32" s="269" t="s">
        <v>353</v>
      </c>
      <c r="C32" s="264">
        <v>5.0934669286008243E-3</v>
      </c>
      <c r="E32" s="270">
        <f t="shared" ref="E32:G32" ca="1" si="21">(E17-E12)*$C$32</f>
        <v>0</v>
      </c>
      <c r="F32" s="270">
        <f t="shared" ca="1" si="21"/>
        <v>0</v>
      </c>
      <c r="G32" s="270">
        <f t="shared" ca="1" si="21"/>
        <v>0</v>
      </c>
      <c r="H32" s="270">
        <f ca="1">(H17-H12)*$C$32</f>
        <v>0</v>
      </c>
      <c r="I32" s="270">
        <f t="shared" ref="I32:T32" ca="1" si="22">(I17-I12)*$C$32</f>
        <v>1057.9028043844046</v>
      </c>
      <c r="J32" s="270">
        <f t="shared" ca="1" si="22"/>
        <v>3415.9920151774036</v>
      </c>
      <c r="K32" s="270">
        <f t="shared" ca="1" si="22"/>
        <v>3535.5517357085928</v>
      </c>
      <c r="L32" s="270">
        <f t="shared" ca="1" si="22"/>
        <v>3659.2960464584025</v>
      </c>
      <c r="M32" s="270">
        <f t="shared" ca="1" si="22"/>
        <v>3787.3714080844506</v>
      </c>
      <c r="N32" s="270">
        <f t="shared" ca="1" si="22"/>
        <v>3919.9294073674059</v>
      </c>
      <c r="O32" s="270">
        <f t="shared" ca="1" si="22"/>
        <v>4057.1269366252645</v>
      </c>
      <c r="P32" s="270">
        <f t="shared" ca="1" si="22"/>
        <v>4199.1263794071483</v>
      </c>
      <c r="Q32" s="270">
        <f t="shared" ca="1" si="22"/>
        <v>4346.0958026863982</v>
      </c>
      <c r="R32" s="270">
        <f t="shared" ca="1" si="22"/>
        <v>4498.2091557804215</v>
      </c>
      <c r="S32" s="270">
        <f t="shared" ca="1" si="22"/>
        <v>4655.6464762327369</v>
      </c>
      <c r="T32" s="140">
        <f t="shared" ca="1" si="22"/>
        <v>4818.5941029008818</v>
      </c>
    </row>
    <row r="33" spans="2:20">
      <c r="B33" s="269" t="s">
        <v>354</v>
      </c>
      <c r="C33" s="264">
        <v>4.0708403637852155E-3</v>
      </c>
      <c r="E33" s="270">
        <f t="shared" ref="E33:G33" ca="1" si="23">(E17-E12)*$C$33</f>
        <v>0</v>
      </c>
      <c r="F33" s="270">
        <f t="shared" ca="1" si="23"/>
        <v>0</v>
      </c>
      <c r="G33" s="270">
        <f t="shared" ca="1" si="23"/>
        <v>0</v>
      </c>
      <c r="H33" s="270">
        <f ca="1">(H17-H12)*$C$33</f>
        <v>0</v>
      </c>
      <c r="I33" s="270">
        <f t="shared" ref="I33:T33" ca="1" si="24">(I17-I12)*$C$33</f>
        <v>845.50533014506493</v>
      </c>
      <c r="J33" s="270">
        <f t="shared" ca="1" si="24"/>
        <v>2730.1557804699714</v>
      </c>
      <c r="K33" s="270">
        <f t="shared" ca="1" si="24"/>
        <v>2825.7112327864052</v>
      </c>
      <c r="L33" s="270">
        <f t="shared" ca="1" si="24"/>
        <v>2924.6111259339364</v>
      </c>
      <c r="M33" s="270">
        <f t="shared" ca="1" si="24"/>
        <v>3026.9725153416271</v>
      </c>
      <c r="N33" s="270">
        <f t="shared" ca="1" si="24"/>
        <v>3132.9165533785836</v>
      </c>
      <c r="O33" s="270">
        <f t="shared" ca="1" si="24"/>
        <v>3242.5686327468338</v>
      </c>
      <c r="P33" s="270">
        <f t="shared" ca="1" si="24"/>
        <v>3356.0585348929721</v>
      </c>
      <c r="Q33" s="270">
        <f t="shared" ca="1" si="24"/>
        <v>3473.5205836142263</v>
      </c>
      <c r="R33" s="270">
        <f t="shared" ca="1" si="24"/>
        <v>3595.0938040407236</v>
      </c>
      <c r="S33" s="270">
        <f t="shared" ca="1" si="24"/>
        <v>3720.922087182149</v>
      </c>
      <c r="T33" s="140">
        <f t="shared" ca="1" si="24"/>
        <v>3851.1543602335241</v>
      </c>
    </row>
    <row r="34" spans="2:20">
      <c r="B34" s="269" t="s">
        <v>355</v>
      </c>
      <c r="C34" s="264">
        <v>4.1691698411713317E-3</v>
      </c>
      <c r="E34" s="270">
        <f t="shared" ref="E34:G34" ca="1" si="25">(E17-E12)*$C$34</f>
        <v>0</v>
      </c>
      <c r="F34" s="270">
        <f t="shared" ca="1" si="25"/>
        <v>0</v>
      </c>
      <c r="G34" s="270">
        <f t="shared" ca="1" si="25"/>
        <v>0</v>
      </c>
      <c r="H34" s="270">
        <f ca="1">(H17-H12)*$C$34</f>
        <v>0</v>
      </c>
      <c r="I34" s="270">
        <f t="shared" ref="I34:T34" ca="1" si="26">(I17-I12)*$C$34</f>
        <v>865.92816420653992</v>
      </c>
      <c r="J34" s="270">
        <f t="shared" ca="1" si="26"/>
        <v>2796.101572268763</v>
      </c>
      <c r="K34" s="270">
        <f t="shared" ca="1" si="26"/>
        <v>2893.9651272981537</v>
      </c>
      <c r="L34" s="270">
        <f t="shared" ca="1" si="26"/>
        <v>2995.2539067535963</v>
      </c>
      <c r="M34" s="270">
        <f t="shared" ca="1" si="26"/>
        <v>3100.0877934899754</v>
      </c>
      <c r="N34" s="270">
        <f t="shared" ca="1" si="26"/>
        <v>3208.5908662621241</v>
      </c>
      <c r="O34" s="270">
        <f t="shared" ca="1" si="26"/>
        <v>3320.8915465812984</v>
      </c>
      <c r="P34" s="270">
        <f t="shared" ca="1" si="26"/>
        <v>3437.1227507116428</v>
      </c>
      <c r="Q34" s="270">
        <f t="shared" ca="1" si="26"/>
        <v>3557.4220469865504</v>
      </c>
      <c r="R34" s="270">
        <f t="shared" ca="1" si="26"/>
        <v>3681.9318186310793</v>
      </c>
      <c r="S34" s="270">
        <f t="shared" ca="1" si="26"/>
        <v>3810.7994322831669</v>
      </c>
      <c r="T34" s="140">
        <f t="shared" ca="1" si="26"/>
        <v>3944.1774124130779</v>
      </c>
    </row>
    <row r="35" spans="2:20">
      <c r="B35" s="269" t="s">
        <v>313</v>
      </c>
      <c r="C35" s="264">
        <v>0.03</v>
      </c>
      <c r="E35" s="270">
        <f t="shared" ref="E35:G35" ca="1" si="27">(E17-E12)*$C$35</f>
        <v>0</v>
      </c>
      <c r="F35" s="270">
        <f t="shared" ca="1" si="27"/>
        <v>0</v>
      </c>
      <c r="G35" s="270">
        <f t="shared" ca="1" si="27"/>
        <v>0</v>
      </c>
      <c r="H35" s="270">
        <f ca="1">(H17-H12)*$C$35</f>
        <v>0</v>
      </c>
      <c r="I35" s="270">
        <f t="shared" ref="I35:T35" ca="1" si="28">(I17-I12)*$C$35</f>
        <v>6230.9394713691245</v>
      </c>
      <c r="J35" s="270">
        <f t="shared" ca="1" si="28"/>
        <v>20119.844084954784</v>
      </c>
      <c r="K35" s="270">
        <f t="shared" ca="1" si="28"/>
        <v>20824.038627928086</v>
      </c>
      <c r="L35" s="270">
        <f t="shared" ca="1" si="28"/>
        <v>21552.879979905621</v>
      </c>
      <c r="M35" s="270">
        <f t="shared" ca="1" si="28"/>
        <v>22307.230779202338</v>
      </c>
      <c r="N35" s="270">
        <f t="shared" ca="1" si="28"/>
        <v>23087.98385647442</v>
      </c>
      <c r="O35" s="270">
        <f t="shared" ca="1" si="28"/>
        <v>23896.063291451021</v>
      </c>
      <c r="P35" s="270">
        <f t="shared" ca="1" si="28"/>
        <v>24732.425506651802</v>
      </c>
      <c r="Q35" s="270">
        <f t="shared" ca="1" si="28"/>
        <v>25598.060399384616</v>
      </c>
      <c r="R35" s="270">
        <f t="shared" ca="1" si="28"/>
        <v>26493.992513363071</v>
      </c>
      <c r="S35" s="270">
        <f t="shared" ca="1" si="28"/>
        <v>27421.28225133078</v>
      </c>
      <c r="T35" s="140">
        <f t="shared" ca="1" si="28"/>
        <v>28381.027130127357</v>
      </c>
    </row>
    <row r="36" spans="2:20">
      <c r="B36" s="269" t="s">
        <v>356</v>
      </c>
      <c r="C36" s="264">
        <v>2.0452531296312193E-3</v>
      </c>
      <c r="E36" s="270">
        <f t="shared" ref="E36:G36" ca="1" si="29">(E17-E12)*$C$36</f>
        <v>0</v>
      </c>
      <c r="F36" s="270">
        <f t="shared" ca="1" si="29"/>
        <v>0</v>
      </c>
      <c r="G36" s="270">
        <f t="shared" ca="1" si="29"/>
        <v>0</v>
      </c>
      <c r="H36" s="270">
        <f ca="1">(H17-H12)*$C$36</f>
        <v>0</v>
      </c>
      <c r="I36" s="270">
        <f t="shared" ref="I36:T36" ca="1" si="30">(I17-I12)*$C$36</f>
        <v>424.79494847867994</v>
      </c>
      <c r="J36" s="270">
        <f t="shared" ca="1" si="30"/>
        <v>1371.672469414865</v>
      </c>
      <c r="K36" s="270">
        <f t="shared" ca="1" si="30"/>
        <v>1419.6810058443773</v>
      </c>
      <c r="L36" s="270">
        <f t="shared" ca="1" si="30"/>
        <v>1469.3698410489342</v>
      </c>
      <c r="M36" s="270">
        <f t="shared" ca="1" si="30"/>
        <v>1520.7977854856483</v>
      </c>
      <c r="N36" s="270">
        <f t="shared" ca="1" si="30"/>
        <v>1574.0257079776459</v>
      </c>
      <c r="O36" s="270">
        <f t="shared" ca="1" si="30"/>
        <v>1629.1166077568632</v>
      </c>
      <c r="P36" s="270">
        <f t="shared" ca="1" si="30"/>
        <v>1686.135689028353</v>
      </c>
      <c r="Q36" s="270">
        <f t="shared" ca="1" si="30"/>
        <v>1745.1504381443456</v>
      </c>
      <c r="R36" s="270">
        <f t="shared" ca="1" si="30"/>
        <v>1806.2307034793973</v>
      </c>
      <c r="S36" s="270">
        <f t="shared" ca="1" si="30"/>
        <v>1869.4487781011762</v>
      </c>
      <c r="T36" s="140">
        <f t="shared" ca="1" si="30"/>
        <v>1934.8794853347174</v>
      </c>
    </row>
    <row r="37" spans="2:20">
      <c r="B37" s="275" t="s">
        <v>533</v>
      </c>
      <c r="C37" s="276"/>
      <c r="D37" s="150"/>
      <c r="E37" s="279">
        <f t="shared" ref="E37:J37" ca="1" si="31">SUM(E26:E36)</f>
        <v>0</v>
      </c>
      <c r="F37" s="279">
        <f t="shared" ca="1" si="31"/>
        <v>0</v>
      </c>
      <c r="G37" s="279">
        <f t="shared" ca="1" si="31"/>
        <v>0</v>
      </c>
      <c r="H37" s="277">
        <f t="shared" ca="1" si="31"/>
        <v>0</v>
      </c>
      <c r="I37" s="277">
        <f t="shared" ca="1" si="31"/>
        <v>78005.113017664378</v>
      </c>
      <c r="J37" s="277">
        <f t="shared" ca="1" si="31"/>
        <v>251880.26925253193</v>
      </c>
      <c r="K37" s="277">
        <f t="shared" ref="K37:T37" ca="1" si="32">SUM(K26:K36)</f>
        <v>260696.0786763691</v>
      </c>
      <c r="L37" s="277">
        <f t="shared" ca="1" si="32"/>
        <v>269820.44143004267</v>
      </c>
      <c r="M37" s="277">
        <f t="shared" ca="1" si="32"/>
        <v>279264.15688009438</v>
      </c>
      <c r="N37" s="277">
        <f t="shared" ca="1" si="32"/>
        <v>289038.4023708977</v>
      </c>
      <c r="O37" s="277">
        <f t="shared" ca="1" si="32"/>
        <v>299154.74645387911</v>
      </c>
      <c r="P37" s="277">
        <f t="shared" ca="1" si="32"/>
        <v>309625.16257976479</v>
      </c>
      <c r="Q37" s="277">
        <f t="shared" ca="1" si="32"/>
        <v>320462.0432700566</v>
      </c>
      <c r="R37" s="277">
        <f t="shared" ca="1" si="32"/>
        <v>331678.21478450851</v>
      </c>
      <c r="S37" s="277">
        <f t="shared" ca="1" si="32"/>
        <v>343286.95230196626</v>
      </c>
      <c r="T37" s="278">
        <f t="shared" ca="1" si="32"/>
        <v>355301.99563253508</v>
      </c>
    </row>
    <row r="38" spans="2:20">
      <c r="B38" s="272" t="s">
        <v>290</v>
      </c>
      <c r="C38" s="258"/>
      <c r="E38" s="290" t="str">
        <f t="shared" ref="E38:T38" ca="1" si="33">IFERROR(E37/E17," ")</f>
        <v xml:space="preserve"> </v>
      </c>
      <c r="F38" s="290" t="str">
        <f t="shared" ca="1" si="33"/>
        <v xml:space="preserve"> </v>
      </c>
      <c r="G38" s="290" t="str">
        <f t="shared" ca="1" si="33"/>
        <v xml:space="preserve"> </v>
      </c>
      <c r="H38" s="290" t="str">
        <f t="shared" ca="1" si="33"/>
        <v xml:space="preserve"> </v>
      </c>
      <c r="I38" s="290">
        <f t="shared" ca="1" si="33"/>
        <v>5.0867959163824351E-3</v>
      </c>
      <c r="J38" s="290">
        <f t="shared" ca="1" si="33"/>
        <v>7.8752429318797654E-3</v>
      </c>
      <c r="K38" s="290">
        <f t="shared" ca="1" si="33"/>
        <v>7.875242931879722E-3</v>
      </c>
      <c r="L38" s="290">
        <f t="shared" ca="1" si="33"/>
        <v>0.10450245843098366</v>
      </c>
      <c r="M38" s="290">
        <f t="shared" ca="1" si="33"/>
        <v>0.37556991225525882</v>
      </c>
      <c r="N38" s="290">
        <f t="shared" ca="1" si="33"/>
        <v>0.37556991225525888</v>
      </c>
      <c r="O38" s="290">
        <f t="shared" ca="1" si="33"/>
        <v>0.37556991225525888</v>
      </c>
      <c r="P38" s="290">
        <f t="shared" ca="1" si="33"/>
        <v>0.37556991225525888</v>
      </c>
      <c r="Q38" s="290">
        <f t="shared" ca="1" si="33"/>
        <v>0.37556991225525893</v>
      </c>
      <c r="R38" s="290">
        <f t="shared" ca="1" si="33"/>
        <v>0.37556991225525888</v>
      </c>
      <c r="S38" s="290">
        <f t="shared" ca="1" si="33"/>
        <v>0.37556991225525882</v>
      </c>
      <c r="T38" s="291">
        <f t="shared" ca="1" si="33"/>
        <v>0.37556991225525882</v>
      </c>
    </row>
    <row r="39" spans="2:20">
      <c r="B39" s="272"/>
      <c r="C39" s="258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1"/>
    </row>
    <row r="40" spans="2:20">
      <c r="B40" s="271" t="s">
        <v>534</v>
      </c>
      <c r="C40" s="258"/>
      <c r="E40" s="459">
        <f ca="1">E37+E23</f>
        <v>0</v>
      </c>
      <c r="F40" s="459">
        <f ca="1">F37+F23</f>
        <v>0</v>
      </c>
      <c r="G40" s="459">
        <f t="shared" ref="G40:T40" ca="1" si="34">G37+G23</f>
        <v>0</v>
      </c>
      <c r="H40" s="459">
        <f t="shared" ca="1" si="34"/>
        <v>0</v>
      </c>
      <c r="I40" s="459">
        <f t="shared" ca="1" si="34"/>
        <v>3582158.5664259894</v>
      </c>
      <c r="J40" s="459">
        <f t="shared" ca="1" si="34"/>
        <v>2836814.1646106904</v>
      </c>
      <c r="K40" s="459">
        <f t="shared" ca="1" si="34"/>
        <v>1390062.7372156836</v>
      </c>
      <c r="L40" s="459">
        <f t="shared" ca="1" si="34"/>
        <v>329829.87011909223</v>
      </c>
      <c r="M40" s="459">
        <f t="shared" ca="1" si="34"/>
        <v>279264.15688009438</v>
      </c>
      <c r="N40" s="459">
        <f t="shared" ca="1" si="34"/>
        <v>289038.4023708977</v>
      </c>
      <c r="O40" s="459">
        <f t="shared" ca="1" si="34"/>
        <v>299154.74645387911</v>
      </c>
      <c r="P40" s="459">
        <f t="shared" ca="1" si="34"/>
        <v>309625.16257976479</v>
      </c>
      <c r="Q40" s="459">
        <f t="shared" ca="1" si="34"/>
        <v>320462.0432700566</v>
      </c>
      <c r="R40" s="459">
        <f t="shared" ca="1" si="34"/>
        <v>331678.21478450851</v>
      </c>
      <c r="S40" s="459">
        <f t="shared" ca="1" si="34"/>
        <v>343286.95230196626</v>
      </c>
      <c r="T40" s="485">
        <f t="shared" ca="1" si="34"/>
        <v>355301.99563253508</v>
      </c>
    </row>
    <row r="41" spans="2:20">
      <c r="B41" s="272" t="s">
        <v>290</v>
      </c>
      <c r="C41" s="258"/>
      <c r="E41" s="290" t="str">
        <f t="shared" ref="E41:G41" ca="1" si="35">IFERROR(E40/E17," ")</f>
        <v xml:space="preserve"> </v>
      </c>
      <c r="F41" s="290" t="str">
        <f t="shared" ca="1" si="35"/>
        <v xml:space="preserve"> </v>
      </c>
      <c r="G41" s="290" t="str">
        <f t="shared" ca="1" si="35"/>
        <v xml:space="preserve"> </v>
      </c>
      <c r="H41" s="290" t="str">
        <f ca="1">IFERROR(H40/H17," ")</f>
        <v xml:space="preserve"> </v>
      </c>
      <c r="I41" s="290">
        <f ca="1">IFERROR(I40/I17," ")</f>
        <v>0.23359634852915021</v>
      </c>
      <c r="J41" s="290">
        <f t="shared" ref="J41:T41" ca="1" si="36">IFERROR(J40/J17," ")</f>
        <v>8.8695318474939139E-2</v>
      </c>
      <c r="K41" s="290">
        <f t="shared" ca="1" si="36"/>
        <v>4.1991739199564324E-2</v>
      </c>
      <c r="L41" s="290">
        <f t="shared" ca="1" si="36"/>
        <v>0.12774433289315415</v>
      </c>
      <c r="M41" s="290">
        <f t="shared" ca="1" si="36"/>
        <v>0.37556991225525882</v>
      </c>
      <c r="N41" s="290">
        <f t="shared" ca="1" si="36"/>
        <v>0.37556991225525888</v>
      </c>
      <c r="O41" s="290">
        <f t="shared" ca="1" si="36"/>
        <v>0.37556991225525888</v>
      </c>
      <c r="P41" s="290">
        <f t="shared" ca="1" si="36"/>
        <v>0.37556991225525888</v>
      </c>
      <c r="Q41" s="290">
        <f t="shared" ca="1" si="36"/>
        <v>0.37556991225525893</v>
      </c>
      <c r="R41" s="290">
        <f t="shared" ca="1" si="36"/>
        <v>0.37556991225525888</v>
      </c>
      <c r="S41" s="290">
        <f t="shared" ca="1" si="36"/>
        <v>0.37556991225525882</v>
      </c>
      <c r="T41" s="291">
        <f t="shared" ca="1" si="36"/>
        <v>0.37556991225525882</v>
      </c>
    </row>
    <row r="42" spans="2:20">
      <c r="B42" s="269"/>
      <c r="C42" s="258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0"/>
      <c r="S42" s="270"/>
      <c r="T42" s="140"/>
    </row>
    <row r="43" spans="2:20">
      <c r="B43" s="275" t="s">
        <v>314</v>
      </c>
      <c r="C43" s="276"/>
      <c r="D43" s="150"/>
      <c r="E43" s="150"/>
      <c r="F43" s="150"/>
      <c r="G43" s="150"/>
      <c r="H43" s="280">
        <f t="shared" ref="H43" ca="1" si="37">H17-H40</f>
        <v>0</v>
      </c>
      <c r="I43" s="280">
        <f ca="1">I17-I40</f>
        <v>11752664.040952981</v>
      </c>
      <c r="J43" s="280">
        <f t="shared" ref="J43:T43" ca="1" si="38">J17-J40</f>
        <v>29146995.278637797</v>
      </c>
      <c r="K43" s="280">
        <f t="shared" ca="1" si="38"/>
        <v>31713180.036546495</v>
      </c>
      <c r="L43" s="280">
        <f t="shared" ca="1" si="38"/>
        <v>2252123.181332225</v>
      </c>
      <c r="M43" s="280">
        <f t="shared" ca="1" si="38"/>
        <v>464310.20242665027</v>
      </c>
      <c r="N43" s="280">
        <f t="shared" ca="1" si="38"/>
        <v>480561.05951158295</v>
      </c>
      <c r="O43" s="280">
        <f t="shared" ca="1" si="38"/>
        <v>497380.69659448828</v>
      </c>
      <c r="P43" s="280">
        <f t="shared" ca="1" si="38"/>
        <v>514789.02097529528</v>
      </c>
      <c r="Q43" s="280">
        <f t="shared" ca="1" si="38"/>
        <v>532806.6367094306</v>
      </c>
      <c r="R43" s="280">
        <f t="shared" ca="1" si="38"/>
        <v>551454.86899426067</v>
      </c>
      <c r="S43" s="280">
        <f t="shared" ca="1" si="38"/>
        <v>570755.7894090598</v>
      </c>
      <c r="T43" s="145">
        <f t="shared" ca="1" si="38"/>
        <v>590732.24203837686</v>
      </c>
    </row>
    <row r="44" spans="2:20">
      <c r="B44" s="269" t="s">
        <v>358</v>
      </c>
      <c r="C44" s="259">
        <v>155</v>
      </c>
      <c r="E44" s="175">
        <f ca="1">F44/$J$17*$E$17</f>
        <v>0</v>
      </c>
      <c r="F44" s="175">
        <f ca="1">G44/$J$17*$F$17</f>
        <v>0</v>
      </c>
      <c r="G44" s="175">
        <f ca="1">H44/$J$17*$G$17</f>
        <v>0</v>
      </c>
      <c r="H44" s="270">
        <f ca="1">I44/$J$17*$H$17</f>
        <v>0</v>
      </c>
      <c r="I44" s="270">
        <f ca="1">J44/$J$17*$I$17</f>
        <v>6837.0395580687918</v>
      </c>
      <c r="J44" s="169">
        <f>C44*Summary!$O$18</f>
        <v>14260</v>
      </c>
      <c r="K44" s="270">
        <f>J44*(1+Summary!$C$45)</f>
        <v>14759.099999999999</v>
      </c>
      <c r="L44" s="270">
        <f>K44*(1+Summary!$C$45)</f>
        <v>15275.668499999998</v>
      </c>
      <c r="M44" s="270">
        <f>L44*(1+Summary!$C$45)</f>
        <v>15810.316897499997</v>
      </c>
      <c r="N44" s="270">
        <f>M44*(1+Summary!$C$45)</f>
        <v>16363.677988912495</v>
      </c>
      <c r="O44" s="270">
        <f>N44*(1+Summary!$C$45)</f>
        <v>16936.406718524431</v>
      </c>
      <c r="P44" s="270">
        <f>O44*(1+Summary!$C$45)</f>
        <v>17529.180953672785</v>
      </c>
      <c r="Q44" s="270">
        <f>P44*(1+Summary!$C$45)</f>
        <v>18142.702287051332</v>
      </c>
      <c r="R44" s="270">
        <f>Q44*(1+Summary!$C$45)</f>
        <v>18777.696867098126</v>
      </c>
      <c r="S44" s="270">
        <f>R44*(1+Summary!$C$45)</f>
        <v>19434.916257446559</v>
      </c>
      <c r="T44" s="140">
        <f>S44*(1+Summary!$C$45)</f>
        <v>20115.138326457189</v>
      </c>
    </row>
    <row r="45" spans="2:20">
      <c r="B45" s="269" t="s">
        <v>359</v>
      </c>
      <c r="C45" s="261">
        <v>5.0000000000000001E-3</v>
      </c>
      <c r="E45" s="169">
        <f t="shared" ref="E45:T45" ca="1" si="39">$C$45*E17</f>
        <v>0</v>
      </c>
      <c r="F45" s="169">
        <f t="shared" ca="1" si="39"/>
        <v>0</v>
      </c>
      <c r="G45" s="169">
        <f t="shared" ca="1" si="39"/>
        <v>0</v>
      </c>
      <c r="H45" s="169">
        <f t="shared" ca="1" si="39"/>
        <v>0</v>
      </c>
      <c r="I45" s="169">
        <f t="shared" ca="1" si="39"/>
        <v>76674.113036894851</v>
      </c>
      <c r="J45" s="169">
        <f t="shared" ca="1" si="39"/>
        <v>159919.04721624244</v>
      </c>
      <c r="K45" s="169">
        <f t="shared" ca="1" si="39"/>
        <v>165516.21386881088</v>
      </c>
      <c r="L45" s="169">
        <f t="shared" ca="1" si="39"/>
        <v>12909.765257256586</v>
      </c>
      <c r="M45" s="169">
        <f t="shared" ca="1" si="39"/>
        <v>3717.8717965337232</v>
      </c>
      <c r="N45" s="169">
        <f t="shared" ca="1" si="39"/>
        <v>3847.9973094124034</v>
      </c>
      <c r="O45" s="169">
        <f t="shared" ca="1" si="39"/>
        <v>3982.6772152418371</v>
      </c>
      <c r="P45" s="169">
        <f t="shared" ca="1" si="39"/>
        <v>4122.0709177753006</v>
      </c>
      <c r="Q45" s="169">
        <f t="shared" ca="1" si="39"/>
        <v>4266.343399897436</v>
      </c>
      <c r="R45" s="169">
        <f t="shared" ca="1" si="39"/>
        <v>4415.6654188938455</v>
      </c>
      <c r="S45" s="169">
        <f t="shared" ca="1" si="39"/>
        <v>4570.2137085551303</v>
      </c>
      <c r="T45" s="166">
        <f t="shared" ca="1" si="39"/>
        <v>4730.1711883545595</v>
      </c>
    </row>
    <row r="46" spans="2:20">
      <c r="B46" s="269"/>
      <c r="C46" s="258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140"/>
    </row>
    <row r="47" spans="2:20">
      <c r="B47" s="275" t="s">
        <v>361</v>
      </c>
      <c r="C47" s="276"/>
      <c r="D47" s="150"/>
      <c r="E47" s="280">
        <f t="shared" ref="E47:J47" ca="1" si="40">E43-SUM(E44:E45)</f>
        <v>0</v>
      </c>
      <c r="F47" s="280">
        <f t="shared" ca="1" si="40"/>
        <v>0</v>
      </c>
      <c r="G47" s="280">
        <f t="shared" ca="1" si="40"/>
        <v>0</v>
      </c>
      <c r="H47" s="280">
        <f t="shared" ca="1" si="40"/>
        <v>0</v>
      </c>
      <c r="I47" s="280">
        <f t="shared" ca="1" si="40"/>
        <v>11669152.888358017</v>
      </c>
      <c r="J47" s="280">
        <f t="shared" ca="1" si="40"/>
        <v>28972816.231421553</v>
      </c>
      <c r="K47" s="280">
        <f t="shared" ref="K47:T47" ca="1" si="41">K43-SUM(K44:K45)</f>
        <v>31532904.722677685</v>
      </c>
      <c r="L47" s="280">
        <f t="shared" ca="1" si="41"/>
        <v>2223937.7475749683</v>
      </c>
      <c r="M47" s="280">
        <f t="shared" ca="1" si="41"/>
        <v>444782.01373261656</v>
      </c>
      <c r="N47" s="280">
        <f t="shared" ca="1" si="41"/>
        <v>460349.38421325805</v>
      </c>
      <c r="O47" s="280">
        <f t="shared" ca="1" si="41"/>
        <v>476461.61266072199</v>
      </c>
      <c r="P47" s="280">
        <f t="shared" ca="1" si="41"/>
        <v>493137.76910384721</v>
      </c>
      <c r="Q47" s="280">
        <f t="shared" ca="1" si="41"/>
        <v>510397.59102248185</v>
      </c>
      <c r="R47" s="280">
        <f t="shared" ca="1" si="41"/>
        <v>528261.50670826866</v>
      </c>
      <c r="S47" s="280">
        <f t="shared" ca="1" si="41"/>
        <v>546750.65944305807</v>
      </c>
      <c r="T47" s="145">
        <f t="shared" ca="1" si="41"/>
        <v>565886.93252356513</v>
      </c>
    </row>
    <row r="48" spans="2:20">
      <c r="B48" s="272" t="s">
        <v>285</v>
      </c>
      <c r="C48" s="258"/>
      <c r="E48" s="290" t="str">
        <f ca="1">IFERROR(E47/E17," ")</f>
        <v xml:space="preserve"> </v>
      </c>
      <c r="F48" s="290" t="str">
        <f ca="1">IFERROR(F47/F17," ")</f>
        <v xml:space="preserve"> </v>
      </c>
      <c r="G48" s="290" t="str">
        <f ca="1">IFERROR(G47/G17," ")</f>
        <v xml:space="preserve"> </v>
      </c>
      <c r="H48" s="290" t="str">
        <f ca="1">IFERROR(H47/H17," ")</f>
        <v xml:space="preserve"> </v>
      </c>
      <c r="I48" s="290">
        <f ca="1">IFERROR(I47/I17," ")</f>
        <v>0.76095780089056486</v>
      </c>
      <c r="J48" s="290">
        <f t="shared" ref="J48:T48" ca="1" si="42">IFERROR(J47/J17," ")</f>
        <v>0.90585883094477571</v>
      </c>
      <c r="K48" s="290">
        <f t="shared" ca="1" si="42"/>
        <v>0.95256241022015065</v>
      </c>
      <c r="L48" s="290">
        <f t="shared" ca="1" si="42"/>
        <v>0.86133934399964851</v>
      </c>
      <c r="M48" s="290">
        <f t="shared" ca="1" si="42"/>
        <v>0.5981674975281549</v>
      </c>
      <c r="N48" s="290">
        <f t="shared" ca="1" si="42"/>
        <v>0.5981674975281549</v>
      </c>
      <c r="O48" s="290">
        <f t="shared" ca="1" si="42"/>
        <v>0.59816749752815479</v>
      </c>
      <c r="P48" s="290">
        <f t="shared" ca="1" si="42"/>
        <v>0.5981674975281549</v>
      </c>
      <c r="Q48" s="290">
        <f t="shared" ca="1" si="42"/>
        <v>0.59816749752815479</v>
      </c>
      <c r="R48" s="290">
        <f t="shared" ca="1" si="42"/>
        <v>0.5981674975281549</v>
      </c>
      <c r="S48" s="290">
        <f t="shared" ca="1" si="42"/>
        <v>0.5981674975281549</v>
      </c>
      <c r="T48" s="291">
        <f t="shared" ca="1" si="42"/>
        <v>0.5981674975281549</v>
      </c>
    </row>
    <row r="49" spans="2:20">
      <c r="B49" s="269"/>
      <c r="C49" s="258"/>
      <c r="T49" s="114"/>
    </row>
    <row r="50" spans="2:20">
      <c r="B50" s="268" t="s">
        <v>315</v>
      </c>
      <c r="C50" s="258"/>
      <c r="T50" s="114"/>
    </row>
    <row r="51" spans="2:20">
      <c r="B51" s="273" t="s">
        <v>321</v>
      </c>
      <c r="C51" s="258"/>
      <c r="T51" s="114"/>
    </row>
    <row r="52" spans="2:20">
      <c r="B52" s="269" t="s">
        <v>316</v>
      </c>
      <c r="C52" s="262">
        <f>J52/139</f>
        <v>57348.192765955013</v>
      </c>
      <c r="H52" s="169" cm="1">
        <f t="array" ref="H52">(AVERAGE(IF(('Construction Schedule'!$AW$7:$CB$7&gt;='Condo - Annual Proforma'!G8)*('Construction Schedule'!$AW$7:$CB$7&lt;'Condo - Annual Proforma'!H8),'Construction Schedule'!$AW$97:$CB$97)))*Summary!$S$11*(1+Summary!$C$42)^H9</f>
        <v>0</v>
      </c>
      <c r="I52" s="169" cm="1">
        <f t="array" ref="I52">(AVERAGE(IF(('Construction Schedule'!$AW$7:$CB$7&gt;='Condo - Annual Proforma'!H8)*('Construction Schedule'!$AW$7:$CB$7&lt;'Condo - Annual Proforma'!I8),'Construction Schedule'!$AW$97:$CB$97)))*Summary!$S$11*(1+Summary!$C$42)^I9</f>
        <v>919346.04142616957</v>
      </c>
      <c r="J52" s="169" cm="1">
        <f t="array" ref="J52">(AVERAGE(IF(('Construction Schedule'!$AW$7:$CB$7&gt;='Condo - Annual Proforma'!I8)*('Construction Schedule'!$AW$7:$CB$7&lt;'Condo - Annual Proforma'!J8),'Construction Schedule'!$AW$97:$CB$97)))*Summary!$S$11*(1+Summary!$C$42)^J9</f>
        <v>7971398.7944677472</v>
      </c>
      <c r="K52" s="270">
        <f>Summary!$S$11*(1+Summary!$C$42)^K9*(1-Summary!$C$50)</f>
        <v>10303430.650947085</v>
      </c>
      <c r="L52" s="270">
        <f>K52*(1+Summary!$C$42)</f>
        <v>10612533.570475498</v>
      </c>
      <c r="M52" s="270">
        <f>L52*(1+Summary!$C$42)</f>
        <v>10930909.577589763</v>
      </c>
      <c r="N52" s="270">
        <f>M52*(1+Summary!$C$42)</f>
        <v>11258836.864917457</v>
      </c>
      <c r="O52" s="270">
        <f>N52*(1+Summary!$C$42)</f>
        <v>11596601.970864981</v>
      </c>
      <c r="P52" s="270">
        <f>O52*(1+Summary!$C$42)</f>
        <v>11944500.029990932</v>
      </c>
      <c r="Q52" s="270">
        <f>P52*(1+Summary!$C$42)</f>
        <v>12302835.03089066</v>
      </c>
      <c r="R52" s="270">
        <f>Q52*(1+Summary!$C$42)</f>
        <v>12671920.081817381</v>
      </c>
      <c r="S52" s="270">
        <f>R52*(1+Summary!$C$42)</f>
        <v>13052077.684271904</v>
      </c>
      <c r="T52" s="140">
        <f>S52*(1+Summary!$C$42)</f>
        <v>13443640.014800061</v>
      </c>
    </row>
    <row r="53" spans="2:20">
      <c r="B53" s="269" t="s">
        <v>317</v>
      </c>
      <c r="C53" s="263">
        <v>8.3000000000000004E-2</v>
      </c>
      <c r="H53" s="270">
        <f>$C$53*H52</f>
        <v>0</v>
      </c>
      <c r="I53" s="270">
        <f t="shared" ref="I53:T53" si="43">$C$53*I52</f>
        <v>76305.721438372071</v>
      </c>
      <c r="J53" s="270">
        <f t="shared" si="43"/>
        <v>661626.09994082304</v>
      </c>
      <c r="K53" s="270">
        <f t="shared" si="43"/>
        <v>855184.74402860808</v>
      </c>
      <c r="L53" s="270">
        <f t="shared" si="43"/>
        <v>880840.28634946642</v>
      </c>
      <c r="M53" s="270">
        <f t="shared" si="43"/>
        <v>907265.49493995041</v>
      </c>
      <c r="N53" s="270">
        <f t="shared" si="43"/>
        <v>934483.45978814899</v>
      </c>
      <c r="O53" s="270">
        <f t="shared" si="43"/>
        <v>962517.96358179348</v>
      </c>
      <c r="P53" s="270">
        <f t="shared" si="43"/>
        <v>991393.50248924736</v>
      </c>
      <c r="Q53" s="270">
        <f t="shared" si="43"/>
        <v>1021135.3075639248</v>
      </c>
      <c r="R53" s="270">
        <f t="shared" si="43"/>
        <v>1051769.3667908427</v>
      </c>
      <c r="S53" s="270">
        <f t="shared" si="43"/>
        <v>1083322.447794568</v>
      </c>
      <c r="T53" s="140">
        <f t="shared" si="43"/>
        <v>1115822.121228405</v>
      </c>
    </row>
    <row r="54" spans="2:20">
      <c r="B54" s="269" t="s">
        <v>319</v>
      </c>
      <c r="C54" s="263">
        <v>2.1999999999999999E-2</v>
      </c>
      <c r="H54" s="270">
        <f>$C$54*H52</f>
        <v>0</v>
      </c>
      <c r="I54" s="270">
        <f t="shared" ref="I54:T54" si="44">$C$54*I52</f>
        <v>20225.612911375731</v>
      </c>
      <c r="J54" s="270">
        <f t="shared" si="44"/>
        <v>175370.77347829042</v>
      </c>
      <c r="K54" s="270">
        <f t="shared" si="44"/>
        <v>226675.47432083584</v>
      </c>
      <c r="L54" s="270">
        <f t="shared" si="44"/>
        <v>233475.73855046096</v>
      </c>
      <c r="M54" s="270">
        <f t="shared" si="44"/>
        <v>240480.01070697478</v>
      </c>
      <c r="N54" s="270">
        <f t="shared" si="44"/>
        <v>247694.41102818405</v>
      </c>
      <c r="O54" s="270">
        <f t="shared" si="44"/>
        <v>255125.24335902958</v>
      </c>
      <c r="P54" s="270">
        <f t="shared" si="44"/>
        <v>262779.00065980048</v>
      </c>
      <c r="Q54" s="270">
        <f t="shared" si="44"/>
        <v>270662.37067959452</v>
      </c>
      <c r="R54" s="270">
        <f t="shared" si="44"/>
        <v>278782.24179998238</v>
      </c>
      <c r="S54" s="270">
        <f t="shared" si="44"/>
        <v>287145.70905398187</v>
      </c>
      <c r="T54" s="140">
        <f t="shared" si="44"/>
        <v>295760.08032560133</v>
      </c>
    </row>
    <row r="55" spans="2:20">
      <c r="B55" s="275" t="s">
        <v>324</v>
      </c>
      <c r="C55" s="276"/>
      <c r="D55" s="150"/>
      <c r="E55" s="150"/>
      <c r="F55" s="150"/>
      <c r="G55" s="150"/>
      <c r="H55" s="280">
        <f t="shared" ref="H55:T55" si="45">SUM(H52:H54)</f>
        <v>0</v>
      </c>
      <c r="I55" s="280">
        <f t="shared" si="45"/>
        <v>1015877.3757759173</v>
      </c>
      <c r="J55" s="280">
        <f t="shared" si="45"/>
        <v>8808395.6678868607</v>
      </c>
      <c r="K55" s="280">
        <f t="shared" si="45"/>
        <v>11385290.869296528</v>
      </c>
      <c r="L55" s="280">
        <f t="shared" si="45"/>
        <v>11726849.595375426</v>
      </c>
      <c r="M55" s="280">
        <f t="shared" si="45"/>
        <v>12078655.083236689</v>
      </c>
      <c r="N55" s="280">
        <f t="shared" si="45"/>
        <v>12441014.73573379</v>
      </c>
      <c r="O55" s="280">
        <f t="shared" si="45"/>
        <v>12814245.177805804</v>
      </c>
      <c r="P55" s="280">
        <f t="shared" si="45"/>
        <v>13198672.533139981</v>
      </c>
      <c r="Q55" s="280">
        <f t="shared" si="45"/>
        <v>13594632.70913418</v>
      </c>
      <c r="R55" s="280">
        <f t="shared" si="45"/>
        <v>14002471.690408206</v>
      </c>
      <c r="S55" s="280">
        <f t="shared" si="45"/>
        <v>14422545.841120454</v>
      </c>
      <c r="T55" s="145">
        <f t="shared" si="45"/>
        <v>14855222.216354067</v>
      </c>
    </row>
    <row r="56" spans="2:20">
      <c r="B56" s="269"/>
      <c r="C56" s="258"/>
      <c r="T56" s="114"/>
    </row>
    <row r="57" spans="2:20">
      <c r="B57" s="273" t="s">
        <v>320</v>
      </c>
      <c r="C57" s="258"/>
      <c r="T57" s="114"/>
    </row>
    <row r="58" spans="2:20">
      <c r="B58" s="269" t="s">
        <v>316</v>
      </c>
      <c r="C58" s="261">
        <v>0.22440191387559807</v>
      </c>
      <c r="E58" s="270">
        <f t="shared" ref="E58:T58" si="46">$C$58*E55</f>
        <v>0</v>
      </c>
      <c r="F58" s="270">
        <f t="shared" si="46"/>
        <v>0</v>
      </c>
      <c r="G58" s="270">
        <f t="shared" si="46"/>
        <v>0</v>
      </c>
      <c r="H58" s="270">
        <f t="shared" si="46"/>
        <v>0</v>
      </c>
      <c r="I58" s="270">
        <f t="shared" si="46"/>
        <v>227964.82738703597</v>
      </c>
      <c r="J58" s="270">
        <f t="shared" si="46"/>
        <v>1976620.8460473386</v>
      </c>
      <c r="K58" s="270">
        <f t="shared" si="46"/>
        <v>2554881.0611005127</v>
      </c>
      <c r="L58" s="270">
        <f t="shared" si="46"/>
        <v>2631527.4929335285</v>
      </c>
      <c r="M58" s="270">
        <f t="shared" si="46"/>
        <v>2710473.3177215345</v>
      </c>
      <c r="N58" s="270">
        <f t="shared" si="46"/>
        <v>2791787.5172531805</v>
      </c>
      <c r="O58" s="270">
        <f t="shared" si="46"/>
        <v>2875541.1427707761</v>
      </c>
      <c r="P58" s="270">
        <f t="shared" si="46"/>
        <v>2961807.3770539002</v>
      </c>
      <c r="Q58" s="270">
        <f t="shared" si="46"/>
        <v>3050661.5983655169</v>
      </c>
      <c r="R58" s="270">
        <f t="shared" si="46"/>
        <v>3142181.4463164825</v>
      </c>
      <c r="S58" s="270">
        <f t="shared" si="46"/>
        <v>3236446.8897059774</v>
      </c>
      <c r="T58" s="140">
        <f t="shared" si="46"/>
        <v>3333540.2963971565</v>
      </c>
    </row>
    <row r="59" spans="2:20">
      <c r="B59" s="269" t="s">
        <v>317</v>
      </c>
      <c r="C59" s="264">
        <v>6.6427432216905904E-2</v>
      </c>
      <c r="E59" s="270">
        <f t="shared" ref="E59:T59" si="47">$C$59*E55</f>
        <v>0</v>
      </c>
      <c r="F59" s="270">
        <f t="shared" si="47"/>
        <v>0</v>
      </c>
      <c r="G59" s="270">
        <f t="shared" si="47"/>
        <v>0</v>
      </c>
      <c r="H59" s="270">
        <f t="shared" si="47"/>
        <v>0</v>
      </c>
      <c r="I59" s="270">
        <f t="shared" si="47"/>
        <v>67482.125520043002</v>
      </c>
      <c r="J59" s="270">
        <f t="shared" si="47"/>
        <v>585119.10616824205</v>
      </c>
      <c r="K59" s="270">
        <f t="shared" si="47"/>
        <v>756295.63748995285</v>
      </c>
      <c r="L59" s="270">
        <f t="shared" si="47"/>
        <v>778984.50661465153</v>
      </c>
      <c r="M59" s="270">
        <f t="shared" si="47"/>
        <v>802354.04181309114</v>
      </c>
      <c r="N59" s="270">
        <f t="shared" si="47"/>
        <v>826424.66306748393</v>
      </c>
      <c r="O59" s="270">
        <f t="shared" si="47"/>
        <v>851217.40295950836</v>
      </c>
      <c r="P59" s="270">
        <f t="shared" si="47"/>
        <v>876753.9250482939</v>
      </c>
      <c r="Q59" s="270">
        <f t="shared" si="47"/>
        <v>903056.54279974266</v>
      </c>
      <c r="R59" s="270">
        <f t="shared" si="47"/>
        <v>930148.23908373492</v>
      </c>
      <c r="S59" s="270">
        <f t="shared" si="47"/>
        <v>958052.68625624711</v>
      </c>
      <c r="T59" s="140">
        <f t="shared" si="47"/>
        <v>986794.26684393443</v>
      </c>
    </row>
    <row r="60" spans="2:20">
      <c r="B60" s="269" t="s">
        <v>322</v>
      </c>
      <c r="C60" s="264">
        <v>7.7352472089314197E-3</v>
      </c>
      <c r="E60" s="270">
        <f t="shared" ref="E60:T60" si="48">$C$60*E55</f>
        <v>0</v>
      </c>
      <c r="F60" s="270">
        <f t="shared" si="48"/>
        <v>0</v>
      </c>
      <c r="G60" s="270">
        <f t="shared" si="48"/>
        <v>0</v>
      </c>
      <c r="H60" s="270">
        <f t="shared" si="48"/>
        <v>0</v>
      </c>
      <c r="I60" s="270">
        <f t="shared" si="48"/>
        <v>7858.0626355872391</v>
      </c>
      <c r="J60" s="270">
        <f t="shared" si="48"/>
        <v>68135.118005185446</v>
      </c>
      <c r="K60" s="270">
        <f t="shared" si="48"/>
        <v>88068.039419598354</v>
      </c>
      <c r="L60" s="270">
        <f t="shared" si="48"/>
        <v>90710.08060218631</v>
      </c>
      <c r="M60" s="270">
        <f t="shared" si="48"/>
        <v>93431.383020251902</v>
      </c>
      <c r="N60" s="270">
        <f t="shared" si="48"/>
        <v>96234.324510859471</v>
      </c>
      <c r="O60" s="270">
        <f t="shared" si="48"/>
        <v>99121.354246185248</v>
      </c>
      <c r="P60" s="270">
        <f t="shared" si="48"/>
        <v>102094.99487357083</v>
      </c>
      <c r="Q60" s="270">
        <f t="shared" si="48"/>
        <v>105157.84471977795</v>
      </c>
      <c r="R60" s="270">
        <f t="shared" si="48"/>
        <v>108312.58006137129</v>
      </c>
      <c r="S60" s="270">
        <f t="shared" si="48"/>
        <v>111561.95746321244</v>
      </c>
      <c r="T60" s="140">
        <f t="shared" si="48"/>
        <v>114908.81618710881</v>
      </c>
    </row>
    <row r="61" spans="2:20">
      <c r="B61" s="275" t="s">
        <v>323</v>
      </c>
      <c r="C61" s="276"/>
      <c r="D61" s="150"/>
      <c r="E61" s="280">
        <f t="shared" ref="E61:T61" si="49">SUM(E58:E60)</f>
        <v>0</v>
      </c>
      <c r="F61" s="280">
        <f t="shared" si="49"/>
        <v>0</v>
      </c>
      <c r="G61" s="280">
        <f t="shared" si="49"/>
        <v>0</v>
      </c>
      <c r="H61" s="280">
        <f t="shared" si="49"/>
        <v>0</v>
      </c>
      <c r="I61" s="280">
        <f t="shared" si="49"/>
        <v>303305.01554266619</v>
      </c>
      <c r="J61" s="280">
        <f t="shared" si="49"/>
        <v>2629875.0702207661</v>
      </c>
      <c r="K61" s="280">
        <f t="shared" si="49"/>
        <v>3399244.7380100642</v>
      </c>
      <c r="L61" s="280">
        <f t="shared" si="49"/>
        <v>3501222.0801503663</v>
      </c>
      <c r="M61" s="280">
        <f t="shared" si="49"/>
        <v>3606258.7425548779</v>
      </c>
      <c r="N61" s="280">
        <f t="shared" si="49"/>
        <v>3714446.5048315236</v>
      </c>
      <c r="O61" s="280">
        <f t="shared" si="49"/>
        <v>3825879.8999764696</v>
      </c>
      <c r="P61" s="280">
        <f t="shared" si="49"/>
        <v>3940656.2969757649</v>
      </c>
      <c r="Q61" s="280">
        <f t="shared" si="49"/>
        <v>4058875.9858850371</v>
      </c>
      <c r="R61" s="280">
        <f t="shared" si="49"/>
        <v>4180642.2654615887</v>
      </c>
      <c r="S61" s="280">
        <f t="shared" si="49"/>
        <v>4306061.5334254373</v>
      </c>
      <c r="T61" s="145">
        <f t="shared" si="49"/>
        <v>4435243.3794281995</v>
      </c>
    </row>
    <row r="62" spans="2:20">
      <c r="B62" s="269"/>
      <c r="C62" s="258"/>
      <c r="E62" s="270"/>
      <c r="F62" s="270"/>
      <c r="G62" s="270"/>
      <c r="H62" s="270"/>
      <c r="I62" s="270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140"/>
    </row>
    <row r="63" spans="2:20">
      <c r="B63" s="275" t="s">
        <v>325</v>
      </c>
      <c r="C63" s="276"/>
      <c r="D63" s="150"/>
      <c r="E63" s="280">
        <f t="shared" ref="E63:T63" si="50">E55-E61</f>
        <v>0</v>
      </c>
      <c r="F63" s="280">
        <f t="shared" si="50"/>
        <v>0</v>
      </c>
      <c r="G63" s="280">
        <f t="shared" si="50"/>
        <v>0</v>
      </c>
      <c r="H63" s="280">
        <f t="shared" si="50"/>
        <v>0</v>
      </c>
      <c r="I63" s="280">
        <f t="shared" si="50"/>
        <v>712572.36023325112</v>
      </c>
      <c r="J63" s="280">
        <f t="shared" si="50"/>
        <v>6178520.5976660941</v>
      </c>
      <c r="K63" s="280">
        <f t="shared" si="50"/>
        <v>7986046.1312864646</v>
      </c>
      <c r="L63" s="280">
        <f t="shared" si="50"/>
        <v>8225627.5152250603</v>
      </c>
      <c r="M63" s="280">
        <f t="shared" si="50"/>
        <v>8472396.3406818099</v>
      </c>
      <c r="N63" s="280">
        <f t="shared" si="50"/>
        <v>8726568.2309022658</v>
      </c>
      <c r="O63" s="280">
        <f t="shared" si="50"/>
        <v>8988365.2778293341</v>
      </c>
      <c r="P63" s="280">
        <f t="shared" si="50"/>
        <v>9258016.236164216</v>
      </c>
      <c r="Q63" s="280">
        <f t="shared" si="50"/>
        <v>9535756.723249143</v>
      </c>
      <c r="R63" s="280">
        <f t="shared" si="50"/>
        <v>9821829.4249466173</v>
      </c>
      <c r="S63" s="280">
        <f t="shared" si="50"/>
        <v>10116484.307695016</v>
      </c>
      <c r="T63" s="145">
        <f t="shared" si="50"/>
        <v>10419978.836925868</v>
      </c>
    </row>
    <row r="64" spans="2:20">
      <c r="B64" s="269"/>
      <c r="C64" s="258"/>
      <c r="E64" s="270"/>
      <c r="F64" s="270"/>
      <c r="G64" s="270"/>
      <c r="H64" s="270"/>
      <c r="I64" s="270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140"/>
    </row>
    <row r="65" spans="2:20">
      <c r="B65" s="273" t="s">
        <v>326</v>
      </c>
      <c r="C65" s="258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140"/>
    </row>
    <row r="66" spans="2:20">
      <c r="B66" s="269" t="s">
        <v>327</v>
      </c>
      <c r="C66" s="264">
        <v>7.6634768740031903E-2</v>
      </c>
      <c r="E66" s="270">
        <f t="shared" ref="E66:T66" si="51">$C$66*E55</f>
        <v>0</v>
      </c>
      <c r="F66" s="270">
        <f t="shared" si="51"/>
        <v>0</v>
      </c>
      <c r="G66" s="270">
        <f t="shared" si="51"/>
        <v>0</v>
      </c>
      <c r="H66" s="270">
        <f t="shared" si="51"/>
        <v>0</v>
      </c>
      <c r="I66" s="270">
        <f t="shared" si="51"/>
        <v>77851.527760817917</v>
      </c>
      <c r="J66" s="270">
        <f t="shared" si="51"/>
        <v>675029.36497920845</v>
      </c>
      <c r="K66" s="270">
        <f t="shared" si="51"/>
        <v>872509.13280653628</v>
      </c>
      <c r="L66" s="270">
        <f t="shared" si="51"/>
        <v>898684.40679073252</v>
      </c>
      <c r="M66" s="270">
        <f t="shared" si="51"/>
        <v>925644.93899445445</v>
      </c>
      <c r="N66" s="270">
        <f t="shared" si="51"/>
        <v>953414.28716428811</v>
      </c>
      <c r="O66" s="270">
        <f t="shared" si="51"/>
        <v>982016.71577921673</v>
      </c>
      <c r="P66" s="270">
        <f t="shared" si="51"/>
        <v>1011477.2172525935</v>
      </c>
      <c r="Q66" s="270">
        <f t="shared" si="51"/>
        <v>1041821.5337701712</v>
      </c>
      <c r="R66" s="270">
        <f t="shared" si="51"/>
        <v>1073076.1797832765</v>
      </c>
      <c r="S66" s="270">
        <f t="shared" si="51"/>
        <v>1105268.4651767749</v>
      </c>
      <c r="T66" s="140">
        <f t="shared" si="51"/>
        <v>1138426.5191320782</v>
      </c>
    </row>
    <row r="67" spans="2:20">
      <c r="B67" s="269" t="s">
        <v>328</v>
      </c>
      <c r="C67" s="264">
        <v>3.0622009569377991E-2</v>
      </c>
      <c r="E67" s="270">
        <f t="shared" ref="E67:T67" si="52">$C$67*E55</f>
        <v>0</v>
      </c>
      <c r="F67" s="270">
        <f t="shared" si="52"/>
        <v>0</v>
      </c>
      <c r="G67" s="270">
        <f t="shared" si="52"/>
        <v>0</v>
      </c>
      <c r="H67" s="270">
        <f t="shared" si="52"/>
        <v>0</v>
      </c>
      <c r="I67" s="270">
        <f t="shared" si="52"/>
        <v>31108.206722324743</v>
      </c>
      <c r="J67" s="270">
        <f t="shared" si="52"/>
        <v>269730.77643289912</v>
      </c>
      <c r="K67" s="270">
        <f t="shared" si="52"/>
        <v>348640.48594975017</v>
      </c>
      <c r="L67" s="270">
        <f t="shared" si="52"/>
        <v>359099.70052824274</v>
      </c>
      <c r="M67" s="270">
        <f t="shared" si="52"/>
        <v>369872.69154408999</v>
      </c>
      <c r="N67" s="270">
        <f t="shared" si="52"/>
        <v>380968.87229041272</v>
      </c>
      <c r="O67" s="270">
        <f t="shared" si="52"/>
        <v>392397.93845912511</v>
      </c>
      <c r="P67" s="270">
        <f t="shared" si="52"/>
        <v>404169.87661289895</v>
      </c>
      <c r="Q67" s="270">
        <f t="shared" si="52"/>
        <v>416294.97291128593</v>
      </c>
      <c r="R67" s="270">
        <f t="shared" si="52"/>
        <v>428783.82209862449</v>
      </c>
      <c r="S67" s="270">
        <f t="shared" si="52"/>
        <v>441647.33676158328</v>
      </c>
      <c r="T67" s="140">
        <f t="shared" si="52"/>
        <v>454896.75686443073</v>
      </c>
    </row>
    <row r="68" spans="2:20">
      <c r="B68" s="269" t="s">
        <v>185</v>
      </c>
      <c r="C68" s="264">
        <v>2.0813397129186603E-2</v>
      </c>
      <c r="E68" s="270">
        <f t="shared" ref="E68:T68" si="53">$C$68*E55</f>
        <v>0</v>
      </c>
      <c r="F68" s="270">
        <f t="shared" si="53"/>
        <v>0</v>
      </c>
      <c r="G68" s="270">
        <f t="shared" si="53"/>
        <v>0</v>
      </c>
      <c r="H68" s="270">
        <f t="shared" si="53"/>
        <v>0</v>
      </c>
      <c r="I68" s="270">
        <f t="shared" si="53"/>
        <v>21143.859256580097</v>
      </c>
      <c r="J68" s="270">
        <f t="shared" si="53"/>
        <v>183332.6371067361</v>
      </c>
      <c r="K68" s="270">
        <f t="shared" si="53"/>
        <v>236966.58029397082</v>
      </c>
      <c r="L68" s="270">
        <f t="shared" si="53"/>
        <v>244075.57770278997</v>
      </c>
      <c r="M68" s="270">
        <f t="shared" si="53"/>
        <v>251397.84503387366</v>
      </c>
      <c r="N68" s="270">
        <f t="shared" si="53"/>
        <v>258939.78038488989</v>
      </c>
      <c r="O68" s="270">
        <f t="shared" si="53"/>
        <v>266707.97379643656</v>
      </c>
      <c r="P68" s="270">
        <f t="shared" si="53"/>
        <v>274709.21301032975</v>
      </c>
      <c r="Q68" s="270">
        <f t="shared" si="53"/>
        <v>282950.48940063966</v>
      </c>
      <c r="R68" s="270">
        <f t="shared" si="53"/>
        <v>291439.00408265885</v>
      </c>
      <c r="S68" s="270">
        <f t="shared" si="53"/>
        <v>300182.17420513864</v>
      </c>
      <c r="T68" s="140">
        <f t="shared" si="53"/>
        <v>309187.63943129277</v>
      </c>
    </row>
    <row r="69" spans="2:20">
      <c r="B69" s="269" t="s">
        <v>329</v>
      </c>
      <c r="C69" s="264">
        <v>2.9984051036682616E-2</v>
      </c>
      <c r="E69" s="270">
        <f t="shared" ref="E69:T69" si="54">$C$69*E55</f>
        <v>0</v>
      </c>
      <c r="F69" s="270">
        <f t="shared" si="54"/>
        <v>0</v>
      </c>
      <c r="G69" s="270">
        <f t="shared" si="54"/>
        <v>0</v>
      </c>
      <c r="H69" s="270">
        <f t="shared" si="54"/>
        <v>0</v>
      </c>
      <c r="I69" s="270">
        <f t="shared" si="54"/>
        <v>30460.119082276309</v>
      </c>
      <c r="J69" s="270">
        <f t="shared" si="54"/>
        <v>264111.38525721367</v>
      </c>
      <c r="K69" s="270">
        <f t="shared" si="54"/>
        <v>341377.1424924637</v>
      </c>
      <c r="L69" s="270">
        <f t="shared" si="54"/>
        <v>351618.45676723769</v>
      </c>
      <c r="M69" s="270">
        <f t="shared" si="54"/>
        <v>362167.01047025481</v>
      </c>
      <c r="N69" s="270">
        <f t="shared" si="54"/>
        <v>373032.02078436245</v>
      </c>
      <c r="O69" s="270">
        <f t="shared" si="54"/>
        <v>384222.98140789336</v>
      </c>
      <c r="P69" s="270">
        <f t="shared" si="54"/>
        <v>395749.67085013021</v>
      </c>
      <c r="Q69" s="270">
        <f t="shared" si="54"/>
        <v>407622.16097563412</v>
      </c>
      <c r="R69" s="270">
        <f t="shared" si="54"/>
        <v>419850.82580490317</v>
      </c>
      <c r="S69" s="270">
        <f t="shared" si="54"/>
        <v>432446.35057905031</v>
      </c>
      <c r="T69" s="140">
        <f t="shared" si="54"/>
        <v>445419.74109642179</v>
      </c>
    </row>
    <row r="70" spans="2:20">
      <c r="B70" s="275" t="s">
        <v>330</v>
      </c>
      <c r="C70" s="276"/>
      <c r="D70" s="150"/>
      <c r="E70" s="280">
        <f t="shared" ref="E70:T70" si="55">SUM(E66:E69)</f>
        <v>0</v>
      </c>
      <c r="F70" s="280">
        <f t="shared" si="55"/>
        <v>0</v>
      </c>
      <c r="G70" s="280">
        <f t="shared" si="55"/>
        <v>0</v>
      </c>
      <c r="H70" s="280">
        <f t="shared" si="55"/>
        <v>0</v>
      </c>
      <c r="I70" s="280">
        <f t="shared" si="55"/>
        <v>160563.71282199907</v>
      </c>
      <c r="J70" s="280">
        <f t="shared" si="55"/>
        <v>1392204.1637760573</v>
      </c>
      <c r="K70" s="280">
        <f t="shared" si="55"/>
        <v>1799493.3415427208</v>
      </c>
      <c r="L70" s="280">
        <f t="shared" si="55"/>
        <v>1853478.141789003</v>
      </c>
      <c r="M70" s="280">
        <f t="shared" si="55"/>
        <v>1909082.4860426728</v>
      </c>
      <c r="N70" s="280">
        <f t="shared" si="55"/>
        <v>1966354.960623953</v>
      </c>
      <c r="O70" s="280">
        <f t="shared" si="55"/>
        <v>2025345.6094426718</v>
      </c>
      <c r="P70" s="280">
        <f t="shared" si="55"/>
        <v>2086105.9777259524</v>
      </c>
      <c r="Q70" s="280">
        <f t="shared" si="55"/>
        <v>2148689.1570577309</v>
      </c>
      <c r="R70" s="280">
        <f t="shared" si="55"/>
        <v>2213149.8317694627</v>
      </c>
      <c r="S70" s="280">
        <f t="shared" si="55"/>
        <v>2279544.3267225469</v>
      </c>
      <c r="T70" s="145">
        <f t="shared" si="55"/>
        <v>2347930.6565242233</v>
      </c>
    </row>
    <row r="71" spans="2:20">
      <c r="B71" s="269"/>
      <c r="C71" s="258"/>
      <c r="E71" s="270"/>
      <c r="F71" s="270"/>
      <c r="G71" s="270"/>
      <c r="H71" s="270"/>
      <c r="I71" s="270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140"/>
    </row>
    <row r="72" spans="2:20">
      <c r="B72" s="275" t="s">
        <v>331</v>
      </c>
      <c r="C72" s="276"/>
      <c r="D72" s="150"/>
      <c r="E72" s="280">
        <f t="shared" ref="E72:T72" si="56">E63-E70</f>
        <v>0</v>
      </c>
      <c r="F72" s="280">
        <f t="shared" si="56"/>
        <v>0</v>
      </c>
      <c r="G72" s="280">
        <f t="shared" si="56"/>
        <v>0</v>
      </c>
      <c r="H72" s="280">
        <f t="shared" si="56"/>
        <v>0</v>
      </c>
      <c r="I72" s="280">
        <f t="shared" si="56"/>
        <v>552008.64741125202</v>
      </c>
      <c r="J72" s="280">
        <f t="shared" si="56"/>
        <v>4786316.4338900372</v>
      </c>
      <c r="K72" s="280">
        <f t="shared" si="56"/>
        <v>6186552.7897437438</v>
      </c>
      <c r="L72" s="280">
        <f t="shared" si="56"/>
        <v>6372149.373436057</v>
      </c>
      <c r="M72" s="280">
        <f t="shared" si="56"/>
        <v>6563313.8546391372</v>
      </c>
      <c r="N72" s="280">
        <f t="shared" si="56"/>
        <v>6760213.2702783123</v>
      </c>
      <c r="O72" s="280">
        <f t="shared" si="56"/>
        <v>6963019.6683866624</v>
      </c>
      <c r="P72" s="280">
        <f t="shared" si="56"/>
        <v>7171910.2584382631</v>
      </c>
      <c r="Q72" s="280">
        <f t="shared" si="56"/>
        <v>7387067.5661914125</v>
      </c>
      <c r="R72" s="280">
        <f t="shared" si="56"/>
        <v>7608679.5931771547</v>
      </c>
      <c r="S72" s="280">
        <f t="shared" si="56"/>
        <v>7836939.9809724689</v>
      </c>
      <c r="T72" s="145">
        <f t="shared" si="56"/>
        <v>8072048.1804016447</v>
      </c>
    </row>
    <row r="73" spans="2:20">
      <c r="B73" s="269"/>
      <c r="C73" s="258"/>
      <c r="E73" s="270"/>
      <c r="F73" s="270"/>
      <c r="G73" s="270"/>
      <c r="H73" s="270"/>
      <c r="I73" s="270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140"/>
    </row>
    <row r="74" spans="2:20">
      <c r="B74" s="269" t="s">
        <v>332</v>
      </c>
      <c r="C74" s="265">
        <v>0.03</v>
      </c>
      <c r="E74" s="270">
        <f t="shared" ref="E74:T74" si="57">$C$74*E55</f>
        <v>0</v>
      </c>
      <c r="F74" s="270">
        <f t="shared" si="57"/>
        <v>0</v>
      </c>
      <c r="G74" s="270">
        <f t="shared" si="57"/>
        <v>0</v>
      </c>
      <c r="H74" s="270">
        <f t="shared" si="57"/>
        <v>0</v>
      </c>
      <c r="I74" s="270">
        <f t="shared" si="57"/>
        <v>30476.321273277517</v>
      </c>
      <c r="J74" s="270">
        <f t="shared" si="57"/>
        <v>264251.8700366058</v>
      </c>
      <c r="K74" s="270">
        <f t="shared" si="57"/>
        <v>341558.72607889585</v>
      </c>
      <c r="L74" s="270">
        <f t="shared" si="57"/>
        <v>351805.48786126275</v>
      </c>
      <c r="M74" s="270">
        <f t="shared" si="57"/>
        <v>362359.65249710064</v>
      </c>
      <c r="N74" s="270">
        <f t="shared" si="57"/>
        <v>373230.44207201368</v>
      </c>
      <c r="O74" s="270">
        <f t="shared" si="57"/>
        <v>384427.35533417412</v>
      </c>
      <c r="P74" s="270">
        <f t="shared" si="57"/>
        <v>395960.17599419941</v>
      </c>
      <c r="Q74" s="270">
        <f t="shared" si="57"/>
        <v>407838.9812740254</v>
      </c>
      <c r="R74" s="270">
        <f t="shared" si="57"/>
        <v>420074.15071224613</v>
      </c>
      <c r="S74" s="270">
        <f t="shared" si="57"/>
        <v>432676.37523361359</v>
      </c>
      <c r="T74" s="140">
        <f t="shared" si="57"/>
        <v>445656.66649062198</v>
      </c>
    </row>
    <row r="75" spans="2:20">
      <c r="B75" s="269"/>
      <c r="C75" s="258"/>
      <c r="E75" s="270"/>
      <c r="F75" s="270"/>
      <c r="G75" s="270"/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140"/>
    </row>
    <row r="76" spans="2:20">
      <c r="B76" s="275" t="s">
        <v>333</v>
      </c>
      <c r="C76" s="276"/>
      <c r="D76" s="150"/>
      <c r="E76" s="280">
        <f t="shared" ref="E76:T76" si="58">E72-E74</f>
        <v>0</v>
      </c>
      <c r="F76" s="280">
        <f t="shared" si="58"/>
        <v>0</v>
      </c>
      <c r="G76" s="280">
        <f t="shared" si="58"/>
        <v>0</v>
      </c>
      <c r="H76" s="280">
        <f t="shared" si="58"/>
        <v>0</v>
      </c>
      <c r="I76" s="280">
        <f t="shared" si="58"/>
        <v>521532.32613797451</v>
      </c>
      <c r="J76" s="280">
        <f t="shared" si="58"/>
        <v>4522064.5638534315</v>
      </c>
      <c r="K76" s="280">
        <f t="shared" si="58"/>
        <v>5844994.063664848</v>
      </c>
      <c r="L76" s="280">
        <f t="shared" si="58"/>
        <v>6020343.8855747944</v>
      </c>
      <c r="M76" s="280">
        <f t="shared" si="58"/>
        <v>6200954.2021420365</v>
      </c>
      <c r="N76" s="280">
        <f t="shared" si="58"/>
        <v>6386982.8282062989</v>
      </c>
      <c r="O76" s="280">
        <f t="shared" si="58"/>
        <v>6578592.3130524885</v>
      </c>
      <c r="P76" s="280">
        <f t="shared" si="58"/>
        <v>6775950.0824440634</v>
      </c>
      <c r="Q76" s="280">
        <f t="shared" si="58"/>
        <v>6979228.584917387</v>
      </c>
      <c r="R76" s="280">
        <f t="shared" si="58"/>
        <v>7188605.4424649086</v>
      </c>
      <c r="S76" s="280">
        <f t="shared" si="58"/>
        <v>7404263.605738855</v>
      </c>
      <c r="T76" s="145">
        <f t="shared" si="58"/>
        <v>7626391.5139110228</v>
      </c>
    </row>
    <row r="77" spans="2:20">
      <c r="B77" s="269"/>
      <c r="C77" s="258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140"/>
    </row>
    <row r="78" spans="2:20">
      <c r="B78" s="273" t="s">
        <v>360</v>
      </c>
      <c r="C78" s="258"/>
      <c r="E78" s="270"/>
      <c r="F78" s="270"/>
      <c r="G78" s="270"/>
      <c r="H78" s="270"/>
      <c r="I78" s="270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140"/>
    </row>
    <row r="79" spans="2:20">
      <c r="B79" s="269" t="s">
        <v>334</v>
      </c>
      <c r="C79" s="261">
        <v>6.3E-2</v>
      </c>
      <c r="E79" s="270">
        <f t="shared" ref="E79:T79" si="59">$C$79*E55</f>
        <v>0</v>
      </c>
      <c r="F79" s="270">
        <f t="shared" si="59"/>
        <v>0</v>
      </c>
      <c r="G79" s="270">
        <f t="shared" si="59"/>
        <v>0</v>
      </c>
      <c r="H79" s="270">
        <f t="shared" si="59"/>
        <v>0</v>
      </c>
      <c r="I79" s="270">
        <f t="shared" si="59"/>
        <v>64000.274673882792</v>
      </c>
      <c r="J79" s="270">
        <f t="shared" si="59"/>
        <v>554928.92707687221</v>
      </c>
      <c r="K79" s="270">
        <f t="shared" si="59"/>
        <v>717273.32476568129</v>
      </c>
      <c r="L79" s="270">
        <f t="shared" si="59"/>
        <v>738791.52450865181</v>
      </c>
      <c r="M79" s="270">
        <f t="shared" si="59"/>
        <v>760955.27024391142</v>
      </c>
      <c r="N79" s="270">
        <f t="shared" si="59"/>
        <v>783783.92835122882</v>
      </c>
      <c r="O79" s="270">
        <f t="shared" si="59"/>
        <v>807297.44620176568</v>
      </c>
      <c r="P79" s="270">
        <f t="shared" si="59"/>
        <v>831516.36958781886</v>
      </c>
      <c r="Q79" s="270">
        <f t="shared" si="59"/>
        <v>856461.86067545332</v>
      </c>
      <c r="R79" s="270">
        <f t="shared" si="59"/>
        <v>882155.71649571694</v>
      </c>
      <c r="S79" s="270">
        <f t="shared" si="59"/>
        <v>908620.38799058856</v>
      </c>
      <c r="T79" s="140">
        <f t="shared" si="59"/>
        <v>935878.99963030615</v>
      </c>
    </row>
    <row r="80" spans="2:20">
      <c r="B80" s="269" t="s">
        <v>222</v>
      </c>
      <c r="C80" s="264">
        <v>7.0175438596491229E-3</v>
      </c>
      <c r="E80" s="270">
        <f t="shared" ref="E80:T80" si="60">$C$80*E55</f>
        <v>0</v>
      </c>
      <c r="F80" s="270">
        <f t="shared" si="60"/>
        <v>0</v>
      </c>
      <c r="G80" s="270">
        <f t="shared" si="60"/>
        <v>0</v>
      </c>
      <c r="H80" s="270">
        <f t="shared" si="60"/>
        <v>0</v>
      </c>
      <c r="I80" s="270">
        <f t="shared" si="60"/>
        <v>7128.9640405327536</v>
      </c>
      <c r="J80" s="270">
        <f t="shared" si="60"/>
        <v>61813.302932539373</v>
      </c>
      <c r="K80" s="270">
        <f t="shared" si="60"/>
        <v>79896.778030151079</v>
      </c>
      <c r="L80" s="270">
        <f t="shared" si="60"/>
        <v>82293.681371055616</v>
      </c>
      <c r="M80" s="270">
        <f t="shared" si="60"/>
        <v>84762.491812187291</v>
      </c>
      <c r="N80" s="270">
        <f t="shared" si="60"/>
        <v>87305.366566552912</v>
      </c>
      <c r="O80" s="270">
        <f t="shared" si="60"/>
        <v>89924.527563549505</v>
      </c>
      <c r="P80" s="270">
        <f t="shared" si="60"/>
        <v>92622.263390456006</v>
      </c>
      <c r="Q80" s="270">
        <f t="shared" si="60"/>
        <v>95400.931292169684</v>
      </c>
      <c r="R80" s="270">
        <f t="shared" si="60"/>
        <v>98262.959230934779</v>
      </c>
      <c r="S80" s="270">
        <f t="shared" si="60"/>
        <v>101210.84800786283</v>
      </c>
      <c r="T80" s="140">
        <f t="shared" si="60"/>
        <v>104247.17344809871</v>
      </c>
    </row>
    <row r="81" spans="2:20">
      <c r="B81" s="269"/>
      <c r="C81" s="258"/>
      <c r="E81" s="270"/>
      <c r="F81" s="270"/>
      <c r="G81" s="270"/>
      <c r="H81" s="270"/>
      <c r="I81" s="270"/>
      <c r="J81" s="270"/>
      <c r="K81" s="270"/>
      <c r="L81" s="270"/>
      <c r="M81" s="270"/>
      <c r="N81" s="270"/>
      <c r="O81" s="270"/>
      <c r="P81" s="270"/>
      <c r="Q81" s="270"/>
      <c r="R81" s="270"/>
      <c r="S81" s="270"/>
      <c r="T81" s="140"/>
    </row>
    <row r="82" spans="2:20">
      <c r="B82" s="275" t="s">
        <v>335</v>
      </c>
      <c r="C82" s="276"/>
      <c r="D82" s="150"/>
      <c r="E82" s="277">
        <f t="shared" ref="E82:T82" si="61">SUM(E79:E81)</f>
        <v>0</v>
      </c>
      <c r="F82" s="277">
        <f t="shared" si="61"/>
        <v>0</v>
      </c>
      <c r="G82" s="277">
        <f t="shared" si="61"/>
        <v>0</v>
      </c>
      <c r="H82" s="277">
        <f t="shared" si="61"/>
        <v>0</v>
      </c>
      <c r="I82" s="277">
        <f t="shared" si="61"/>
        <v>71129.238714415551</v>
      </c>
      <c r="J82" s="277">
        <f t="shared" si="61"/>
        <v>616742.23000941158</v>
      </c>
      <c r="K82" s="277">
        <f t="shared" si="61"/>
        <v>797170.10279583232</v>
      </c>
      <c r="L82" s="277">
        <f t="shared" si="61"/>
        <v>821085.20587970747</v>
      </c>
      <c r="M82" s="277">
        <f t="shared" si="61"/>
        <v>845717.76205609867</v>
      </c>
      <c r="N82" s="277">
        <f t="shared" si="61"/>
        <v>871089.29491778172</v>
      </c>
      <c r="O82" s="277">
        <f t="shared" si="61"/>
        <v>897221.97376531514</v>
      </c>
      <c r="P82" s="277">
        <f t="shared" si="61"/>
        <v>924138.63297827484</v>
      </c>
      <c r="Q82" s="277">
        <f t="shared" si="61"/>
        <v>951862.79196762305</v>
      </c>
      <c r="R82" s="277">
        <f t="shared" si="61"/>
        <v>980418.67572665168</v>
      </c>
      <c r="S82" s="277">
        <f t="shared" si="61"/>
        <v>1009831.2359984514</v>
      </c>
      <c r="T82" s="278">
        <f t="shared" si="61"/>
        <v>1040126.1730784049</v>
      </c>
    </row>
    <row r="83" spans="2:20">
      <c r="B83" s="269"/>
      <c r="C83" s="258"/>
      <c r="E83" s="270"/>
      <c r="F83" s="270"/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140"/>
    </row>
    <row r="84" spans="2:20">
      <c r="B84" s="275" t="s">
        <v>362</v>
      </c>
      <c r="C84" s="276"/>
      <c r="D84" s="150"/>
      <c r="E84" s="280">
        <f t="shared" ref="E84:T84" si="62">E76-E82</f>
        <v>0</v>
      </c>
      <c r="F84" s="280">
        <f t="shared" si="62"/>
        <v>0</v>
      </c>
      <c r="G84" s="280">
        <f t="shared" si="62"/>
        <v>0</v>
      </c>
      <c r="H84" s="280">
        <f t="shared" si="62"/>
        <v>0</v>
      </c>
      <c r="I84" s="280">
        <f t="shared" si="62"/>
        <v>450403.08742355893</v>
      </c>
      <c r="J84" s="280">
        <f t="shared" si="62"/>
        <v>3905322.33384402</v>
      </c>
      <c r="K84" s="280">
        <f t="shared" si="62"/>
        <v>5047823.9608690161</v>
      </c>
      <c r="L84" s="280">
        <f t="shared" si="62"/>
        <v>5199258.6796950866</v>
      </c>
      <c r="M84" s="280">
        <f t="shared" si="62"/>
        <v>5355236.4400859382</v>
      </c>
      <c r="N84" s="280">
        <f t="shared" si="62"/>
        <v>5515893.533288517</v>
      </c>
      <c r="O84" s="280">
        <f t="shared" si="62"/>
        <v>5681370.339287173</v>
      </c>
      <c r="P84" s="280">
        <f t="shared" si="62"/>
        <v>5851811.4494657889</v>
      </c>
      <c r="Q84" s="280">
        <f t="shared" si="62"/>
        <v>6027365.7929497641</v>
      </c>
      <c r="R84" s="280">
        <f t="shared" si="62"/>
        <v>6208186.7667382564</v>
      </c>
      <c r="S84" s="280">
        <f t="shared" si="62"/>
        <v>6394432.3697404033</v>
      </c>
      <c r="T84" s="145">
        <f t="shared" si="62"/>
        <v>6586265.3408326181</v>
      </c>
    </row>
    <row r="85" spans="2:20">
      <c r="B85" s="269" t="s">
        <v>336</v>
      </c>
      <c r="C85" s="264">
        <v>4.0031897926634766E-2</v>
      </c>
      <c r="E85" s="270">
        <f t="shared" ref="E85:T85" si="63">$C$85*E55</f>
        <v>0</v>
      </c>
      <c r="F85" s="270">
        <f t="shared" si="63"/>
        <v>0</v>
      </c>
      <c r="G85" s="270">
        <f t="shared" si="63"/>
        <v>0</v>
      </c>
      <c r="H85" s="270">
        <f t="shared" si="63"/>
        <v>0</v>
      </c>
      <c r="I85" s="270">
        <f t="shared" si="63"/>
        <v>40667.499413039113</v>
      </c>
      <c r="J85" s="270">
        <f t="shared" si="63"/>
        <v>352616.7962742587</v>
      </c>
      <c r="K85" s="270">
        <f t="shared" si="63"/>
        <v>455774.80194472545</v>
      </c>
      <c r="L85" s="270">
        <f t="shared" si="63"/>
        <v>469448.04600306728</v>
      </c>
      <c r="M85" s="270">
        <f t="shared" si="63"/>
        <v>483531.48738315928</v>
      </c>
      <c r="N85" s="270">
        <f t="shared" si="63"/>
        <v>498037.43200465408</v>
      </c>
      <c r="O85" s="270">
        <f t="shared" si="63"/>
        <v>512978.55496479367</v>
      </c>
      <c r="P85" s="270">
        <f t="shared" si="63"/>
        <v>528367.9116137377</v>
      </c>
      <c r="Q85" s="270">
        <f t="shared" si="63"/>
        <v>544218.94896214979</v>
      </c>
      <c r="R85" s="270">
        <f t="shared" si="63"/>
        <v>560545.51743101422</v>
      </c>
      <c r="S85" s="270">
        <f t="shared" si="63"/>
        <v>577361.88295394473</v>
      </c>
      <c r="T85" s="140">
        <f t="shared" si="63"/>
        <v>594682.73944256303</v>
      </c>
    </row>
    <row r="86" spans="2:20">
      <c r="B86" s="269"/>
      <c r="C86" s="258"/>
      <c r="E86" s="270"/>
      <c r="F86" s="270"/>
      <c r="G86" s="270"/>
      <c r="H86" s="270"/>
      <c r="I86" s="270"/>
      <c r="J86" s="270"/>
      <c r="K86" s="270"/>
      <c r="L86" s="270"/>
      <c r="M86" s="270"/>
      <c r="N86" s="270"/>
      <c r="O86" s="270"/>
      <c r="P86" s="270"/>
      <c r="Q86" s="270"/>
      <c r="R86" s="270"/>
      <c r="S86" s="270"/>
      <c r="T86" s="140"/>
    </row>
    <row r="87" spans="2:20">
      <c r="B87" s="275" t="s">
        <v>363</v>
      </c>
      <c r="C87" s="276"/>
      <c r="D87" s="150"/>
      <c r="E87" s="280">
        <f t="shared" ref="E87:T87" si="64">E84-E85</f>
        <v>0</v>
      </c>
      <c r="F87" s="280">
        <f t="shared" si="64"/>
        <v>0</v>
      </c>
      <c r="G87" s="280">
        <f t="shared" si="64"/>
        <v>0</v>
      </c>
      <c r="H87" s="280">
        <f t="shared" si="64"/>
        <v>0</v>
      </c>
      <c r="I87" s="280">
        <f t="shared" si="64"/>
        <v>409735.5880105198</v>
      </c>
      <c r="J87" s="280">
        <f t="shared" si="64"/>
        <v>3552705.5375697613</v>
      </c>
      <c r="K87" s="280">
        <f t="shared" si="64"/>
        <v>4592049.1589242909</v>
      </c>
      <c r="L87" s="280">
        <f t="shared" si="64"/>
        <v>4729810.6336920196</v>
      </c>
      <c r="M87" s="280">
        <f t="shared" si="64"/>
        <v>4871704.9527027793</v>
      </c>
      <c r="N87" s="280">
        <f t="shared" si="64"/>
        <v>5017856.1012838632</v>
      </c>
      <c r="O87" s="280">
        <f t="shared" si="64"/>
        <v>5168391.7843223792</v>
      </c>
      <c r="P87" s="280">
        <f t="shared" si="64"/>
        <v>5323443.5378520507</v>
      </c>
      <c r="Q87" s="280">
        <f t="shared" si="64"/>
        <v>5483146.8439876139</v>
      </c>
      <c r="R87" s="280">
        <f t="shared" si="64"/>
        <v>5647641.2493072422</v>
      </c>
      <c r="S87" s="280">
        <f t="shared" si="64"/>
        <v>5817070.4867864586</v>
      </c>
      <c r="T87" s="145">
        <f t="shared" si="64"/>
        <v>5991582.6013900554</v>
      </c>
    </row>
    <row r="88" spans="2:20">
      <c r="B88" s="272" t="s">
        <v>285</v>
      </c>
      <c r="C88" s="258"/>
      <c r="E88" s="514" t="str">
        <f>IFERROR(E87/E55," ")</f>
        <v xml:space="preserve"> </v>
      </c>
      <c r="F88" s="514" t="str">
        <f>IFERROR(F87/F55," ")</f>
        <v xml:space="preserve"> </v>
      </c>
      <c r="G88" s="514" t="str">
        <f>IFERROR(G87/G55," ")</f>
        <v xml:space="preserve"> </v>
      </c>
      <c r="H88" s="514" t="str">
        <f>IFERROR(H87/H55," ")</f>
        <v xml:space="preserve"> </v>
      </c>
      <c r="I88" s="290">
        <f>IFERROR(I87/I55," ")</f>
        <v>0.40333173843700154</v>
      </c>
      <c r="J88" s="290">
        <f t="shared" ref="J88:T88" si="65">IFERROR(J87/J55," ")</f>
        <v>0.4033317384370016</v>
      </c>
      <c r="K88" s="290">
        <f t="shared" si="65"/>
        <v>0.40333173843700171</v>
      </c>
      <c r="L88" s="290">
        <f t="shared" si="65"/>
        <v>0.4033317384370016</v>
      </c>
      <c r="M88" s="290">
        <f t="shared" si="65"/>
        <v>0.40333173843700154</v>
      </c>
      <c r="N88" s="290">
        <f t="shared" si="65"/>
        <v>0.40333173843700154</v>
      </c>
      <c r="O88" s="290">
        <f t="shared" si="65"/>
        <v>0.4033317384370016</v>
      </c>
      <c r="P88" s="290">
        <f t="shared" si="65"/>
        <v>0.40333173843700149</v>
      </c>
      <c r="Q88" s="290">
        <f t="shared" si="65"/>
        <v>0.40333173843700165</v>
      </c>
      <c r="R88" s="290">
        <f t="shared" si="65"/>
        <v>0.4033317384370016</v>
      </c>
      <c r="S88" s="290">
        <f t="shared" si="65"/>
        <v>0.40333173843700149</v>
      </c>
      <c r="T88" s="291">
        <f t="shared" si="65"/>
        <v>0.40333173843700171</v>
      </c>
    </row>
    <row r="89" spans="2:20">
      <c r="B89" s="269"/>
      <c r="C89" s="258"/>
      <c r="E89" s="270"/>
      <c r="F89" s="270"/>
      <c r="G89" s="270"/>
      <c r="H89" s="270"/>
      <c r="I89" s="270"/>
      <c r="J89" s="270"/>
      <c r="K89" s="270"/>
      <c r="L89" s="270"/>
      <c r="M89" s="270"/>
      <c r="N89" s="270"/>
      <c r="O89" s="270"/>
      <c r="P89" s="270"/>
      <c r="Q89" s="270"/>
      <c r="R89" s="270"/>
      <c r="S89" s="270"/>
      <c r="T89" s="140"/>
    </row>
    <row r="90" spans="2:20" ht="17" thickBot="1">
      <c r="B90" s="281" t="s">
        <v>364</v>
      </c>
      <c r="C90" s="282"/>
      <c r="D90" s="283"/>
      <c r="E90" s="284">
        <f t="shared" ref="E90:T90" ca="1" si="66">E87+E47</f>
        <v>0</v>
      </c>
      <c r="F90" s="284">
        <f t="shared" ca="1" si="66"/>
        <v>0</v>
      </c>
      <c r="G90" s="284">
        <f t="shared" ca="1" si="66"/>
        <v>0</v>
      </c>
      <c r="H90" s="284">
        <f t="shared" ca="1" si="66"/>
        <v>0</v>
      </c>
      <c r="I90" s="284">
        <f t="shared" ca="1" si="66"/>
        <v>12078888.476368537</v>
      </c>
      <c r="J90" s="284">
        <f t="shared" ca="1" si="66"/>
        <v>32525521.768991314</v>
      </c>
      <c r="K90" s="284">
        <f t="shared" ca="1" si="66"/>
        <v>36124953.881601974</v>
      </c>
      <c r="L90" s="284">
        <f t="shared" ca="1" si="66"/>
        <v>6953748.3812669879</v>
      </c>
      <c r="M90" s="284">
        <f t="shared" ca="1" si="66"/>
        <v>5316486.9664353961</v>
      </c>
      <c r="N90" s="284">
        <f t="shared" ca="1" si="66"/>
        <v>5478205.4854971208</v>
      </c>
      <c r="O90" s="284">
        <f t="shared" ca="1" si="66"/>
        <v>5644853.396983101</v>
      </c>
      <c r="P90" s="284">
        <f t="shared" ca="1" si="66"/>
        <v>5816581.3069558982</v>
      </c>
      <c r="Q90" s="284">
        <f t="shared" ca="1" si="66"/>
        <v>5993544.4350100961</v>
      </c>
      <c r="R90" s="284">
        <f t="shared" ca="1" si="66"/>
        <v>6175902.7560155112</v>
      </c>
      <c r="S90" s="284">
        <f t="shared" ca="1" si="66"/>
        <v>6363821.1462295167</v>
      </c>
      <c r="T90" s="285">
        <f t="shared" ca="1" si="66"/>
        <v>6557469.5339136207</v>
      </c>
    </row>
    <row r="91" spans="2:20" ht="17" thickTop="1">
      <c r="B91" s="269"/>
      <c r="C91" s="258"/>
      <c r="T91" s="114"/>
    </row>
    <row r="92" spans="2:20">
      <c r="B92" s="268" t="s">
        <v>223</v>
      </c>
      <c r="C92" s="258"/>
      <c r="T92" s="114"/>
    </row>
    <row r="93" spans="2:20">
      <c r="B93" s="269" t="s">
        <v>337</v>
      </c>
      <c r="C93" s="258"/>
      <c r="E93" s="169">
        <f>IF(AND(E9&gt;Summary!$C$12,E9&lt;Summary!$C$12+2),LOOKUP(E9,Debt!$B$19:$B$48,Debt!$D$19:$D$48),IF(E9&gt;=Summary!$C$12+2,LOOKUP(E9-Summary!$C$12,Debt!$AE$19:$AE$58,Debt!$AG$19:$AG$58),0))</f>
        <v>0</v>
      </c>
      <c r="F93" s="169">
        <f>IF(AND(F9&gt;Summary!$C$12,F9&lt;Summary!$C$12+2),LOOKUP(F9,Debt!$B$19:$B$48,Debt!$D$19:$D$48),IF(F9&gt;=Summary!$C$12+2,LOOKUP(F9-Summary!$C$12,Debt!$AE$19:$AE$58,Debt!$AG$19:$AG$58),0))</f>
        <v>0</v>
      </c>
      <c r="G93" s="169">
        <f>IF(AND(G9&gt;Summary!$C$12,G9&lt;Summary!$C$12+2),LOOKUP(G9,Debt!$B$19:$B$48,Debt!$D$19:$D$48),IF(G9&gt;=Summary!$C$12+2,LOOKUP(G9-Summary!$C$12,Debt!$AE$19:$AE$58,Debt!$AG$19:$AG$58),0))</f>
        <v>0</v>
      </c>
      <c r="H93" s="169">
        <f>IF(AND(H9&gt;Summary!$C$12,H9&lt;Summary!$C$12+2),LOOKUP(H9,Debt!$B$19:$B$48,Debt!$D$19:$D$48),IF(H9&gt;=Summary!$C$12+2,LOOKUP(H9-Summary!$C$12,Debt!$AE$19:$AE$58,Debt!$AG$19:$AG$58),0))</f>
        <v>0</v>
      </c>
      <c r="I93" s="169">
        <f>IF(AND(I9&gt;Summary!$C$12,I9&lt;Summary!$C$12+2),LOOKUP(I9,Debt!$B$19:$B$48,Debt!$D$19:$D$48),IF(I9&gt;=Summary!$C$12+2,LOOKUP(I9-Summary!$C$12,Debt!$AE$19:$AE$58,Debt!$AG$19:$AG$58),0))</f>
        <v>0</v>
      </c>
      <c r="J93" s="169">
        <f>IF(AND(J9&gt;Summary!$C$12,J9&lt;Summary!$C$12+2),LOOKUP(J9,Debt!$B$19:$B$48,Debt!$D$19:$D$48),IF(J9&gt;=Summary!$C$12+2,LOOKUP(J9-Summary!$C$12,Debt!$AE$19:$AE$58,Debt!$AG$19:$AG$58),0))</f>
        <v>5089046.666666667</v>
      </c>
      <c r="K93" s="169">
        <f ca="1">IF(AND(K9&gt;Summary!$C$12,K9&lt;Summary!$C$12+2),LOOKUP(K9,Debt!$B$19:$B$48,Debt!$D$19:$D$48),IF(K9&gt;=Summary!$C$12+2,LOOKUP(K9-Summary!$C$12,Debt!$AE$19:$AE$58,Debt!$AG$19:$AG$58),0))</f>
        <v>3540211.5492295888</v>
      </c>
      <c r="L93" s="169">
        <f ca="1">IF(AND(L9&gt;Summary!$C$12,L9&lt;Summary!$C$12+2),LOOKUP(L9,Debt!$B$19:$B$48,Debt!$D$19:$D$48),IF(L9&gt;=Summary!$C$12+2,LOOKUP(L9-Summary!$C$12,Debt!$AE$19:$AE$58,Debt!$AG$19:$AG$58),0))</f>
        <v>3540211.5492295888</v>
      </c>
      <c r="M93" s="169">
        <f ca="1">IF(AND(M9&gt;Summary!$C$12,M9&lt;Summary!$C$12+2),LOOKUP(M9,Debt!$B$19:$B$48,Debt!$D$19:$D$48),IF(M9&gt;=Summary!$C$12+2,LOOKUP(M9-Summary!$C$12,Debt!$AE$19:$AE$58,Debt!$AG$19:$AG$58),0))</f>
        <v>3540211.5492295888</v>
      </c>
      <c r="N93" s="169">
        <f ca="1">IF(AND(N9&gt;Summary!$C$12,N9&lt;Summary!$C$12+2),LOOKUP(N9,Debt!$B$19:$B$48,Debt!$D$19:$D$48),IF(N9&gt;=Summary!$C$12+2,LOOKUP(N9-Summary!$C$12,Debt!$AE$19:$AE$58,Debt!$AG$19:$AG$58),0))</f>
        <v>3540211.5492295888</v>
      </c>
      <c r="O93" s="169">
        <f ca="1">IF(AND(O9&gt;Summary!$C$12,O9&lt;Summary!$C$12+2),LOOKUP(O9,Debt!$B$19:$B$48,Debt!$D$19:$D$48),IF(O9&gt;=Summary!$C$12+2,LOOKUP(O9-Summary!$C$12,Debt!$AE$19:$AE$58,Debt!$AG$19:$AG$58),0))</f>
        <v>3540211.5492295888</v>
      </c>
      <c r="P93" s="169">
        <f ca="1">IF(AND(P9&gt;Summary!$C$12,P9&lt;Summary!$C$12+2),LOOKUP(P9,Debt!$B$19:$B$48,Debt!$D$19:$D$48),IF(P9&gt;=Summary!$C$12+2,LOOKUP(P9-Summary!$C$12,Debt!$AE$19:$AE$58,Debt!$AG$19:$AG$58),0))</f>
        <v>3540211.5492295888</v>
      </c>
      <c r="Q93" s="169">
        <f ca="1">IF(AND(Q9&gt;Summary!$C$12,Q9&lt;Summary!$C$12+2),LOOKUP(Q9,Debt!$B$19:$B$48,Debt!$D$19:$D$48),IF(Q9&gt;=Summary!$C$12+2,LOOKUP(Q9-Summary!$C$12,Debt!$AE$19:$AE$58,Debt!$AG$19:$AG$58),0))</f>
        <v>3540211.5492295888</v>
      </c>
      <c r="R93" s="169">
        <f ca="1">IF(AND(R9&gt;Summary!$C$12,R9&lt;Summary!$C$12+2),LOOKUP(R9,Debt!$B$19:$B$48,Debt!$D$19:$D$48),IF(R9&gt;=Summary!$C$12+2,LOOKUP(R9-Summary!$C$12,Debt!$AE$19:$AE$58,Debt!$AG$19:$AG$58),0))</f>
        <v>3540211.5492295888</v>
      </c>
      <c r="S93" s="169">
        <f ca="1">IF(AND(S9&gt;Summary!$C$12,S9&lt;Summary!$C$12+2),LOOKUP(S9,Debt!$B$19:$B$48,Debt!$D$19:$D$48),IF(S9&gt;=Summary!$C$12+2,LOOKUP(S9-Summary!$C$12,Debt!$AE$19:$AE$58,Debt!$AG$19:$AG$58),0))</f>
        <v>3540211.5492295888</v>
      </c>
      <c r="T93" s="166">
        <f ca="1">IF(AND(T9&gt;Summary!$C$12,T9&lt;Summary!$C$12+2),LOOKUP(T9,Debt!$B$19:$B$48,Debt!$D$19:$D$48),IF(T9&gt;=Summary!$C$12+2,LOOKUP(T9-Summary!$C$12,Debt!$AE$19:$AE$58,Debt!$AG$19:$AG$58),0))</f>
        <v>3502097.190896688</v>
      </c>
    </row>
    <row r="94" spans="2:20">
      <c r="B94" s="269" t="s">
        <v>209</v>
      </c>
      <c r="C94" s="258"/>
      <c r="E94" s="169">
        <f>IF(AND(E9&gt;Summary!$C$12,E9&lt;Summary!$C$12+2),LOOKUP(E9,Debt!$B$19:$B$48,Debt!$E$19:$E$48),IF(E9&gt;=Summary!$C$12+2,LOOKUP(E9-Summary!$C$12,Debt!$AE$19:$AE$58,Debt!$AH$19:$AH$58),0))</f>
        <v>0</v>
      </c>
      <c r="F94" s="169">
        <f>IF(AND(F9&gt;Summary!$C$12,F9&lt;Summary!$C$12+2),LOOKUP(F9,Debt!$B$19:$B$48,Debt!$E$19:$E$48),IF(F9&gt;=Summary!$C$12+2,LOOKUP(F9-Summary!$C$12,Debt!$AE$19:$AE$58,Debt!$AH$19:$AH$58),0))</f>
        <v>0</v>
      </c>
      <c r="G94" s="169">
        <f>IF(AND(G9&gt;Summary!$C$12,G9&lt;Summary!$C$12+2),LOOKUP(G9,Debt!$B$19:$B$48,Debt!$E$19:$E$48),IF(G9&gt;=Summary!$C$12+2,LOOKUP(G9-Summary!$C$12,Debt!$AE$19:$AE$58,Debt!$AH$19:$AH$58),0))</f>
        <v>0</v>
      </c>
      <c r="H94" s="169">
        <f>IF(AND(H9&gt;Summary!$C$12,H9&lt;Summary!$C$12+2),LOOKUP(H9,Debt!$B$19:$B$48,Debt!$E$19:$E$48),IF(H9&gt;=Summary!$C$12+2,LOOKUP(H9-Summary!$C$12,Debt!$AE$19:$AE$58,Debt!$AH$19:$AH$58),0))</f>
        <v>0</v>
      </c>
      <c r="I94" s="169">
        <f>IF(AND(I9&gt;Summary!$C$12,I9&lt;Summary!$C$12+2),LOOKUP(I9,Debt!$B$19:$B$48,Debt!$E$19:$E$48),IF(I9&gt;=Summary!$C$12+2,LOOKUP(I9-Summary!$C$12,Debt!$AE$19:$AE$58,Debt!$AH$19:$AH$58),0))</f>
        <v>0</v>
      </c>
      <c r="J94" s="169">
        <f>IF(AND(J9&gt;Summary!$C$12,J9&lt;Summary!$C$12+2),LOOKUP(J9,Debt!$B$19:$B$48,Debt!$E$19:$E$48),IF(J9&gt;=Summary!$C$12+2,LOOKUP(J9-Summary!$C$12,Debt!$AE$19:$AE$58,Debt!$AH$19:$AH$58),0))</f>
        <v>0</v>
      </c>
      <c r="K94" s="169">
        <f>IF(AND(K9&gt;Summary!$C$12,K9&lt;Summary!$C$12+2),LOOKUP(K9,Debt!$B$19:$B$48,Debt!$E$19:$E$48),IF(K9&gt;=Summary!$C$12+2,LOOKUP(K9-Summary!$C$12,Debt!$AE$19:$AE$58,Debt!$AH$19:$AH$58),0))</f>
        <v>0</v>
      </c>
      <c r="L94" s="169">
        <f>IF(AND(L9&gt;Summary!$C$12,L9&lt;Summary!$C$12+2),LOOKUP(L9,Debt!$B$19:$B$48,Debt!$E$19:$E$48),IF(L9&gt;=Summary!$C$12+2,LOOKUP(L9-Summary!$C$12,Debt!$AE$19:$AE$58,Debt!$AH$19:$AH$58),0))</f>
        <v>0</v>
      </c>
      <c r="M94" s="169">
        <f>IF(AND(M9&gt;Summary!$C$12,M9&lt;Summary!$C$12+2),LOOKUP(M9,Debt!$B$19:$B$48,Debt!$E$19:$E$48),IF(M9&gt;=Summary!$C$12+2,LOOKUP(M9-Summary!$C$12,Debt!$AE$19:$AE$58,Debt!$AH$19:$AH$58),0))</f>
        <v>0</v>
      </c>
      <c r="N94" s="169">
        <f>IF(AND(N9&gt;Summary!$C$12,N9&lt;Summary!$C$12+2),LOOKUP(N9,Debt!$B$19:$B$48,Debt!$E$19:$E$48),IF(N9&gt;=Summary!$C$12+2,LOOKUP(N9-Summary!$C$12,Debt!$AE$19:$AE$58,Debt!$AH$19:$AH$58),0))</f>
        <v>0</v>
      </c>
      <c r="O94" s="169">
        <f>IF(AND(O9&gt;Summary!$C$12,O9&lt;Summary!$C$12+2),LOOKUP(O9,Debt!$B$19:$B$48,Debt!$E$19:$E$48),IF(O9&gt;=Summary!$C$12+2,LOOKUP(O9-Summary!$C$12,Debt!$AE$19:$AE$58,Debt!$AH$19:$AH$58),0))</f>
        <v>0</v>
      </c>
      <c r="P94" s="169">
        <f>IF(AND(P9&gt;Summary!$C$12,P9&lt;Summary!$C$12+2),LOOKUP(P9,Debt!$B$19:$B$48,Debt!$E$19:$E$48),IF(P9&gt;=Summary!$C$12+2,LOOKUP(P9-Summary!$C$12,Debt!$AE$19:$AE$58,Debt!$AH$19:$AH$58),0))</f>
        <v>0</v>
      </c>
      <c r="Q94" s="169">
        <f>IF(AND(Q9&gt;Summary!$C$12,Q9&lt;Summary!$C$12+2),LOOKUP(Q9,Debt!$B$19:$B$48,Debt!$E$19:$E$48),IF(Q9&gt;=Summary!$C$12+2,LOOKUP(Q9-Summary!$C$12,Debt!$AE$19:$AE$58,Debt!$AH$19:$AH$58),0))</f>
        <v>0</v>
      </c>
      <c r="R94" s="169">
        <f>IF(AND(R9&gt;Summary!$C$12,R9&lt;Summary!$C$12+2),LOOKUP(R9,Debt!$B$19:$B$48,Debt!$E$19:$E$48),IF(R9&gt;=Summary!$C$12+2,LOOKUP(R9-Summary!$C$12,Debt!$AE$19:$AE$58,Debt!$AH$19:$AH$58),0))</f>
        <v>0</v>
      </c>
      <c r="S94" s="169">
        <f>IF(AND(S9&gt;Summary!$C$12,S9&lt;Summary!$C$12+2),LOOKUP(S9,Debt!$B$19:$B$48,Debt!$E$19:$E$48),IF(S9&gt;=Summary!$C$12+2,LOOKUP(S9-Summary!$C$12,Debt!$AE$19:$AE$58,Debt!$AH$19:$AH$58),0))</f>
        <v>0</v>
      </c>
      <c r="T94" s="166">
        <f ca="1">IF(AND(T9&gt;Summary!$C$12,T9&lt;Summary!$C$12+2),LOOKUP(T9,Debt!$B$19:$B$48,Debt!$E$19:$E$48),IF(T9&gt;=Summary!$C$12+2,LOOKUP(T9-Summary!$C$12,Debt!$AE$19:$AE$58,Debt!$AH$19:$AH$58),0))</f>
        <v>1203140.945074765</v>
      </c>
    </row>
    <row r="95" spans="2:20">
      <c r="B95" s="275" t="s">
        <v>338</v>
      </c>
      <c r="C95" s="276"/>
      <c r="D95" s="150"/>
      <c r="E95" s="280">
        <f t="shared" ref="E95:T95" si="67">SUM(E93:E94)</f>
        <v>0</v>
      </c>
      <c r="F95" s="280">
        <f t="shared" si="67"/>
        <v>0</v>
      </c>
      <c r="G95" s="280">
        <f t="shared" si="67"/>
        <v>0</v>
      </c>
      <c r="H95" s="280">
        <f t="shared" si="67"/>
        <v>0</v>
      </c>
      <c r="I95" s="280">
        <f t="shared" si="67"/>
        <v>0</v>
      </c>
      <c r="J95" s="280">
        <f t="shared" si="67"/>
        <v>5089046.666666667</v>
      </c>
      <c r="K95" s="280">
        <f t="shared" ca="1" si="67"/>
        <v>3540211.5492295888</v>
      </c>
      <c r="L95" s="280">
        <f t="shared" ca="1" si="67"/>
        <v>3540211.5492295888</v>
      </c>
      <c r="M95" s="280">
        <f t="shared" ca="1" si="67"/>
        <v>3540211.5492295888</v>
      </c>
      <c r="N95" s="280">
        <f t="shared" ca="1" si="67"/>
        <v>3540211.5492295888</v>
      </c>
      <c r="O95" s="280">
        <f t="shared" ca="1" si="67"/>
        <v>3540211.5492295888</v>
      </c>
      <c r="P95" s="280">
        <f t="shared" ca="1" si="67"/>
        <v>3540211.5492295888</v>
      </c>
      <c r="Q95" s="280">
        <f t="shared" ca="1" si="67"/>
        <v>3540211.5492295888</v>
      </c>
      <c r="R95" s="280">
        <f t="shared" ca="1" si="67"/>
        <v>3540211.5492295888</v>
      </c>
      <c r="S95" s="280">
        <f t="shared" ca="1" si="67"/>
        <v>3540211.5492295888</v>
      </c>
      <c r="T95" s="145">
        <f t="shared" ca="1" si="67"/>
        <v>4705238.135971453</v>
      </c>
    </row>
    <row r="96" spans="2:20">
      <c r="B96" s="272" t="s">
        <v>289</v>
      </c>
      <c r="C96" s="258"/>
      <c r="E96" s="292" t="str">
        <f ca="1">IFERROR(E90/E95," ")</f>
        <v xml:space="preserve"> </v>
      </c>
      <c r="F96" s="292" t="str">
        <f ca="1">IFERROR(F90/F95," ")</f>
        <v xml:space="preserve"> </v>
      </c>
      <c r="G96" s="292" t="str">
        <f ca="1">IFERROR(G90/G95," ")</f>
        <v xml:space="preserve"> </v>
      </c>
      <c r="H96" s="292" t="str">
        <f ca="1">IFERROR(H90/H95," ")</f>
        <v xml:space="preserve"> </v>
      </c>
      <c r="I96" s="292" t="str">
        <f t="shared" ref="I96:T96" ca="1" si="68">IFERROR(I90/I95," ")</f>
        <v xml:space="preserve"> </v>
      </c>
      <c r="J96" s="292">
        <f t="shared" ca="1" si="68"/>
        <v>6.3912799192890049</v>
      </c>
      <c r="K96" s="292">
        <f t="shared" ca="1" si="68"/>
        <v>10.204179433701748</v>
      </c>
      <c r="L96" s="292">
        <f t="shared" ca="1" si="68"/>
        <v>1.9642183198855006</v>
      </c>
      <c r="M96" s="292">
        <f t="shared" ca="1" si="68"/>
        <v>1.5017427327449839</v>
      </c>
      <c r="N96" s="292">
        <f t="shared" ca="1" si="68"/>
        <v>1.5474232003704051</v>
      </c>
      <c r="O96" s="292">
        <f t="shared" ca="1" si="68"/>
        <v>1.5944960685220968</v>
      </c>
      <c r="P96" s="292">
        <f t="shared" ca="1" si="68"/>
        <v>1.6430038787432595</v>
      </c>
      <c r="Q96" s="292">
        <f t="shared" ca="1" si="68"/>
        <v>1.6929904757568499</v>
      </c>
      <c r="R96" s="292">
        <f t="shared" ca="1" si="68"/>
        <v>1.7445010475036427</v>
      </c>
      <c r="S96" s="292">
        <f t="shared" ca="1" si="68"/>
        <v>1.797582166414432</v>
      </c>
      <c r="T96" s="486">
        <f t="shared" ca="1" si="68"/>
        <v>1.3936530616339893</v>
      </c>
    </row>
    <row r="97" spans="2:20">
      <c r="B97" s="269" t="s">
        <v>477</v>
      </c>
      <c r="C97" s="258"/>
      <c r="E97" s="426">
        <f t="shared" ref="E97:M97" ca="1" si="69">IF((E90-E95)&gt;D98,D98,IF((E90-E95)&lt;0,0,(E90-E95)))</f>
        <v>0</v>
      </c>
      <c r="F97" s="426">
        <f t="shared" ca="1" si="69"/>
        <v>0</v>
      </c>
      <c r="G97" s="426">
        <f t="shared" ca="1" si="69"/>
        <v>0</v>
      </c>
      <c r="H97" s="426">
        <f t="shared" ca="1" si="69"/>
        <v>0</v>
      </c>
      <c r="I97" s="426">
        <f t="shared" ca="1" si="69"/>
        <v>12078888.476368537</v>
      </c>
      <c r="J97" s="426">
        <f t="shared" ca="1" si="69"/>
        <v>27436475.102324646</v>
      </c>
      <c r="K97" s="426">
        <f t="shared" ca="1" si="69"/>
        <v>27284636.421306815</v>
      </c>
      <c r="L97" s="426">
        <f t="shared" ca="1" si="69"/>
        <v>0</v>
      </c>
      <c r="M97" s="426">
        <f t="shared" ca="1" si="69"/>
        <v>0</v>
      </c>
      <c r="N97" s="426">
        <f t="shared" ref="N97:T97" ca="1" si="70">IF((N90-N95)&gt;M98,M98,IF((N90-N95)&lt;0,0,(N90-N95)))</f>
        <v>0</v>
      </c>
      <c r="O97" s="426">
        <f t="shared" ca="1" si="70"/>
        <v>0</v>
      </c>
      <c r="P97" s="426">
        <f t="shared" ca="1" si="70"/>
        <v>0</v>
      </c>
      <c r="Q97" s="426">
        <f t="shared" ca="1" si="70"/>
        <v>0</v>
      </c>
      <c r="R97" s="426">
        <f t="shared" ca="1" si="70"/>
        <v>0</v>
      </c>
      <c r="S97" s="426">
        <f t="shared" ca="1" si="70"/>
        <v>0</v>
      </c>
      <c r="T97" s="470">
        <f t="shared" ca="1" si="70"/>
        <v>0</v>
      </c>
    </row>
    <row r="98" spans="2:20">
      <c r="B98" s="269" t="s">
        <v>472</v>
      </c>
      <c r="C98" s="258"/>
      <c r="E98" s="426">
        <f>Summary!$K$9</f>
        <v>66800000</v>
      </c>
      <c r="F98" s="426">
        <f ca="1">E98-F97</f>
        <v>66800000</v>
      </c>
      <c r="G98" s="426">
        <f t="shared" ref="G98:J98" ca="1" si="71">F98-G97</f>
        <v>66800000</v>
      </c>
      <c r="H98" s="426">
        <f t="shared" ca="1" si="71"/>
        <v>66800000</v>
      </c>
      <c r="I98" s="426">
        <f t="shared" ca="1" si="71"/>
        <v>54721111.523631461</v>
      </c>
      <c r="J98" s="426">
        <f t="shared" ca="1" si="71"/>
        <v>27284636.421306815</v>
      </c>
      <c r="K98" s="426">
        <f t="shared" ref="K98" ca="1" si="72">J98-K97</f>
        <v>0</v>
      </c>
      <c r="L98" s="426">
        <f t="shared" ref="L98" ca="1" si="73">K98-L97</f>
        <v>0</v>
      </c>
      <c r="M98" s="426">
        <f t="shared" ref="M98" ca="1" si="74">L98-M97</f>
        <v>0</v>
      </c>
      <c r="N98" s="426">
        <f t="shared" ref="N98" ca="1" si="75">M98-N97</f>
        <v>0</v>
      </c>
      <c r="O98" s="426">
        <f t="shared" ref="O98" ca="1" si="76">N98-O97</f>
        <v>0</v>
      </c>
      <c r="P98" s="426">
        <f t="shared" ref="P98" ca="1" si="77">O98-P97</f>
        <v>0</v>
      </c>
      <c r="Q98" s="426">
        <f t="shared" ref="Q98" ca="1" si="78">P98-Q97</f>
        <v>0</v>
      </c>
      <c r="R98" s="426">
        <f t="shared" ref="R98" ca="1" si="79">Q98-R97</f>
        <v>0</v>
      </c>
      <c r="S98" s="426">
        <f t="shared" ref="S98" ca="1" si="80">R98-S97</f>
        <v>0</v>
      </c>
      <c r="T98" s="470">
        <f t="shared" ref="T98" ca="1" si="81">S98-T97</f>
        <v>0</v>
      </c>
    </row>
    <row r="99" spans="2:20">
      <c r="B99" s="269"/>
      <c r="C99" s="258"/>
      <c r="T99" s="114"/>
    </row>
    <row r="100" spans="2:20" ht="17" thickBot="1">
      <c r="B100" s="281" t="s">
        <v>365</v>
      </c>
      <c r="C100" s="282"/>
      <c r="D100" s="283"/>
      <c r="E100" s="284">
        <f ca="1">E90-E95-E97</f>
        <v>0</v>
      </c>
      <c r="F100" s="284">
        <f t="shared" ref="F100:T100" ca="1" si="82">F90-F95-F97</f>
        <v>0</v>
      </c>
      <c r="G100" s="284">
        <f t="shared" ca="1" si="82"/>
        <v>0</v>
      </c>
      <c r="H100" s="284">
        <f t="shared" ca="1" si="82"/>
        <v>0</v>
      </c>
      <c r="I100" s="284">
        <f t="shared" ca="1" si="82"/>
        <v>0</v>
      </c>
      <c r="J100" s="284">
        <f t="shared" ca="1" si="82"/>
        <v>0</v>
      </c>
      <c r="K100" s="284">
        <f t="shared" ca="1" si="82"/>
        <v>5300105.911065571</v>
      </c>
      <c r="L100" s="284">
        <f t="shared" ca="1" si="82"/>
        <v>3413536.8320373991</v>
      </c>
      <c r="M100" s="284">
        <f t="shared" ca="1" si="82"/>
        <v>1776275.4172058073</v>
      </c>
      <c r="N100" s="284">
        <f t="shared" ca="1" si="82"/>
        <v>1937993.9362675319</v>
      </c>
      <c r="O100" s="284">
        <f t="shared" ca="1" si="82"/>
        <v>2104641.8477535122</v>
      </c>
      <c r="P100" s="284">
        <f t="shared" ca="1" si="82"/>
        <v>2276369.7577263094</v>
      </c>
      <c r="Q100" s="284">
        <f t="shared" ca="1" si="82"/>
        <v>2453332.8857805072</v>
      </c>
      <c r="R100" s="284">
        <f t="shared" ca="1" si="82"/>
        <v>2635691.2067859224</v>
      </c>
      <c r="S100" s="284">
        <f t="shared" ca="1" si="82"/>
        <v>2823609.5969999279</v>
      </c>
      <c r="T100" s="285">
        <f t="shared" ca="1" si="82"/>
        <v>1852231.3979421677</v>
      </c>
    </row>
    <row r="101" spans="2:20" ht="18" thickTop="1" thickBot="1">
      <c r="B101" s="136" t="s">
        <v>288</v>
      </c>
      <c r="C101" s="274"/>
      <c r="D101" s="131"/>
      <c r="E101" s="288">
        <f ca="1">E100/Summary!$K$8</f>
        <v>0</v>
      </c>
      <c r="F101" s="288">
        <f ca="1">F100/Summary!$K$8</f>
        <v>0</v>
      </c>
      <c r="G101" s="288">
        <f ca="1">G100/Summary!$K$8</f>
        <v>0</v>
      </c>
      <c r="H101" s="288">
        <f ca="1">H100/Summary!$K$8</f>
        <v>0</v>
      </c>
      <c r="I101" s="288">
        <f ca="1">I100/Summary!$K$8</f>
        <v>0</v>
      </c>
      <c r="J101" s="288">
        <f ca="1">J100/Summary!$K$8</f>
        <v>0</v>
      </c>
      <c r="K101" s="288">
        <f ca="1">K100/Summary!$K$8</f>
        <v>9.91948263840427E-2</v>
      </c>
      <c r="L101" s="288">
        <f ca="1">L100/Summary!$K$8</f>
        <v>6.3886495683519146E-2</v>
      </c>
      <c r="M101" s="288">
        <f ca="1">M100/Summary!$K$8</f>
        <v>3.3244115226472727E-2</v>
      </c>
      <c r="N101" s="288">
        <f ca="1">N100/Summary!$K$8</f>
        <v>3.6270779351791529E-2</v>
      </c>
      <c r="O101" s="288">
        <f ca="1">O100/Summary!$K$8</f>
        <v>3.9389700166676089E-2</v>
      </c>
      <c r="P101" s="288">
        <f ca="1">P100/Summary!$K$8</f>
        <v>4.2603696358616598E-2</v>
      </c>
      <c r="Q101" s="288">
        <f ca="1">Q100/Summary!$K$8</f>
        <v>4.591567296026608E-2</v>
      </c>
      <c r="R101" s="288">
        <f ca="1">R100/Summary!$K$8</f>
        <v>4.9328624002254025E-2</v>
      </c>
      <c r="S101" s="288">
        <f ca="1">S100/Summary!$K$8</f>
        <v>5.2845635247770709E-2</v>
      </c>
      <c r="T101" s="289">
        <f ca="1">T100/Summary!$K$8</f>
        <v>3.466567933262437E-2</v>
      </c>
    </row>
    <row r="104" spans="2:20">
      <c r="J104" s="270"/>
    </row>
  </sheetData>
  <pageMargins left="0.7" right="0.7" top="0.75" bottom="0.75" header="0.3" footer="0.3"/>
  <pageSetup scale="80" orientation="portrait" horizontalDpi="0" verticalDpi="0"/>
  <rowBreaks count="1" manualBreakCount="1">
    <brk id="45" max="14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9DBC-4E6B-5448-8321-CB7985D0C5A4}">
  <sheetPr codeName="Sheet10"/>
  <dimension ref="B2:Y27"/>
  <sheetViews>
    <sheetView showZeros="0" zoomScaleNormal="100" workbookViewId="0">
      <selection activeCell="H25" sqref="H25"/>
    </sheetView>
  </sheetViews>
  <sheetFormatPr baseColWidth="10" defaultRowHeight="16"/>
  <cols>
    <col min="2" max="2" width="21.83203125" customWidth="1"/>
    <col min="3" max="3" width="3.6640625" customWidth="1"/>
    <col min="4" max="4" width="14.5" bestFit="1" customWidth="1"/>
    <col min="5" max="5" width="3.6640625" customWidth="1"/>
    <col min="6" max="6" width="17" customWidth="1"/>
    <col min="7" max="7" width="13.5" customWidth="1"/>
    <col min="8" max="8" width="12.5" bestFit="1" customWidth="1"/>
    <col min="9" max="9" width="12.1640625" bestFit="1" customWidth="1"/>
    <col min="10" max="10" width="14.83203125" customWidth="1"/>
    <col min="11" max="11" width="14.5" bestFit="1" customWidth="1"/>
    <col min="12" max="12" width="14.33203125" customWidth="1"/>
    <col min="13" max="13" width="14.6640625" customWidth="1"/>
    <col min="14" max="14" width="14.5" bestFit="1" customWidth="1"/>
    <col min="15" max="15" width="16" bestFit="1" customWidth="1"/>
    <col min="16" max="16" width="14.83203125" customWidth="1"/>
    <col min="17" max="17" width="13.6640625" customWidth="1"/>
    <col min="18" max="18" width="12.5" bestFit="1" customWidth="1"/>
    <col min="20" max="20" width="13" bestFit="1" customWidth="1"/>
  </cols>
  <sheetData>
    <row r="2" spans="2:25">
      <c r="B2" s="164" t="s">
        <v>464</v>
      </c>
    </row>
    <row r="5" spans="2:25" ht="17" thickBot="1"/>
    <row r="6" spans="2:25">
      <c r="B6" s="235" t="s">
        <v>372</v>
      </c>
      <c r="C6" s="236"/>
      <c r="D6" s="254">
        <f ca="1">'Rental - Returns'!D6</f>
        <v>10</v>
      </c>
      <c r="F6" s="365"/>
      <c r="G6" s="375">
        <f>IFERROR('Condo - Annual Proforma'!E6," ")</f>
        <v>0</v>
      </c>
      <c r="H6" s="375">
        <f>'Condo - Annual Proforma'!F6</f>
        <v>0</v>
      </c>
      <c r="I6" s="375" t="str">
        <f>'Condo - Annual Proforma'!G6</f>
        <v xml:space="preserve"> </v>
      </c>
      <c r="J6" s="375" t="str">
        <f>'Condo - Annual Proforma'!H6</f>
        <v xml:space="preserve"> </v>
      </c>
      <c r="K6" s="375" t="str">
        <f>'Condo - Annual Proforma'!I6</f>
        <v>Sale</v>
      </c>
      <c r="L6" s="375" t="str">
        <f>'Condo - Annual Proforma'!J6</f>
        <v>Sale</v>
      </c>
      <c r="M6" s="375" t="str">
        <f>'Condo - Annual Proforma'!K6</f>
        <v>Sale</v>
      </c>
      <c r="N6" s="375" t="str">
        <f>'Condo - Annual Proforma'!L6</f>
        <v>Sale</v>
      </c>
      <c r="O6" s="375" t="str">
        <f>'Condo - Annual Proforma'!M6</f>
        <v xml:space="preserve"> </v>
      </c>
      <c r="P6" s="375" t="str">
        <f>'Condo - Annual Proforma'!N6</f>
        <v xml:space="preserve"> </v>
      </c>
      <c r="Q6" s="375" t="str">
        <f>'Condo - Annual Proforma'!O6</f>
        <v xml:space="preserve"> </v>
      </c>
      <c r="R6" s="375" t="str">
        <f>'Condo - Annual Proforma'!P6</f>
        <v xml:space="preserve"> </v>
      </c>
      <c r="S6" s="375">
        <f>'Condo - Annual Proforma'!Q6</f>
        <v>0</v>
      </c>
      <c r="T6" s="375">
        <f>'Condo - Annual Proforma'!R6</f>
        <v>0</v>
      </c>
      <c r="U6" s="375">
        <f>'Condo - Annual Proforma'!S6</f>
        <v>0</v>
      </c>
      <c r="V6" s="487">
        <f>'Condo - Annual Proforma'!T6</f>
        <v>0</v>
      </c>
      <c r="W6" s="182"/>
      <c r="X6" s="182"/>
      <c r="Y6" s="182"/>
    </row>
    <row r="7" spans="2:25">
      <c r="B7" s="244"/>
      <c r="C7" s="142"/>
      <c r="D7" s="152"/>
      <c r="F7" s="369"/>
      <c r="G7" s="482" t="str">
        <f>'Condo - Annual Proforma'!E7</f>
        <v>Const.</v>
      </c>
      <c r="H7" s="482" t="str">
        <f>'Condo - Annual Proforma'!F7</f>
        <v>Const.</v>
      </c>
      <c r="I7" s="482" t="str">
        <f>'Condo - Annual Proforma'!G7</f>
        <v>Const.</v>
      </c>
      <c r="J7" s="482" t="str">
        <f>'Condo - Annual Proforma'!H7</f>
        <v>Const.</v>
      </c>
      <c r="K7" s="482" t="str">
        <f>'Condo - Annual Proforma'!I7</f>
        <v xml:space="preserve"> </v>
      </c>
      <c r="L7" s="483" t="str">
        <f>'Condo - Annual Proforma'!J7</f>
        <v xml:space="preserve"> </v>
      </c>
      <c r="M7" s="483" t="str">
        <f>'Condo - Annual Proforma'!K7</f>
        <v xml:space="preserve"> </v>
      </c>
      <c r="N7" s="483" t="str">
        <f>'Condo - Annual Proforma'!L7</f>
        <v xml:space="preserve"> </v>
      </c>
      <c r="O7" s="483">
        <f>'Condo - Annual Proforma'!M7</f>
        <v>0</v>
      </c>
      <c r="P7" s="483">
        <f>'Condo - Annual Proforma'!N7</f>
        <v>0</v>
      </c>
      <c r="Q7" s="483">
        <f>'Condo - Annual Proforma'!O7</f>
        <v>0</v>
      </c>
      <c r="R7" s="483">
        <f>'Condo - Annual Proforma'!P7</f>
        <v>0</v>
      </c>
      <c r="S7" s="483">
        <f>'Condo - Annual Proforma'!Q7</f>
        <v>0</v>
      </c>
      <c r="T7" s="483">
        <f>'Condo - Annual Proforma'!R7</f>
        <v>0</v>
      </c>
      <c r="U7" s="483">
        <f>'Condo - Annual Proforma'!S7</f>
        <v>0</v>
      </c>
      <c r="V7" s="488">
        <f>'Condo - Annual Proforma'!T7</f>
        <v>0</v>
      </c>
      <c r="W7" s="182"/>
      <c r="X7" s="182"/>
      <c r="Y7" s="182"/>
    </row>
    <row r="8" spans="2:25">
      <c r="B8" s="187" t="s">
        <v>375</v>
      </c>
      <c r="C8" s="237"/>
      <c r="D8" s="114"/>
      <c r="F8" s="244" t="s">
        <v>452</v>
      </c>
      <c r="G8" s="248">
        <f>'Rental - Annual Proforma'!E8</f>
        <v>44196</v>
      </c>
      <c r="H8" s="248">
        <f>'Rental - Annual Proforma'!F8</f>
        <v>44561</v>
      </c>
      <c r="I8" s="248">
        <f>'Rental - Annual Proforma'!G8</f>
        <v>44926</v>
      </c>
      <c r="J8" s="248">
        <f>'Rental - Annual Proforma'!H8</f>
        <v>45291</v>
      </c>
      <c r="K8" s="248">
        <f>'Rental - Annual Proforma'!I8</f>
        <v>45657</v>
      </c>
      <c r="L8" s="248">
        <f>'Rental - Annual Proforma'!J8</f>
        <v>46022</v>
      </c>
      <c r="M8" s="248">
        <f>'Rental - Annual Proforma'!K8</f>
        <v>46387</v>
      </c>
      <c r="N8" s="248">
        <f>'Rental - Annual Proforma'!L8</f>
        <v>46752</v>
      </c>
      <c r="O8" s="248">
        <f>'Rental - Annual Proforma'!M8</f>
        <v>47118</v>
      </c>
      <c r="P8" s="248">
        <f>'Rental - Annual Proforma'!N8</f>
        <v>47483</v>
      </c>
      <c r="Q8" s="248">
        <f>'Rental - Annual Proforma'!O8</f>
        <v>47848</v>
      </c>
      <c r="R8" s="248">
        <f>'Rental - Annual Proforma'!P8</f>
        <v>48213</v>
      </c>
      <c r="S8" s="248">
        <f>'Rental - Annual Proforma'!Q8</f>
        <v>48579</v>
      </c>
      <c r="T8" s="248">
        <f>'Rental - Annual Proforma'!R8</f>
        <v>48944</v>
      </c>
      <c r="U8" s="248">
        <f>'Rental - Annual Proforma'!S8</f>
        <v>49309</v>
      </c>
      <c r="V8" s="249">
        <f>'Rental - Annual Proforma'!T8</f>
        <v>49674</v>
      </c>
      <c r="W8" s="102"/>
      <c r="X8" s="102"/>
      <c r="Y8" s="102"/>
    </row>
    <row r="9" spans="2:25">
      <c r="B9" s="120" t="s">
        <v>159</v>
      </c>
      <c r="D9" s="166">
        <f ca="1">LOOKUP(D6+1,'Condo - Annual Proforma'!$E$9:$T$9,'Condo - Annual Proforma'!$E$87:$T$87)</f>
        <v>5168391.7843223792</v>
      </c>
      <c r="F9" s="250" t="s">
        <v>451</v>
      </c>
      <c r="G9" s="252">
        <f>'Rental - Annual Proforma'!E9</f>
        <v>1</v>
      </c>
      <c r="H9" s="252">
        <f>'Rental - Annual Proforma'!F9</f>
        <v>2</v>
      </c>
      <c r="I9" s="252">
        <f>'Rental - Annual Proforma'!G9</f>
        <v>3</v>
      </c>
      <c r="J9" s="252">
        <f>'Rental - Annual Proforma'!H9</f>
        <v>4</v>
      </c>
      <c r="K9" s="252">
        <f>'Rental - Annual Proforma'!I9</f>
        <v>5</v>
      </c>
      <c r="L9" s="252">
        <f>'Rental - Annual Proforma'!J9</f>
        <v>6</v>
      </c>
      <c r="M9" s="252">
        <f>'Rental - Annual Proforma'!K9</f>
        <v>7</v>
      </c>
      <c r="N9" s="252">
        <f>'Rental - Annual Proforma'!L9</f>
        <v>8</v>
      </c>
      <c r="O9" s="252">
        <f>'Rental - Annual Proforma'!M9</f>
        <v>9</v>
      </c>
      <c r="P9" s="252">
        <f>'Rental - Annual Proforma'!N9</f>
        <v>10</v>
      </c>
      <c r="Q9" s="252">
        <f>'Rental - Annual Proforma'!O9</f>
        <v>11</v>
      </c>
      <c r="R9" s="252">
        <f>'Rental - Annual Proforma'!P9</f>
        <v>12</v>
      </c>
      <c r="S9" s="252">
        <f>'Rental - Annual Proforma'!Q9</f>
        <v>13</v>
      </c>
      <c r="T9" s="252">
        <f>'Rental - Annual Proforma'!R9</f>
        <v>14</v>
      </c>
      <c r="U9" s="252">
        <f>'Rental - Annual Proforma'!S9</f>
        <v>15</v>
      </c>
      <c r="V9" s="253">
        <f>'Rental - Annual Proforma'!T9</f>
        <v>16</v>
      </c>
    </row>
    <row r="10" spans="2:25">
      <c r="B10" s="120" t="s">
        <v>198</v>
      </c>
      <c r="D10" s="166">
        <f ca="1">LOOKUP(D6+1,'Condo - Annual Proforma'!$E$9:$T$9,'Condo - Annual Proforma'!$E$47:$T$47)</f>
        <v>476461.61266072199</v>
      </c>
      <c r="F10" s="120" t="s">
        <v>163</v>
      </c>
      <c r="G10" s="169">
        <f ca="1">-SUMIFS('Construction Schedule'!$I$69:$BN$69,'Construction Schedule'!$I$7:$BN$7,"&gt;="&amp;Summary!C10,'Construction Schedule'!$I$7:$BN$7,"&lt;"&amp;'Condo - Returns'!H8)</f>
        <v>-32955772.732635163</v>
      </c>
      <c r="H10" s="169">
        <f ca="1">-SUMIFS('Construction Schedule'!$I$69:$BN$69,'Construction Schedule'!$I$7:$BN$7,"&gt;="&amp;H8,'Construction Schedule'!$I$7:$BN$7,"&lt;"&amp;'Condo - Returns'!I8)</f>
        <v>-20475500.895947851</v>
      </c>
      <c r="I10" s="169">
        <f ca="1">-SUMIFS('Construction Schedule'!$I$69:$BN$69,'Construction Schedule'!$I$7:$BN$7,"&gt;="&amp;I8,'Construction Schedule'!$I$7:$BN$7,"&lt;"&amp;'Condo - Returns'!J8)</f>
        <v>0</v>
      </c>
      <c r="J10" s="169">
        <f ca="1">-SUMIFS('Construction Schedule'!$I$69:$BN$69,'Construction Schedule'!$I$7:$BN$7,"&gt;="&amp;J8,'Construction Schedule'!$I$7:$BN$7,"&lt;"&amp;'Condo - Returns'!K8)</f>
        <v>0</v>
      </c>
      <c r="K10" s="169">
        <f>-SUMIFS('Construction Schedule'!$I$69:$BN$69,'Construction Schedule'!$I$7:$BN$7,"&gt;="&amp;K8,'Construction Schedule'!$I$7:$BN$7,"&lt;"&amp;'Condo - Returns'!L8)</f>
        <v>0</v>
      </c>
      <c r="L10" s="169">
        <f>-SUMIFS('Construction Schedule'!$I$69:$BN$69,'Construction Schedule'!$I$7:$BN$7,"&gt;="&amp;L8,'Construction Schedule'!$I$7:$BN$7,"&lt;"&amp;'Condo - Returns'!M8)</f>
        <v>0</v>
      </c>
      <c r="M10" s="169">
        <f>-SUMIFS('Construction Schedule'!$I$69:$BN$69,'Construction Schedule'!$I$7:$BN$7,"&gt;="&amp;M8,'Construction Schedule'!$I$7:$BN$7,"&lt;"&amp;'Condo - Returns'!N8)</f>
        <v>0</v>
      </c>
      <c r="N10" s="169">
        <f>-SUMIFS('Construction Schedule'!$I$69:$BN$69,'Construction Schedule'!$I$7:$BN$7,"&gt;="&amp;N8,'Construction Schedule'!$I$7:$BN$7,"&lt;"&amp;'Condo - Returns'!O8)</f>
        <v>0</v>
      </c>
      <c r="O10" s="169">
        <f>-SUMIFS('Construction Schedule'!$I$69:$BN$69,'Construction Schedule'!$I$7:$BN$7,"&gt;="&amp;O8,'Construction Schedule'!$I$7:$BN$7,"&lt;"&amp;'Condo - Returns'!P8)</f>
        <v>0</v>
      </c>
      <c r="P10" s="169">
        <f>-SUMIFS('Construction Schedule'!$I$69:$BN$69,'Construction Schedule'!$I$7:$BN$7,"&gt;="&amp;P8,'Construction Schedule'!$I$7:$BN$7,"&lt;"&amp;'Condo - Returns'!Q8)</f>
        <v>0</v>
      </c>
      <c r="Q10" s="169">
        <f>-SUMIFS('Construction Schedule'!$I$69:$BN$69,'Construction Schedule'!$I$7:$BN$7,"&gt;="&amp;Q8,'Construction Schedule'!$I$7:$BN$7,"&lt;"&amp;'Condo - Returns'!R8)</f>
        <v>0</v>
      </c>
      <c r="R10" s="169">
        <f>-SUMIFS('Construction Schedule'!$I$69:$BN$69,'Construction Schedule'!$I$7:$BN$7,"&gt;="&amp;R8,'Construction Schedule'!$I$7:$BN$7,"&lt;"&amp;'Condo - Returns'!S8)</f>
        <v>0</v>
      </c>
      <c r="S10" s="169">
        <f>-SUMIFS('Construction Schedule'!$I$69:$BN$69,'Construction Schedule'!$I$7:$BN$7,"&gt;="&amp;S8,'Construction Schedule'!$I$7:$BN$7,"&lt;"&amp;'Condo - Returns'!T8)</f>
        <v>0</v>
      </c>
      <c r="T10" s="169">
        <f>-SUMIFS('Construction Schedule'!$I$69:$BN$69,'Construction Schedule'!$I$7:$BN$7,"&gt;="&amp;T8,'Construction Schedule'!$I$7:$BN$7,"&lt;"&amp;'Condo - Returns'!U8)</f>
        <v>0</v>
      </c>
      <c r="U10" s="169">
        <f>-SUMIFS('Construction Schedule'!$I$69:$BN$69,'Construction Schedule'!$I$7:$BN$7,"&gt;="&amp;U8,'Construction Schedule'!$I$7:$BN$7,"&lt;"&amp;'Condo - Returns'!V8)</f>
        <v>0</v>
      </c>
      <c r="V10" s="166">
        <f>-SUMIFS('Construction Schedule'!$I$69:$BN$69,'Construction Schedule'!$I$7:$BN$7,"&gt;="&amp;V8,'Construction Schedule'!$I$7:$BN$7,"&lt;"&amp;'Condo - Returns'!W8)</f>
        <v>0</v>
      </c>
      <c r="W10" s="159"/>
      <c r="X10" s="159"/>
      <c r="Y10" s="159"/>
    </row>
    <row r="11" spans="2:25">
      <c r="B11" s="120"/>
      <c r="D11" s="114"/>
      <c r="F11" s="120" t="s">
        <v>287</v>
      </c>
      <c r="G11" s="169">
        <f ca="1">'Condo - Annual Proforma'!E100</f>
        <v>0</v>
      </c>
      <c r="H11" s="169">
        <f ca="1">'Condo - Annual Proforma'!F100</f>
        <v>0</v>
      </c>
      <c r="I11" s="169">
        <f ca="1">'Condo - Annual Proforma'!G100</f>
        <v>0</v>
      </c>
      <c r="J11" s="169">
        <f ca="1">'Condo - Annual Proforma'!H100</f>
        <v>0</v>
      </c>
      <c r="K11" s="169">
        <f ca="1">'Condo - Annual Proforma'!I100</f>
        <v>0</v>
      </c>
      <c r="L11" s="169">
        <f ca="1">'Condo - Annual Proforma'!J100</f>
        <v>0</v>
      </c>
      <c r="M11" s="169">
        <f ca="1">'Condo - Annual Proforma'!K100</f>
        <v>5300105.911065571</v>
      </c>
      <c r="N11" s="169">
        <f ca="1">'Condo - Annual Proforma'!L100</f>
        <v>3413536.8320373991</v>
      </c>
      <c r="O11" s="169">
        <f ca="1">'Condo - Annual Proforma'!M100</f>
        <v>1776275.4172058073</v>
      </c>
      <c r="P11" s="169">
        <f ca="1">'Condo - Annual Proforma'!N100</f>
        <v>1937993.9362675319</v>
      </c>
      <c r="Q11" s="169">
        <f ca="1">'Condo - Annual Proforma'!O100</f>
        <v>2104641.8477535122</v>
      </c>
      <c r="R11" s="169">
        <f ca="1">'Condo - Annual Proforma'!P100</f>
        <v>2276369.7577263094</v>
      </c>
      <c r="S11" s="169">
        <f ca="1">'Condo - Annual Proforma'!Q100</f>
        <v>2453332.8857805072</v>
      </c>
      <c r="T11" s="169">
        <f ca="1">'Condo - Annual Proforma'!R100</f>
        <v>2635691.2067859224</v>
      </c>
      <c r="U11" s="169">
        <f ca="1">'Condo - Annual Proforma'!S100</f>
        <v>2823609.5969999279</v>
      </c>
      <c r="V11" s="166">
        <f ca="1">'Condo - Annual Proforma'!T100</f>
        <v>1852231.3979421677</v>
      </c>
      <c r="W11" s="159"/>
      <c r="X11" s="159"/>
      <c r="Y11" s="159"/>
    </row>
    <row r="12" spans="2:25">
      <c r="B12" s="187" t="s">
        <v>377</v>
      </c>
      <c r="C12" s="237"/>
      <c r="D12" s="114"/>
      <c r="F12" s="120" t="s">
        <v>373</v>
      </c>
      <c r="G12" s="169">
        <f>IF('Rental - Returns'!G6="Stabilization",Debt!$AI$7,0)</f>
        <v>0</v>
      </c>
      <c r="H12" s="169">
        <f>IF('Rental - Returns'!H6="Stabilization",Debt!$AI$7,0)</f>
        <v>0</v>
      </c>
      <c r="I12" s="169">
        <f>IF('Rental - Returns'!I6="Stabilization",Debt!$AI$7,0)</f>
        <v>0</v>
      </c>
      <c r="J12" s="169">
        <f ca="1">IF('Rental - Returns'!J6="Stabilization",Debt!$AI$7,0)</f>
        <v>0</v>
      </c>
      <c r="K12" s="169">
        <f ca="1">IF('Rental - Returns'!K6="Stabilization",Debt!$AI$7,0)</f>
        <v>0</v>
      </c>
      <c r="L12" s="169">
        <f ca="1">IF('Rental - Returns'!L6="Stabilization",Debt!$AI$7,0)</f>
        <v>0</v>
      </c>
      <c r="M12" s="169">
        <f ca="1">IF('Rental - Returns'!M6="Stabilization",Debt!$AI$7,0)</f>
        <v>50574450.703279838</v>
      </c>
      <c r="N12" s="169">
        <f ca="1">IF('Rental - Returns'!N6="Stabilization",Debt!$AI$7,0)</f>
        <v>0</v>
      </c>
      <c r="O12" s="169">
        <f>IF('Rental - Returns'!O6="Stabilization",Debt!$AI$7,0)</f>
        <v>0</v>
      </c>
      <c r="P12" s="169">
        <f>IF('Rental - Returns'!P6="Stabilization",Debt!$AI$7,0)</f>
        <v>0</v>
      </c>
      <c r="Q12" s="169">
        <f>IF('Rental - Returns'!Q6="Stabilization",Debt!$AI$7,0)</f>
        <v>0</v>
      </c>
      <c r="R12" s="169">
        <f>IF('Rental - Returns'!R6="Stabilization",Debt!$AI$7,0)</f>
        <v>0</v>
      </c>
      <c r="S12" s="169">
        <f>IF('Rental - Returns'!S6="Stabilization",Debt!$AI$7,0)</f>
        <v>0</v>
      </c>
      <c r="T12" s="169">
        <f>IF('Rental - Returns'!T6="Stabilization",Debt!$AI$7,0)</f>
        <v>0</v>
      </c>
      <c r="U12" s="169">
        <f>IF('Rental - Returns'!U6="Stabilization",Debt!$AI$7,0)</f>
        <v>0</v>
      </c>
      <c r="V12" s="166">
        <f>IF('Rental - Returns'!V6="Stabilization",Debt!$AI$7,0)</f>
        <v>0</v>
      </c>
      <c r="W12" s="159"/>
      <c r="X12" s="159"/>
      <c r="Y12" s="159"/>
    </row>
    <row r="13" spans="2:25">
      <c r="B13" s="120" t="s">
        <v>159</v>
      </c>
      <c r="D13" s="140">
        <f ca="1">D9/Summary!C54</f>
        <v>73834168.34746255</v>
      </c>
      <c r="F13" s="120" t="s">
        <v>374</v>
      </c>
      <c r="G13" s="169">
        <f ca="1">IF(G9=$D$6,$D$17,0)</f>
        <v>0</v>
      </c>
      <c r="H13" s="169">
        <f t="shared" ref="H13:V13" ca="1" si="0">IF(H9=$D$6,$D$17,0)</f>
        <v>0</v>
      </c>
      <c r="I13" s="169">
        <f t="shared" ca="1" si="0"/>
        <v>0</v>
      </c>
      <c r="J13" s="169">
        <f t="shared" ca="1" si="0"/>
        <v>0</v>
      </c>
      <c r="K13" s="169">
        <f t="shared" ca="1" si="0"/>
        <v>0</v>
      </c>
      <c r="L13" s="169">
        <f t="shared" ca="1" si="0"/>
        <v>0</v>
      </c>
      <c r="M13" s="169">
        <f t="shared" ca="1" si="0"/>
        <v>0</v>
      </c>
      <c r="N13" s="169">
        <f t="shared" ca="1" si="0"/>
        <v>0</v>
      </c>
      <c r="O13" s="169">
        <f t="shared" ca="1" si="0"/>
        <v>0</v>
      </c>
      <c r="P13" s="169">
        <f t="shared" ca="1" si="0"/>
        <v>83173337.404061183</v>
      </c>
      <c r="Q13" s="169">
        <f t="shared" ca="1" si="0"/>
        <v>0</v>
      </c>
      <c r="R13" s="169">
        <f t="shared" ca="1" si="0"/>
        <v>0</v>
      </c>
      <c r="S13" s="169">
        <f t="shared" ca="1" si="0"/>
        <v>0</v>
      </c>
      <c r="T13" s="169">
        <f t="shared" ca="1" si="0"/>
        <v>0</v>
      </c>
      <c r="U13" s="169">
        <f t="shared" ca="1" si="0"/>
        <v>0</v>
      </c>
      <c r="V13" s="166">
        <f t="shared" ca="1" si="0"/>
        <v>0</v>
      </c>
      <c r="W13" s="159"/>
      <c r="X13" s="159"/>
      <c r="Y13" s="159"/>
    </row>
    <row r="14" spans="2:25">
      <c r="B14" s="120" t="s">
        <v>376</v>
      </c>
      <c r="D14" s="140">
        <f ca="1">D10/Summary!C53</f>
        <v>11911540.31651805</v>
      </c>
      <c r="F14" s="120" t="s">
        <v>380</v>
      </c>
      <c r="G14" s="169">
        <f ca="1">-IF(G9=$D$6,LOOKUP(G9-5,Debt!$AE$19:$AE$58,Debt!$AI$19:$AI$58),0)*1.01</f>
        <v>0</v>
      </c>
      <c r="H14" s="169">
        <f ca="1">-IF(H9=$D$6,LOOKUP(H9-5,Debt!$AE$19:$AE$58,Debt!$AI$19:$AI$58),0)*1.01</f>
        <v>0</v>
      </c>
      <c r="I14" s="169">
        <f ca="1">-IF(I9=$D$6,LOOKUP(I9-5,Debt!$AE$19:$AE$58,Debt!$AI$19:$AI$58),0)*1.01</f>
        <v>0</v>
      </c>
      <c r="J14" s="169">
        <f ca="1">-IF(J9=$D$6,LOOKUP(J9-5,Debt!$AE$19:$AE$58,Debt!$AI$19:$AI$58),0)*1.01</f>
        <v>0</v>
      </c>
      <c r="K14" s="169">
        <f ca="1">-IF(K9=$D$6,LOOKUP(K9-5,Debt!$AE$19:$AE$58,Debt!$AI$19:$AI$58),0)*1.01</f>
        <v>0</v>
      </c>
      <c r="L14" s="169">
        <f ca="1">-IF(L9=$D$6,LOOKUP(L9-5,Debt!$AE$19:$AE$58,Debt!$AI$19:$AI$58),0)*1.01</f>
        <v>0</v>
      </c>
      <c r="M14" s="169">
        <f ca="1">-IF(M9=$D$6,LOOKUP(M9-5,Debt!$AE$19:$AE$58,Debt!$AI$19:$AI$58),0)*1.01</f>
        <v>0</v>
      </c>
      <c r="N14" s="169">
        <f ca="1">-IF(N9=$D$6,LOOKUP(N9-5,Debt!$AE$19:$AE$58,Debt!$AI$19:$AI$58),0)*1.01</f>
        <v>0</v>
      </c>
      <c r="O14" s="169">
        <f ca="1">-IF(O9=$D$6,LOOKUP(O9-5,Debt!$AE$19:$AE$58,Debt!$AI$19:$AI$58),0)*1.01</f>
        <v>0</v>
      </c>
      <c r="P14" s="169">
        <f ca="1">-IF(P9=$D$6,LOOKUP(P9-5,Debt!$AE$19:$AE$58,Debt!$AI$19:$AI$58),0)*1.01</f>
        <v>-51080195.210312635</v>
      </c>
      <c r="Q14" s="169">
        <f ca="1">-IF(Q9=$D$6,LOOKUP(Q9-5,Debt!$AE$19:$AE$58,Debt!$AI$19:$AI$58),0)*1.01</f>
        <v>0</v>
      </c>
      <c r="R14" s="169">
        <f ca="1">-IF(R9=$D$6,LOOKUP(R9-5,Debt!$AE$19:$AE$58,Debt!$AI$19:$AI$58),0)*1.01</f>
        <v>0</v>
      </c>
      <c r="S14" s="169">
        <f ca="1">-IF(S9=$D$6,LOOKUP(S9-5,Debt!$AE$19:$AE$58,Debt!$AI$19:$AI$58),0)*1.01</f>
        <v>0</v>
      </c>
      <c r="T14" s="169">
        <f ca="1">-IF(T9=$D$6,LOOKUP(T9-5,Debt!$AE$19:$AE$58,Debt!$AI$19:$AI$58),0)*1.01</f>
        <v>0</v>
      </c>
      <c r="U14" s="169">
        <f ca="1">-IF(U9=$D$6,LOOKUP(U9-5,Debt!$AE$19:$AE$58,Debt!$AI$19:$AI$58),0)*1.01</f>
        <v>0</v>
      </c>
      <c r="V14" s="166">
        <f ca="1">-IF(V9=$D$6,LOOKUP(V9-5,Debt!$AE$19:$AE$58,Debt!$AI$19:$AI$58),0)*1.01</f>
        <v>0</v>
      </c>
    </row>
    <row r="15" spans="2:25">
      <c r="B15" s="144" t="s">
        <v>136</v>
      </c>
      <c r="C15" s="150"/>
      <c r="D15" s="145">
        <f ca="1">SUM(D13:D14)</f>
        <v>85745708.663980603</v>
      </c>
      <c r="F15" s="120"/>
      <c r="V15" s="114"/>
      <c r="W15" s="176"/>
      <c r="X15" s="176"/>
      <c r="Y15" s="176"/>
    </row>
    <row r="16" spans="2:25" ht="17" thickBot="1">
      <c r="B16" s="120" t="s">
        <v>378</v>
      </c>
      <c r="C16" s="238">
        <v>0.03</v>
      </c>
      <c r="D16" s="140">
        <f ca="1">-C16*D15</f>
        <v>-2572371.259919418</v>
      </c>
      <c r="F16" s="245" t="s">
        <v>365</v>
      </c>
      <c r="G16" s="246">
        <f ca="1">IF(G9&lt;=$D$6,SUM(G10:G14),0)</f>
        <v>-32955772.732635163</v>
      </c>
      <c r="H16" s="246">
        <f t="shared" ref="H16:V16" ca="1" si="1">IF(H9&lt;=$D$6,SUM(H10:H14),0)</f>
        <v>-20475500.895947851</v>
      </c>
      <c r="I16" s="246">
        <f t="shared" ca="1" si="1"/>
        <v>0</v>
      </c>
      <c r="J16" s="246">
        <f t="shared" ca="1" si="1"/>
        <v>0</v>
      </c>
      <c r="K16" s="246">
        <f t="shared" ca="1" si="1"/>
        <v>0</v>
      </c>
      <c r="L16" s="246">
        <f t="shared" ca="1" si="1"/>
        <v>0</v>
      </c>
      <c r="M16" s="246">
        <f t="shared" ca="1" si="1"/>
        <v>55874556.614345409</v>
      </c>
      <c r="N16" s="246">
        <f t="shared" ca="1" si="1"/>
        <v>3413536.8320373991</v>
      </c>
      <c r="O16" s="246">
        <f t="shared" ca="1" si="1"/>
        <v>1776275.4172058073</v>
      </c>
      <c r="P16" s="246">
        <f t="shared" ca="1" si="1"/>
        <v>34031136.130016074</v>
      </c>
      <c r="Q16" s="246">
        <f t="shared" ca="1" si="1"/>
        <v>0</v>
      </c>
      <c r="R16" s="246">
        <f t="shared" ca="1" si="1"/>
        <v>0</v>
      </c>
      <c r="S16" s="246">
        <f t="shared" ca="1" si="1"/>
        <v>0</v>
      </c>
      <c r="T16" s="246">
        <f t="shared" ca="1" si="1"/>
        <v>0</v>
      </c>
      <c r="U16" s="246">
        <f t="shared" ca="1" si="1"/>
        <v>0</v>
      </c>
      <c r="V16" s="247">
        <f t="shared" ca="1" si="1"/>
        <v>0</v>
      </c>
    </row>
    <row r="17" spans="2:22" ht="18" thickTop="1" thickBot="1">
      <c r="B17" s="255" t="s">
        <v>379</v>
      </c>
      <c r="C17" s="147"/>
      <c r="D17" s="170">
        <f ca="1">SUM(D15:D16)</f>
        <v>83173337.404061183</v>
      </c>
      <c r="F17" s="136" t="s">
        <v>288</v>
      </c>
      <c r="G17" s="240">
        <f ca="1">IF(G16/-$G$16&lt;0,0,G16/-$G$16)</f>
        <v>0</v>
      </c>
      <c r="H17" s="240">
        <f ca="1">IF(H16/-$G$16&lt;0,0,H16/-$G$16)</f>
        <v>0</v>
      </c>
      <c r="I17" s="240">
        <f t="shared" ref="I17:V17" ca="1" si="2">IF(I16/-$G$16&lt;0,0,I16/-$G$16)</f>
        <v>0</v>
      </c>
      <c r="J17" s="240">
        <f t="shared" ca="1" si="2"/>
        <v>0</v>
      </c>
      <c r="K17" s="240">
        <f t="shared" ca="1" si="2"/>
        <v>0</v>
      </c>
      <c r="L17" s="240">
        <f t="shared" ca="1" si="2"/>
        <v>0</v>
      </c>
      <c r="M17" s="240">
        <f t="shared" ca="1" si="2"/>
        <v>1.6954406460939824</v>
      </c>
      <c r="N17" s="240">
        <f t="shared" ca="1" si="2"/>
        <v>0.10357932917340065</v>
      </c>
      <c r="O17" s="240">
        <f t="shared" ca="1" si="2"/>
        <v>5.3898764007642652E-2</v>
      </c>
      <c r="P17" s="240">
        <f t="shared" ca="1" si="2"/>
        <v>1.0326305016758417</v>
      </c>
      <c r="Q17" s="240">
        <f t="shared" ca="1" si="2"/>
        <v>0</v>
      </c>
      <c r="R17" s="240">
        <f t="shared" ca="1" si="2"/>
        <v>0</v>
      </c>
      <c r="S17" s="240">
        <f t="shared" ca="1" si="2"/>
        <v>0</v>
      </c>
      <c r="T17" s="240">
        <f t="shared" ca="1" si="2"/>
        <v>0</v>
      </c>
      <c r="U17" s="240">
        <f t="shared" ca="1" si="2"/>
        <v>0</v>
      </c>
      <c r="V17" s="241">
        <f t="shared" ca="1" si="2"/>
        <v>0</v>
      </c>
    </row>
    <row r="18" spans="2:22" ht="17" thickBot="1"/>
    <row r="19" spans="2:22">
      <c r="F19" s="126" t="s">
        <v>381</v>
      </c>
      <c r="G19" s="108"/>
    </row>
    <row r="20" spans="2:22">
      <c r="F20" s="120"/>
      <c r="G20" s="114"/>
    </row>
    <row r="21" spans="2:22">
      <c r="F21" s="120" t="s">
        <v>200</v>
      </c>
      <c r="G21" s="242">
        <f ca="1">XIRR(G16:V16,G8:V8)</f>
        <v>8.995883762836461E-2</v>
      </c>
    </row>
    <row r="22" spans="2:22">
      <c r="F22" s="120" t="s">
        <v>203</v>
      </c>
      <c r="G22" s="243">
        <f ca="1">AVERAGEIFS(G17:V17,G9:V9,"&lt;="&amp;D6)</f>
        <v>0.28855492409508676</v>
      </c>
    </row>
    <row r="23" spans="2:22">
      <c r="F23" s="120" t="s">
        <v>201</v>
      </c>
      <c r="G23" s="185">
        <f ca="1">SUMIF(G16:V16,"&gt;0")/-SUMIF(G16:V16,"&lt;0")</f>
        <v>1.7797723792744</v>
      </c>
    </row>
    <row r="24" spans="2:22">
      <c r="F24" s="120" t="s">
        <v>382</v>
      </c>
      <c r="G24" s="140">
        <f ca="1">SUM(G16:V16)</f>
        <v>41664231.365021676</v>
      </c>
    </row>
    <row r="25" spans="2:22" ht="17" thickBot="1">
      <c r="F25" s="239" t="s">
        <v>383</v>
      </c>
      <c r="G25" s="192">
        <f ca="1">NPV(Summary!$C$21,'Condo - Returns'!G16:V16)</f>
        <v>6364572.2583809793</v>
      </c>
    </row>
    <row r="27" spans="2:22">
      <c r="F27" s="51"/>
    </row>
  </sheetData>
  <pageMargins left="0.7" right="0.7" top="0.75" bottom="0.75" header="0.3" footer="0.3"/>
  <pageSetup orientation="portrait" horizontalDpi="0" verticalDpi="0"/>
  <ignoredErrors>
    <ignoredError sqref="D1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688C-6086-854A-9FE1-AAB51BFFBAA4}">
  <sheetPr codeName="Sheet7"/>
  <dimension ref="B2:AH40"/>
  <sheetViews>
    <sheetView workbookViewId="0">
      <selection activeCell="C7" sqref="C7"/>
    </sheetView>
  </sheetViews>
  <sheetFormatPr baseColWidth="10" defaultRowHeight="16"/>
  <cols>
    <col min="19" max="19" width="20.6640625" customWidth="1"/>
  </cols>
  <sheetData>
    <row r="2" spans="2:34">
      <c r="B2" s="164" t="s">
        <v>465</v>
      </c>
    </row>
    <row r="4" spans="2:34" ht="17" thickBot="1"/>
    <row r="5" spans="2:34">
      <c r="B5" s="523" t="s">
        <v>445</v>
      </c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5"/>
      <c r="S5" s="605" t="s">
        <v>446</v>
      </c>
      <c r="T5" s="606"/>
      <c r="U5" s="606"/>
      <c r="V5" s="606"/>
      <c r="W5" s="606"/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7"/>
    </row>
    <row r="6" spans="2:34">
      <c r="B6" s="526" t="s">
        <v>385</v>
      </c>
      <c r="C6" s="527"/>
      <c r="D6" s="527"/>
      <c r="E6" s="527"/>
      <c r="F6" s="528"/>
      <c r="G6" s="529" t="s">
        <v>386</v>
      </c>
      <c r="H6" s="530"/>
      <c r="I6" s="530"/>
      <c r="J6" s="530"/>
      <c r="K6" s="530"/>
      <c r="L6" s="530"/>
      <c r="M6" s="530"/>
      <c r="N6" s="530"/>
      <c r="O6" s="530"/>
      <c r="P6" s="531"/>
      <c r="Q6" s="195"/>
      <c r="R6" s="196"/>
      <c r="S6" s="608"/>
      <c r="T6" s="610" t="s">
        <v>415</v>
      </c>
      <c r="U6" s="611"/>
      <c r="V6" s="612"/>
      <c r="W6" s="610" t="s">
        <v>416</v>
      </c>
      <c r="X6" s="611"/>
      <c r="Y6" s="612"/>
      <c r="Z6" s="610" t="s">
        <v>417</v>
      </c>
      <c r="AA6" s="611"/>
      <c r="AB6" s="612"/>
      <c r="AC6" s="610" t="s">
        <v>418</v>
      </c>
      <c r="AD6" s="611"/>
      <c r="AE6" s="612"/>
      <c r="AF6" s="610" t="s">
        <v>419</v>
      </c>
      <c r="AG6" s="611"/>
      <c r="AH6" s="613"/>
    </row>
    <row r="7" spans="2:34" ht="57">
      <c r="B7" s="298" t="s">
        <v>387</v>
      </c>
      <c r="C7" s="198" t="s">
        <v>388</v>
      </c>
      <c r="D7" s="199" t="s">
        <v>389</v>
      </c>
      <c r="E7" s="199" t="s">
        <v>390</v>
      </c>
      <c r="F7" s="199" t="s">
        <v>391</v>
      </c>
      <c r="G7" s="200" t="s">
        <v>392</v>
      </c>
      <c r="H7" s="532" t="s">
        <v>393</v>
      </c>
      <c r="I7" s="533"/>
      <c r="J7" s="534"/>
      <c r="K7" s="535" t="s">
        <v>394</v>
      </c>
      <c r="L7" s="536"/>
      <c r="M7" s="537"/>
      <c r="N7" s="538" t="s">
        <v>395</v>
      </c>
      <c r="O7" s="539"/>
      <c r="P7" s="540"/>
      <c r="Q7" s="177"/>
      <c r="R7" s="197"/>
      <c r="S7" s="609"/>
      <c r="T7" s="410" t="s">
        <v>420</v>
      </c>
      <c r="U7" s="411" t="s">
        <v>421</v>
      </c>
      <c r="V7" s="412" t="s">
        <v>422</v>
      </c>
      <c r="W7" s="410" t="s">
        <v>420</v>
      </c>
      <c r="X7" s="411" t="s">
        <v>421</v>
      </c>
      <c r="Y7" s="412" t="s">
        <v>422</v>
      </c>
      <c r="Z7" s="410" t="s">
        <v>420</v>
      </c>
      <c r="AA7" s="411" t="s">
        <v>421</v>
      </c>
      <c r="AB7" s="412" t="s">
        <v>422</v>
      </c>
      <c r="AC7" s="410" t="s">
        <v>420</v>
      </c>
      <c r="AD7" s="411" t="s">
        <v>421</v>
      </c>
      <c r="AE7" s="412" t="s">
        <v>422</v>
      </c>
      <c r="AF7" s="410" t="s">
        <v>420</v>
      </c>
      <c r="AG7" s="411" t="s">
        <v>421</v>
      </c>
      <c r="AH7" s="413" t="s">
        <v>422</v>
      </c>
    </row>
    <row r="8" spans="2:34" ht="42">
      <c r="B8" s="299">
        <v>1</v>
      </c>
      <c r="C8" s="202" t="s">
        <v>396</v>
      </c>
      <c r="D8" s="203">
        <v>430</v>
      </c>
      <c r="E8" s="203">
        <v>2016</v>
      </c>
      <c r="F8" s="204">
        <v>15</v>
      </c>
      <c r="G8" s="202" t="s">
        <v>174</v>
      </c>
      <c r="H8" s="541"/>
      <c r="I8" s="542"/>
      <c r="J8" s="543"/>
      <c r="K8" s="550">
        <v>3616</v>
      </c>
      <c r="L8" s="551"/>
      <c r="M8" s="552"/>
      <c r="N8" s="541"/>
      <c r="O8" s="542"/>
      <c r="P8" s="553"/>
      <c r="Q8" s="177"/>
      <c r="R8" s="197"/>
      <c r="S8" s="321" t="s">
        <v>423</v>
      </c>
      <c r="T8" s="223">
        <v>0.79</v>
      </c>
      <c r="U8" s="224"/>
      <c r="V8" s="225"/>
      <c r="W8" s="223">
        <v>0.83</v>
      </c>
      <c r="X8" s="224"/>
      <c r="Y8" s="225"/>
      <c r="Z8" s="223">
        <v>0.88</v>
      </c>
      <c r="AA8" s="224"/>
      <c r="AB8" s="225"/>
      <c r="AC8" s="223">
        <v>0.87</v>
      </c>
      <c r="AD8" s="224"/>
      <c r="AE8" s="225"/>
      <c r="AF8" s="223">
        <v>0.93</v>
      </c>
      <c r="AG8" s="224"/>
      <c r="AH8" s="322"/>
    </row>
    <row r="9" spans="2:34" ht="28">
      <c r="B9" s="300"/>
      <c r="C9" s="205" t="s">
        <v>397</v>
      </c>
      <c r="D9" s="206"/>
      <c r="E9" s="206"/>
      <c r="F9" s="206"/>
      <c r="G9" s="205" t="s">
        <v>398</v>
      </c>
      <c r="H9" s="544"/>
      <c r="I9" s="545"/>
      <c r="J9" s="546"/>
      <c r="K9" s="556">
        <v>4515</v>
      </c>
      <c r="L9" s="557"/>
      <c r="M9" s="558"/>
      <c r="N9" s="544"/>
      <c r="O9" s="545"/>
      <c r="P9" s="554"/>
      <c r="Q9" s="177"/>
      <c r="R9" s="197"/>
      <c r="S9" s="323" t="s">
        <v>424</v>
      </c>
      <c r="T9" s="226"/>
      <c r="U9" s="324" t="s">
        <v>425</v>
      </c>
      <c r="V9" s="227"/>
      <c r="W9" s="226"/>
      <c r="X9" s="324" t="s">
        <v>426</v>
      </c>
      <c r="Y9" s="227"/>
      <c r="Z9" s="226"/>
      <c r="AA9" s="324" t="s">
        <v>427</v>
      </c>
      <c r="AB9" s="227"/>
      <c r="AC9" s="226"/>
      <c r="AD9" s="324" t="s">
        <v>427</v>
      </c>
      <c r="AE9" s="227"/>
      <c r="AF9" s="226"/>
      <c r="AG9" s="324" t="s">
        <v>427</v>
      </c>
      <c r="AH9" s="325"/>
    </row>
    <row r="10" spans="2:34">
      <c r="B10" s="300"/>
      <c r="C10" s="205" t="s">
        <v>399</v>
      </c>
      <c r="D10" s="206"/>
      <c r="E10" s="206"/>
      <c r="F10" s="206"/>
      <c r="G10" s="205" t="s">
        <v>400</v>
      </c>
      <c r="H10" s="544"/>
      <c r="I10" s="545"/>
      <c r="J10" s="546"/>
      <c r="K10" s="556">
        <v>6833</v>
      </c>
      <c r="L10" s="557"/>
      <c r="M10" s="558"/>
      <c r="N10" s="544"/>
      <c r="O10" s="545"/>
      <c r="P10" s="554"/>
      <c r="Q10" s="177"/>
      <c r="R10" s="197"/>
      <c r="S10" s="323" t="s">
        <v>428</v>
      </c>
      <c r="T10" s="226"/>
      <c r="U10" s="326"/>
      <c r="V10" s="228">
        <v>234</v>
      </c>
      <c r="W10" s="226"/>
      <c r="X10" s="326"/>
      <c r="Y10" s="228">
        <v>255</v>
      </c>
      <c r="Z10" s="226"/>
      <c r="AA10" s="326"/>
      <c r="AB10" s="228">
        <v>225</v>
      </c>
      <c r="AC10" s="226"/>
      <c r="AD10" s="326"/>
      <c r="AE10" s="228">
        <v>223</v>
      </c>
      <c r="AF10" s="226"/>
      <c r="AG10" s="326"/>
      <c r="AH10" s="327">
        <v>239</v>
      </c>
    </row>
    <row r="11" spans="2:34">
      <c r="B11" s="301"/>
      <c r="C11" s="207"/>
      <c r="D11" s="207"/>
      <c r="E11" s="207"/>
      <c r="F11" s="207"/>
      <c r="G11" s="208" t="s">
        <v>401</v>
      </c>
      <c r="H11" s="547"/>
      <c r="I11" s="548"/>
      <c r="J11" s="549"/>
      <c r="K11" s="559"/>
      <c r="L11" s="560"/>
      <c r="M11" s="561"/>
      <c r="N11" s="547"/>
      <c r="O11" s="548"/>
      <c r="P11" s="555"/>
      <c r="Q11" s="177"/>
      <c r="R11" s="197"/>
      <c r="S11" s="323" t="s">
        <v>429</v>
      </c>
      <c r="T11" s="226"/>
      <c r="U11" s="326"/>
      <c r="V11" s="227"/>
      <c r="W11" s="226"/>
      <c r="X11" s="326"/>
      <c r="Y11" s="227"/>
      <c r="Z11" s="226"/>
      <c r="AA11" s="326"/>
      <c r="AB11" s="227"/>
      <c r="AC11" s="226"/>
      <c r="AD11" s="326"/>
      <c r="AE11" s="227"/>
      <c r="AF11" s="226"/>
      <c r="AG11" s="326"/>
      <c r="AH11" s="325"/>
    </row>
    <row r="12" spans="2:34" ht="42">
      <c r="B12" s="299">
        <v>2</v>
      </c>
      <c r="C12" s="202" t="s">
        <v>402</v>
      </c>
      <c r="D12" s="203">
        <v>205</v>
      </c>
      <c r="E12" s="203">
        <v>2019</v>
      </c>
      <c r="F12" s="204">
        <v>9</v>
      </c>
      <c r="G12" s="202" t="s">
        <v>174</v>
      </c>
      <c r="H12" s="562">
        <v>457</v>
      </c>
      <c r="I12" s="563"/>
      <c r="J12" s="564"/>
      <c r="K12" s="550">
        <v>3680</v>
      </c>
      <c r="L12" s="551"/>
      <c r="M12" s="552"/>
      <c r="N12" s="565">
        <v>96.63</v>
      </c>
      <c r="O12" s="566"/>
      <c r="P12" s="567"/>
      <c r="S12" s="323" t="s">
        <v>316</v>
      </c>
      <c r="T12" s="229">
        <v>0.84799999999999998</v>
      </c>
      <c r="U12" s="328">
        <v>67949</v>
      </c>
      <c r="V12" s="230">
        <v>234.49</v>
      </c>
      <c r="W12" s="229">
        <v>0.98</v>
      </c>
      <c r="X12" s="328">
        <v>76780</v>
      </c>
      <c r="Y12" s="231">
        <v>254.55</v>
      </c>
      <c r="Z12" s="229">
        <v>0.90900000000000003</v>
      </c>
      <c r="AA12" s="328">
        <v>72332</v>
      </c>
      <c r="AB12" s="230">
        <v>225.24</v>
      </c>
      <c r="AC12" s="229">
        <v>0.71499999999999997</v>
      </c>
      <c r="AD12" s="328">
        <v>70654</v>
      </c>
      <c r="AE12" s="230">
        <v>222.61</v>
      </c>
      <c r="AF12" s="229">
        <v>0.54300000000000004</v>
      </c>
      <c r="AG12" s="328">
        <v>80638</v>
      </c>
      <c r="AH12" s="329">
        <v>238.58</v>
      </c>
    </row>
    <row r="13" spans="2:34">
      <c r="B13" s="300"/>
      <c r="C13" s="205" t="s">
        <v>399</v>
      </c>
      <c r="D13" s="206"/>
      <c r="E13" s="206"/>
      <c r="F13" s="206"/>
      <c r="G13" s="205" t="s">
        <v>398</v>
      </c>
      <c r="H13" s="568">
        <v>832</v>
      </c>
      <c r="I13" s="569"/>
      <c r="J13" s="570"/>
      <c r="K13" s="556">
        <v>5132</v>
      </c>
      <c r="L13" s="557"/>
      <c r="M13" s="558"/>
      <c r="N13" s="571">
        <v>74.02</v>
      </c>
      <c r="O13" s="572"/>
      <c r="P13" s="573"/>
      <c r="S13" s="323" t="s">
        <v>317</v>
      </c>
      <c r="T13" s="229">
        <v>0</v>
      </c>
      <c r="U13" s="330">
        <v>0</v>
      </c>
      <c r="V13" s="230">
        <v>0</v>
      </c>
      <c r="W13" s="229">
        <v>0</v>
      </c>
      <c r="X13" s="330">
        <v>0</v>
      </c>
      <c r="Y13" s="230">
        <v>0</v>
      </c>
      <c r="Z13" s="229">
        <v>8.5000000000000006E-2</v>
      </c>
      <c r="AA13" s="328">
        <v>6766</v>
      </c>
      <c r="AB13" s="230">
        <v>21.07</v>
      </c>
      <c r="AC13" s="229">
        <v>0.26600000000000001</v>
      </c>
      <c r="AD13" s="328">
        <v>26271</v>
      </c>
      <c r="AE13" s="230">
        <v>82.77</v>
      </c>
      <c r="AF13" s="229">
        <v>0.45700000000000002</v>
      </c>
      <c r="AG13" s="328">
        <v>67749</v>
      </c>
      <c r="AH13" s="329">
        <v>200.45</v>
      </c>
    </row>
    <row r="14" spans="2:34">
      <c r="B14" s="300"/>
      <c r="C14" s="206"/>
      <c r="D14" s="206"/>
      <c r="E14" s="206"/>
      <c r="F14" s="206"/>
      <c r="G14" s="205" t="s">
        <v>400</v>
      </c>
      <c r="H14" s="574">
        <v>1161</v>
      </c>
      <c r="I14" s="575"/>
      <c r="J14" s="576"/>
      <c r="K14" s="556">
        <v>8159</v>
      </c>
      <c r="L14" s="557"/>
      <c r="M14" s="558"/>
      <c r="N14" s="571">
        <v>84.33</v>
      </c>
      <c r="O14" s="572"/>
      <c r="P14" s="573"/>
      <c r="S14" s="323" t="s">
        <v>196</v>
      </c>
      <c r="T14" s="229">
        <v>0.152</v>
      </c>
      <c r="U14" s="328">
        <v>12218</v>
      </c>
      <c r="V14" s="230">
        <v>42.16</v>
      </c>
      <c r="W14" s="229">
        <v>0.02</v>
      </c>
      <c r="X14" s="328">
        <v>1584</v>
      </c>
      <c r="Y14" s="230">
        <v>5.25</v>
      </c>
      <c r="Z14" s="229">
        <v>6.0000000000000001E-3</v>
      </c>
      <c r="AA14" s="330">
        <v>468</v>
      </c>
      <c r="AB14" s="230">
        <v>1.46</v>
      </c>
      <c r="AC14" s="229">
        <v>1.7999999999999999E-2</v>
      </c>
      <c r="AD14" s="328">
        <v>1824</v>
      </c>
      <c r="AE14" s="230">
        <v>5.75</v>
      </c>
      <c r="AF14" s="229">
        <v>0</v>
      </c>
      <c r="AG14" s="330">
        <v>3</v>
      </c>
      <c r="AH14" s="329">
        <v>0.01</v>
      </c>
    </row>
    <row r="15" spans="2:34">
      <c r="B15" s="301"/>
      <c r="C15" s="207"/>
      <c r="D15" s="207"/>
      <c r="E15" s="207"/>
      <c r="F15" s="207"/>
      <c r="G15" s="208" t="s">
        <v>401</v>
      </c>
      <c r="H15" s="577">
        <v>1513</v>
      </c>
      <c r="I15" s="578"/>
      <c r="J15" s="579"/>
      <c r="K15" s="580">
        <v>11045</v>
      </c>
      <c r="L15" s="581"/>
      <c r="M15" s="582"/>
      <c r="N15" s="583">
        <v>87.6</v>
      </c>
      <c r="O15" s="584"/>
      <c r="P15" s="585"/>
      <c r="S15" s="323" t="s">
        <v>430</v>
      </c>
      <c r="T15" s="229">
        <v>1</v>
      </c>
      <c r="U15" s="328">
        <v>80167</v>
      </c>
      <c r="V15" s="230">
        <v>276.66000000000003</v>
      </c>
      <c r="W15" s="229">
        <v>1</v>
      </c>
      <c r="X15" s="328">
        <v>78364</v>
      </c>
      <c r="Y15" s="231">
        <v>259.8</v>
      </c>
      <c r="Z15" s="229">
        <v>1</v>
      </c>
      <c r="AA15" s="328">
        <v>79565</v>
      </c>
      <c r="AB15" s="230">
        <v>247.77</v>
      </c>
      <c r="AC15" s="229">
        <v>1</v>
      </c>
      <c r="AD15" s="328">
        <v>98749</v>
      </c>
      <c r="AE15" s="230">
        <v>311.14</v>
      </c>
      <c r="AF15" s="229">
        <v>1</v>
      </c>
      <c r="AG15" s="328">
        <v>148391</v>
      </c>
      <c r="AH15" s="329">
        <v>439.04</v>
      </c>
    </row>
    <row r="16" spans="2:34" ht="42">
      <c r="B16" s="299">
        <v>3</v>
      </c>
      <c r="C16" s="202" t="s">
        <v>403</v>
      </c>
      <c r="D16" s="203">
        <v>191</v>
      </c>
      <c r="E16" s="203">
        <v>2021</v>
      </c>
      <c r="F16" s="204">
        <v>26</v>
      </c>
      <c r="G16" s="202" t="s">
        <v>174</v>
      </c>
      <c r="H16" s="562">
        <v>401</v>
      </c>
      <c r="I16" s="563"/>
      <c r="J16" s="564"/>
      <c r="K16" s="550">
        <v>2647</v>
      </c>
      <c r="L16" s="551"/>
      <c r="M16" s="552"/>
      <c r="N16" s="565">
        <v>79.209999999999994</v>
      </c>
      <c r="O16" s="566"/>
      <c r="P16" s="567"/>
      <c r="S16" s="323" t="s">
        <v>431</v>
      </c>
      <c r="T16" s="226"/>
      <c r="U16" s="326"/>
      <c r="V16" s="227"/>
      <c r="W16" s="226"/>
      <c r="X16" s="326"/>
      <c r="Y16" s="227"/>
      <c r="Z16" s="226"/>
      <c r="AA16" s="326"/>
      <c r="AB16" s="227"/>
      <c r="AC16" s="226"/>
      <c r="AD16" s="326"/>
      <c r="AE16" s="227"/>
      <c r="AF16" s="226"/>
      <c r="AG16" s="326"/>
      <c r="AH16" s="325"/>
    </row>
    <row r="17" spans="2:34" ht="28">
      <c r="B17" s="300"/>
      <c r="C17" s="205" t="s">
        <v>404</v>
      </c>
      <c r="D17" s="206"/>
      <c r="E17" s="206"/>
      <c r="F17" s="206"/>
      <c r="G17" s="205" t="s">
        <v>398</v>
      </c>
      <c r="H17" s="568">
        <v>648</v>
      </c>
      <c r="I17" s="569"/>
      <c r="J17" s="570"/>
      <c r="K17" s="556">
        <v>3506</v>
      </c>
      <c r="L17" s="557"/>
      <c r="M17" s="558"/>
      <c r="N17" s="571">
        <v>64.930000000000007</v>
      </c>
      <c r="O17" s="572"/>
      <c r="P17" s="573"/>
      <c r="S17" s="323" t="s">
        <v>316</v>
      </c>
      <c r="T17" s="229">
        <v>0.21199999999999999</v>
      </c>
      <c r="U17" s="328">
        <v>14414</v>
      </c>
      <c r="V17" s="230">
        <v>49.74</v>
      </c>
      <c r="W17" s="229">
        <v>0.39100000000000001</v>
      </c>
      <c r="X17" s="328">
        <v>30053</v>
      </c>
      <c r="Y17" s="230">
        <v>99.63</v>
      </c>
      <c r="Z17" s="229">
        <v>0.26900000000000002</v>
      </c>
      <c r="AA17" s="328">
        <v>19480</v>
      </c>
      <c r="AB17" s="230">
        <v>60.66</v>
      </c>
      <c r="AC17" s="229">
        <v>0.35799999999999998</v>
      </c>
      <c r="AD17" s="328">
        <v>25294</v>
      </c>
      <c r="AE17" s="230">
        <v>79.7</v>
      </c>
      <c r="AF17" s="229">
        <v>0.35099999999999998</v>
      </c>
      <c r="AG17" s="328">
        <v>28300</v>
      </c>
      <c r="AH17" s="329">
        <v>83.73</v>
      </c>
    </row>
    <row r="18" spans="2:34">
      <c r="B18" s="300"/>
      <c r="C18" s="205" t="s">
        <v>399</v>
      </c>
      <c r="D18" s="206"/>
      <c r="E18" s="206"/>
      <c r="F18" s="206"/>
      <c r="G18" s="205" t="s">
        <v>400</v>
      </c>
      <c r="H18" s="568">
        <v>831</v>
      </c>
      <c r="I18" s="569"/>
      <c r="J18" s="570"/>
      <c r="K18" s="556">
        <v>4394</v>
      </c>
      <c r="L18" s="557"/>
      <c r="M18" s="558"/>
      <c r="N18" s="571">
        <v>63.45</v>
      </c>
      <c r="O18" s="572"/>
      <c r="P18" s="573"/>
      <c r="S18" s="323" t="s">
        <v>317</v>
      </c>
      <c r="T18" s="229">
        <v>0</v>
      </c>
      <c r="U18" s="330">
        <v>0</v>
      </c>
      <c r="V18" s="230">
        <v>0</v>
      </c>
      <c r="W18" s="229">
        <v>0</v>
      </c>
      <c r="X18" s="330">
        <v>0</v>
      </c>
      <c r="Y18" s="230">
        <v>0</v>
      </c>
      <c r="Z18" s="229">
        <v>0.93200000000000005</v>
      </c>
      <c r="AA18" s="328">
        <v>6307</v>
      </c>
      <c r="AB18" s="230">
        <v>19.64</v>
      </c>
      <c r="AC18" s="229">
        <v>0.61299999999999999</v>
      </c>
      <c r="AD18" s="328">
        <v>16107</v>
      </c>
      <c r="AE18" s="230">
        <v>50.75</v>
      </c>
      <c r="AF18" s="229">
        <v>0.871</v>
      </c>
      <c r="AG18" s="328">
        <v>58990</v>
      </c>
      <c r="AH18" s="329">
        <v>174.53</v>
      </c>
    </row>
    <row r="19" spans="2:34">
      <c r="B19" s="301"/>
      <c r="C19" s="207"/>
      <c r="D19" s="207"/>
      <c r="E19" s="207"/>
      <c r="F19" s="207"/>
      <c r="G19" s="208" t="s">
        <v>401</v>
      </c>
      <c r="H19" s="559"/>
      <c r="I19" s="560"/>
      <c r="J19" s="561"/>
      <c r="K19" s="559"/>
      <c r="L19" s="560"/>
      <c r="M19" s="561"/>
      <c r="N19" s="559"/>
      <c r="O19" s="560"/>
      <c r="P19" s="586"/>
      <c r="S19" s="323" t="s">
        <v>196</v>
      </c>
      <c r="T19" s="229">
        <v>1.9E-2</v>
      </c>
      <c r="U19" s="330">
        <v>232</v>
      </c>
      <c r="V19" s="230">
        <v>0.8</v>
      </c>
      <c r="W19" s="229">
        <v>1.05</v>
      </c>
      <c r="X19" s="328">
        <v>1664</v>
      </c>
      <c r="Y19" s="230">
        <v>5.52</v>
      </c>
      <c r="Z19" s="229">
        <v>0.51200000000000001</v>
      </c>
      <c r="AA19" s="330">
        <v>239</v>
      </c>
      <c r="AB19" s="230">
        <v>0.75</v>
      </c>
      <c r="AC19" s="229">
        <v>3.5999999999999997E-2</v>
      </c>
      <c r="AD19" s="330">
        <v>66</v>
      </c>
      <c r="AE19" s="230">
        <v>0.21</v>
      </c>
      <c r="AF19" s="229">
        <v>0</v>
      </c>
      <c r="AG19" s="330">
        <v>0</v>
      </c>
      <c r="AH19" s="329">
        <v>0</v>
      </c>
    </row>
    <row r="20" spans="2:34" ht="56">
      <c r="B20" s="299">
        <v>4</v>
      </c>
      <c r="C20" s="202" t="s">
        <v>405</v>
      </c>
      <c r="D20" s="203">
        <v>41</v>
      </c>
      <c r="E20" s="203">
        <v>2014</v>
      </c>
      <c r="F20" s="204">
        <v>8</v>
      </c>
      <c r="G20" s="202" t="s">
        <v>174</v>
      </c>
      <c r="H20" s="562">
        <v>453</v>
      </c>
      <c r="I20" s="563"/>
      <c r="J20" s="564"/>
      <c r="K20" s="550">
        <v>2544</v>
      </c>
      <c r="L20" s="551"/>
      <c r="M20" s="552"/>
      <c r="N20" s="565">
        <v>67.39</v>
      </c>
      <c r="O20" s="566"/>
      <c r="P20" s="567"/>
      <c r="S20" s="323" t="s">
        <v>432</v>
      </c>
      <c r="T20" s="229">
        <v>0.183</v>
      </c>
      <c r="U20" s="328">
        <v>14647</v>
      </c>
      <c r="V20" s="230">
        <v>50.55</v>
      </c>
      <c r="W20" s="229">
        <v>0.40500000000000003</v>
      </c>
      <c r="X20" s="328">
        <v>31717</v>
      </c>
      <c r="Y20" s="231">
        <v>105.15</v>
      </c>
      <c r="Z20" s="229">
        <v>0.32700000000000001</v>
      </c>
      <c r="AA20" s="328">
        <v>26027</v>
      </c>
      <c r="AB20" s="230">
        <v>81.05</v>
      </c>
      <c r="AC20" s="229">
        <v>0.42</v>
      </c>
      <c r="AD20" s="328">
        <v>41467</v>
      </c>
      <c r="AE20" s="230">
        <v>130.65</v>
      </c>
      <c r="AF20" s="229">
        <v>0.58799999999999997</v>
      </c>
      <c r="AG20" s="328">
        <v>87289</v>
      </c>
      <c r="AH20" s="329">
        <v>258.26</v>
      </c>
    </row>
    <row r="21" spans="2:34" ht="28">
      <c r="B21" s="300"/>
      <c r="C21" s="205" t="s">
        <v>399</v>
      </c>
      <c r="D21" s="206"/>
      <c r="E21" s="206"/>
      <c r="F21" s="206"/>
      <c r="G21" s="205" t="s">
        <v>398</v>
      </c>
      <c r="H21" s="568">
        <v>650</v>
      </c>
      <c r="I21" s="569"/>
      <c r="J21" s="570"/>
      <c r="K21" s="556">
        <v>3159</v>
      </c>
      <c r="L21" s="557"/>
      <c r="M21" s="558"/>
      <c r="N21" s="571">
        <v>58.32</v>
      </c>
      <c r="O21" s="572"/>
      <c r="P21" s="573"/>
      <c r="S21" s="323" t="s">
        <v>433</v>
      </c>
      <c r="T21" s="229">
        <v>0.81699999999999995</v>
      </c>
      <c r="U21" s="328">
        <v>65521</v>
      </c>
      <c r="V21" s="230">
        <v>226.11</v>
      </c>
      <c r="W21" s="229">
        <v>0.59499999999999997</v>
      </c>
      <c r="X21" s="328">
        <v>46647</v>
      </c>
      <c r="Y21" s="231">
        <v>154.65</v>
      </c>
      <c r="Z21" s="229">
        <v>0.67300000000000004</v>
      </c>
      <c r="AA21" s="328">
        <v>53539</v>
      </c>
      <c r="AB21" s="230">
        <v>166.72</v>
      </c>
      <c r="AC21" s="229">
        <v>0.57999999999999996</v>
      </c>
      <c r="AD21" s="328">
        <v>57282</v>
      </c>
      <c r="AE21" s="230">
        <v>180.48</v>
      </c>
      <c r="AF21" s="229">
        <v>0.41199999999999998</v>
      </c>
      <c r="AG21" s="328">
        <v>61102</v>
      </c>
      <c r="AH21" s="329">
        <v>180.78</v>
      </c>
    </row>
    <row r="22" spans="2:34">
      <c r="B22" s="300"/>
      <c r="C22" s="206"/>
      <c r="D22" s="206"/>
      <c r="E22" s="206"/>
      <c r="F22" s="206"/>
      <c r="G22" s="205" t="s">
        <v>400</v>
      </c>
      <c r="H22" s="568">
        <v>800</v>
      </c>
      <c r="I22" s="569"/>
      <c r="J22" s="570"/>
      <c r="K22" s="556">
        <v>3653</v>
      </c>
      <c r="L22" s="557"/>
      <c r="M22" s="558"/>
      <c r="N22" s="571">
        <v>54.8</v>
      </c>
      <c r="O22" s="572"/>
      <c r="P22" s="573"/>
      <c r="S22" s="323" t="s">
        <v>434</v>
      </c>
      <c r="T22" s="226"/>
      <c r="U22" s="326"/>
      <c r="V22" s="227"/>
      <c r="W22" s="226"/>
      <c r="X22" s="326"/>
      <c r="Y22" s="227"/>
      <c r="Z22" s="226"/>
      <c r="AA22" s="326"/>
      <c r="AB22" s="227"/>
      <c r="AC22" s="226"/>
      <c r="AD22" s="326"/>
      <c r="AE22" s="227"/>
      <c r="AF22" s="226"/>
      <c r="AG22" s="326"/>
      <c r="AH22" s="325"/>
    </row>
    <row r="23" spans="2:34" ht="28">
      <c r="B23" s="301"/>
      <c r="C23" s="207"/>
      <c r="D23" s="207"/>
      <c r="E23" s="207"/>
      <c r="F23" s="207"/>
      <c r="G23" s="208" t="s">
        <v>401</v>
      </c>
      <c r="H23" s="587">
        <v>900</v>
      </c>
      <c r="I23" s="588"/>
      <c r="J23" s="589"/>
      <c r="K23" s="580">
        <v>5537</v>
      </c>
      <c r="L23" s="581"/>
      <c r="M23" s="582"/>
      <c r="N23" s="583">
        <v>73.83</v>
      </c>
      <c r="O23" s="584"/>
      <c r="P23" s="585"/>
      <c r="S23" s="323" t="s">
        <v>435</v>
      </c>
      <c r="T23" s="226"/>
      <c r="U23" s="326"/>
      <c r="V23" s="227"/>
      <c r="W23" s="226"/>
      <c r="X23" s="326"/>
      <c r="Y23" s="227"/>
      <c r="Z23" s="226"/>
      <c r="AA23" s="326"/>
      <c r="AB23" s="227"/>
      <c r="AC23" s="226"/>
      <c r="AD23" s="326"/>
      <c r="AE23" s="227"/>
      <c r="AF23" s="226"/>
      <c r="AG23" s="326"/>
      <c r="AH23" s="325"/>
    </row>
    <row r="24" spans="2:34">
      <c r="B24" s="299">
        <v>5</v>
      </c>
      <c r="C24" s="202" t="s">
        <v>406</v>
      </c>
      <c r="D24" s="203">
        <v>46</v>
      </c>
      <c r="E24" s="203">
        <v>2010</v>
      </c>
      <c r="F24" s="204">
        <v>7</v>
      </c>
      <c r="G24" s="202" t="s">
        <v>174</v>
      </c>
      <c r="H24" s="562">
        <v>533</v>
      </c>
      <c r="I24" s="563"/>
      <c r="J24" s="564"/>
      <c r="K24" s="550">
        <v>2738</v>
      </c>
      <c r="L24" s="551"/>
      <c r="M24" s="552"/>
      <c r="N24" s="565">
        <v>61.64</v>
      </c>
      <c r="O24" s="566"/>
      <c r="P24" s="567"/>
      <c r="S24" s="323" t="s">
        <v>327</v>
      </c>
      <c r="T24" s="229">
        <v>8.2000000000000003E-2</v>
      </c>
      <c r="U24" s="328">
        <v>6535</v>
      </c>
      <c r="V24" s="230">
        <v>22.55</v>
      </c>
      <c r="W24" s="229">
        <v>0.122</v>
      </c>
      <c r="X24" s="328">
        <v>9538</v>
      </c>
      <c r="Y24" s="230">
        <v>31.62</v>
      </c>
      <c r="Z24" s="229">
        <v>7.6999999999999999E-2</v>
      </c>
      <c r="AA24" s="328">
        <v>6147</v>
      </c>
      <c r="AB24" s="230">
        <v>19.14</v>
      </c>
      <c r="AC24" s="229">
        <v>0.111</v>
      </c>
      <c r="AD24" s="328">
        <v>10929</v>
      </c>
      <c r="AE24" s="230">
        <v>34.44</v>
      </c>
      <c r="AF24" s="229">
        <v>5.7000000000000002E-2</v>
      </c>
      <c r="AG24" s="328">
        <v>8520</v>
      </c>
      <c r="AH24" s="329">
        <v>25.21</v>
      </c>
    </row>
    <row r="25" spans="2:34" ht="56">
      <c r="B25" s="300"/>
      <c r="C25" s="205" t="s">
        <v>407</v>
      </c>
      <c r="D25" s="206"/>
      <c r="E25" s="206"/>
      <c r="F25" s="206"/>
      <c r="G25" s="205" t="s">
        <v>398</v>
      </c>
      <c r="H25" s="568">
        <v>684</v>
      </c>
      <c r="I25" s="569"/>
      <c r="J25" s="570"/>
      <c r="K25" s="556">
        <v>3177</v>
      </c>
      <c r="L25" s="557"/>
      <c r="M25" s="558"/>
      <c r="N25" s="571">
        <v>55.74</v>
      </c>
      <c r="O25" s="572"/>
      <c r="P25" s="573"/>
      <c r="S25" s="323" t="s">
        <v>436</v>
      </c>
      <c r="T25" s="229">
        <v>2.5000000000000001E-2</v>
      </c>
      <c r="U25" s="328">
        <v>2028</v>
      </c>
      <c r="V25" s="230">
        <v>7</v>
      </c>
      <c r="W25" s="229">
        <v>4.2999999999999997E-2</v>
      </c>
      <c r="X25" s="328">
        <v>3364</v>
      </c>
      <c r="Y25" s="230">
        <v>11.15</v>
      </c>
      <c r="Z25" s="229">
        <v>0.03</v>
      </c>
      <c r="AA25" s="328">
        <v>2410</v>
      </c>
      <c r="AB25" s="230">
        <v>7.5</v>
      </c>
      <c r="AC25" s="229">
        <v>2.5999999999999999E-2</v>
      </c>
      <c r="AD25" s="328">
        <v>2570</v>
      </c>
      <c r="AE25" s="230">
        <v>8.1</v>
      </c>
      <c r="AF25" s="229">
        <v>0.03</v>
      </c>
      <c r="AG25" s="328">
        <v>4385</v>
      </c>
      <c r="AH25" s="329">
        <v>12.97</v>
      </c>
    </row>
    <row r="26" spans="2:34">
      <c r="B26" s="300"/>
      <c r="C26" s="205" t="s">
        <v>399</v>
      </c>
      <c r="D26" s="206"/>
      <c r="E26" s="206"/>
      <c r="F26" s="206"/>
      <c r="G26" s="205" t="s">
        <v>400</v>
      </c>
      <c r="H26" s="574">
        <v>1033</v>
      </c>
      <c r="I26" s="575"/>
      <c r="J26" s="576"/>
      <c r="K26" s="556">
        <v>4471</v>
      </c>
      <c r="L26" s="557"/>
      <c r="M26" s="558"/>
      <c r="N26" s="571">
        <v>51.94</v>
      </c>
      <c r="O26" s="572"/>
      <c r="P26" s="573"/>
      <c r="S26" s="323" t="s">
        <v>437</v>
      </c>
      <c r="T26" s="229">
        <v>3.3000000000000002E-2</v>
      </c>
      <c r="U26" s="328">
        <v>2605</v>
      </c>
      <c r="V26" s="230">
        <v>8.99</v>
      </c>
      <c r="W26" s="229">
        <v>3.3000000000000002E-2</v>
      </c>
      <c r="X26" s="328">
        <v>2608</v>
      </c>
      <c r="Y26" s="230">
        <v>8.65</v>
      </c>
      <c r="Z26" s="229">
        <v>3.5999999999999997E-2</v>
      </c>
      <c r="AA26" s="328">
        <v>2903</v>
      </c>
      <c r="AB26" s="230">
        <v>9.0399999999999991</v>
      </c>
      <c r="AC26" s="229">
        <v>2.7E-2</v>
      </c>
      <c r="AD26" s="328">
        <v>2625</v>
      </c>
      <c r="AE26" s="230">
        <v>8.27</v>
      </c>
      <c r="AF26" s="229">
        <v>2.8000000000000001E-2</v>
      </c>
      <c r="AG26" s="328">
        <v>4102</v>
      </c>
      <c r="AH26" s="329">
        <v>12.14</v>
      </c>
    </row>
    <row r="27" spans="2:34" ht="28">
      <c r="B27" s="301"/>
      <c r="C27" s="207"/>
      <c r="D27" s="207"/>
      <c r="E27" s="207"/>
      <c r="F27" s="207"/>
      <c r="G27" s="208" t="s">
        <v>401</v>
      </c>
      <c r="H27" s="559"/>
      <c r="I27" s="560"/>
      <c r="J27" s="561"/>
      <c r="K27" s="559"/>
      <c r="L27" s="560"/>
      <c r="M27" s="561"/>
      <c r="N27" s="559"/>
      <c r="O27" s="560"/>
      <c r="P27" s="586"/>
      <c r="S27" s="323" t="s">
        <v>438</v>
      </c>
      <c r="T27" s="229">
        <v>1.2E-2</v>
      </c>
      <c r="U27" s="330">
        <v>922</v>
      </c>
      <c r="V27" s="230">
        <v>3.18</v>
      </c>
      <c r="W27" s="229">
        <v>5.7000000000000002E-2</v>
      </c>
      <c r="X27" s="328">
        <v>4472</v>
      </c>
      <c r="Y27" s="230">
        <v>14.82</v>
      </c>
      <c r="Z27" s="229">
        <v>4.2000000000000003E-2</v>
      </c>
      <c r="AA27" s="328">
        <v>3341</v>
      </c>
      <c r="AB27" s="230">
        <v>10.41</v>
      </c>
      <c r="AC27" s="229">
        <v>0.04</v>
      </c>
      <c r="AD27" s="328">
        <v>3968</v>
      </c>
      <c r="AE27" s="230">
        <v>12.5</v>
      </c>
      <c r="AF27" s="229">
        <v>2.1999999999999999E-2</v>
      </c>
      <c r="AG27" s="328">
        <v>3286</v>
      </c>
      <c r="AH27" s="329">
        <v>9.7200000000000006</v>
      </c>
    </row>
    <row r="28" spans="2:34" ht="28">
      <c r="B28" s="299">
        <v>6</v>
      </c>
      <c r="C28" s="202" t="s">
        <v>408</v>
      </c>
      <c r="D28" s="203">
        <v>75</v>
      </c>
      <c r="E28" s="203">
        <v>2017</v>
      </c>
      <c r="F28" s="204">
        <v>12</v>
      </c>
      <c r="G28" s="202" t="s">
        <v>174</v>
      </c>
      <c r="H28" s="562">
        <v>535</v>
      </c>
      <c r="I28" s="563"/>
      <c r="J28" s="564"/>
      <c r="K28" s="550">
        <v>2252</v>
      </c>
      <c r="L28" s="551"/>
      <c r="M28" s="552"/>
      <c r="N28" s="565">
        <v>50.51</v>
      </c>
      <c r="O28" s="566"/>
      <c r="P28" s="567"/>
      <c r="S28" s="323" t="s">
        <v>439</v>
      </c>
      <c r="T28" s="226"/>
      <c r="U28" s="326"/>
      <c r="V28" s="227"/>
      <c r="W28" s="226"/>
      <c r="X28" s="326"/>
      <c r="Y28" s="227"/>
      <c r="Z28" s="226"/>
      <c r="AA28" s="326"/>
      <c r="AB28" s="227"/>
      <c r="AC28" s="226"/>
      <c r="AD28" s="326"/>
      <c r="AE28" s="227"/>
      <c r="AF28" s="226"/>
      <c r="AG28" s="326"/>
      <c r="AH28" s="325"/>
    </row>
    <row r="29" spans="2:34" ht="28">
      <c r="B29" s="300"/>
      <c r="C29" s="205" t="s">
        <v>409</v>
      </c>
      <c r="D29" s="206"/>
      <c r="E29" s="206"/>
      <c r="F29" s="206"/>
      <c r="G29" s="205" t="s">
        <v>398</v>
      </c>
      <c r="H29" s="568">
        <v>642</v>
      </c>
      <c r="I29" s="569"/>
      <c r="J29" s="570"/>
      <c r="K29" s="556">
        <v>3287</v>
      </c>
      <c r="L29" s="557"/>
      <c r="M29" s="558"/>
      <c r="N29" s="571">
        <v>61.44</v>
      </c>
      <c r="O29" s="572"/>
      <c r="P29" s="573"/>
      <c r="S29" s="323" t="s">
        <v>435</v>
      </c>
      <c r="T29" s="229">
        <v>0.152</v>
      </c>
      <c r="U29" s="328">
        <v>12090</v>
      </c>
      <c r="V29" s="230">
        <v>41.72</v>
      </c>
      <c r="W29" s="229">
        <v>0.255</v>
      </c>
      <c r="X29" s="328">
        <v>19982</v>
      </c>
      <c r="Y29" s="230">
        <v>66.25</v>
      </c>
      <c r="Z29" s="229">
        <v>0.185</v>
      </c>
      <c r="AA29" s="328">
        <v>14801</v>
      </c>
      <c r="AB29" s="230">
        <v>46.09</v>
      </c>
      <c r="AC29" s="229">
        <v>0.20399999999999999</v>
      </c>
      <c r="AD29" s="328">
        <v>20092</v>
      </c>
      <c r="AE29" s="230">
        <v>63.31</v>
      </c>
      <c r="AF29" s="229">
        <v>0.13700000000000001</v>
      </c>
      <c r="AG29" s="328">
        <v>20293</v>
      </c>
      <c r="AH29" s="329">
        <v>60.04</v>
      </c>
    </row>
    <row r="30" spans="2:34">
      <c r="B30" s="300"/>
      <c r="C30" s="205" t="s">
        <v>399</v>
      </c>
      <c r="D30" s="206"/>
      <c r="E30" s="206"/>
      <c r="F30" s="206"/>
      <c r="G30" s="205" t="s">
        <v>400</v>
      </c>
      <c r="H30" s="568">
        <v>906</v>
      </c>
      <c r="I30" s="569"/>
      <c r="J30" s="570"/>
      <c r="K30" s="556">
        <v>4025</v>
      </c>
      <c r="L30" s="557"/>
      <c r="M30" s="558"/>
      <c r="N30" s="571">
        <v>53.31</v>
      </c>
      <c r="O30" s="572"/>
      <c r="P30" s="573"/>
      <c r="S30" s="323" t="s">
        <v>313</v>
      </c>
      <c r="T30" s="226"/>
      <c r="U30" s="326"/>
      <c r="V30" s="227"/>
      <c r="W30" s="226"/>
      <c r="X30" s="326"/>
      <c r="Y30" s="227"/>
      <c r="Z30" s="226"/>
      <c r="AA30" s="326"/>
      <c r="AB30" s="227"/>
      <c r="AC30" s="226"/>
      <c r="AD30" s="326"/>
      <c r="AE30" s="227"/>
      <c r="AF30" s="226"/>
      <c r="AG30" s="326"/>
      <c r="AH30" s="325"/>
    </row>
    <row r="31" spans="2:34">
      <c r="B31" s="301"/>
      <c r="C31" s="207"/>
      <c r="D31" s="207"/>
      <c r="E31" s="207"/>
      <c r="F31" s="207"/>
      <c r="G31" s="208" t="s">
        <v>401</v>
      </c>
      <c r="H31" s="559"/>
      <c r="I31" s="560"/>
      <c r="J31" s="561"/>
      <c r="K31" s="559"/>
      <c r="L31" s="560"/>
      <c r="M31" s="561"/>
      <c r="N31" s="559"/>
      <c r="O31" s="560"/>
      <c r="P31" s="586"/>
      <c r="S31" s="323" t="s">
        <v>332</v>
      </c>
      <c r="T31" s="229">
        <v>0.03</v>
      </c>
      <c r="U31" s="328">
        <v>2405</v>
      </c>
      <c r="V31" s="230">
        <v>8.3000000000000007</v>
      </c>
      <c r="W31" s="229">
        <v>8.9999999999999993E-3</v>
      </c>
      <c r="X31" s="330">
        <v>703</v>
      </c>
      <c r="Y31" s="230">
        <v>2.33</v>
      </c>
      <c r="Z31" s="229">
        <v>0.03</v>
      </c>
      <c r="AA31" s="328">
        <v>2387</v>
      </c>
      <c r="AB31" s="230">
        <v>7.43</v>
      </c>
      <c r="AC31" s="229">
        <v>0.03</v>
      </c>
      <c r="AD31" s="328">
        <v>2962</v>
      </c>
      <c r="AE31" s="230">
        <v>9.33</v>
      </c>
      <c r="AF31" s="229">
        <v>1.7000000000000001E-2</v>
      </c>
      <c r="AG31" s="328">
        <v>2593</v>
      </c>
      <c r="AH31" s="329">
        <v>7.67</v>
      </c>
    </row>
    <row r="32" spans="2:34" ht="28">
      <c r="B32" s="299">
        <v>7</v>
      </c>
      <c r="C32" s="202" t="s">
        <v>410</v>
      </c>
      <c r="D32" s="203">
        <v>30</v>
      </c>
      <c r="E32" s="203">
        <v>2016</v>
      </c>
      <c r="F32" s="204">
        <v>3</v>
      </c>
      <c r="G32" s="202" t="s">
        <v>174</v>
      </c>
      <c r="H32" s="562">
        <v>400</v>
      </c>
      <c r="I32" s="563"/>
      <c r="J32" s="564"/>
      <c r="K32" s="550">
        <v>2619</v>
      </c>
      <c r="L32" s="551"/>
      <c r="M32" s="552"/>
      <c r="N32" s="565">
        <v>78.569999999999993</v>
      </c>
      <c r="O32" s="566"/>
      <c r="P32" s="567"/>
      <c r="S32" s="323" t="s">
        <v>440</v>
      </c>
      <c r="T32" s="229">
        <v>0.63500000000000001</v>
      </c>
      <c r="U32" s="328">
        <v>51025</v>
      </c>
      <c r="V32" s="230">
        <v>176.09</v>
      </c>
      <c r="W32" s="229">
        <v>0.33100000000000002</v>
      </c>
      <c r="X32" s="328">
        <v>25962</v>
      </c>
      <c r="Y32" s="230">
        <v>86.07</v>
      </c>
      <c r="Z32" s="229">
        <v>0.45800000000000002</v>
      </c>
      <c r="AA32" s="328">
        <v>36351</v>
      </c>
      <c r="AB32" s="230">
        <v>113.2</v>
      </c>
      <c r="AC32" s="229">
        <v>0.34599999999999997</v>
      </c>
      <c r="AD32" s="328">
        <v>34228</v>
      </c>
      <c r="AE32" s="230">
        <v>107.85</v>
      </c>
      <c r="AF32" s="229">
        <v>0.25800000000000001</v>
      </c>
      <c r="AG32" s="328">
        <v>38216</v>
      </c>
      <c r="AH32" s="329">
        <v>113.07</v>
      </c>
    </row>
    <row r="33" spans="2:34">
      <c r="B33" s="300"/>
      <c r="C33" s="205" t="s">
        <v>399</v>
      </c>
      <c r="D33" s="206"/>
      <c r="E33" s="206"/>
      <c r="F33" s="206"/>
      <c r="G33" s="205" t="s">
        <v>398</v>
      </c>
      <c r="H33" s="568">
        <v>800</v>
      </c>
      <c r="I33" s="569"/>
      <c r="J33" s="570"/>
      <c r="K33" s="556">
        <v>3513</v>
      </c>
      <c r="L33" s="557"/>
      <c r="M33" s="558"/>
      <c r="N33" s="571">
        <v>52.7</v>
      </c>
      <c r="O33" s="572"/>
      <c r="P33" s="573"/>
      <c r="S33" s="323" t="s">
        <v>441</v>
      </c>
      <c r="T33" s="226"/>
      <c r="U33" s="326"/>
      <c r="V33" s="227"/>
      <c r="W33" s="226"/>
      <c r="X33" s="326"/>
      <c r="Y33" s="227"/>
      <c r="Z33" s="226"/>
      <c r="AA33" s="326"/>
      <c r="AB33" s="227"/>
      <c r="AC33" s="226"/>
      <c r="AD33" s="326"/>
      <c r="AE33" s="227"/>
      <c r="AF33" s="226"/>
      <c r="AG33" s="326"/>
      <c r="AH33" s="325"/>
    </row>
    <row r="34" spans="2:34">
      <c r="B34" s="300"/>
      <c r="C34" s="206"/>
      <c r="D34" s="206"/>
      <c r="E34" s="206"/>
      <c r="F34" s="206"/>
      <c r="G34" s="205" t="s">
        <v>400</v>
      </c>
      <c r="H34" s="574">
        <v>1025</v>
      </c>
      <c r="I34" s="575"/>
      <c r="J34" s="576"/>
      <c r="K34" s="556">
        <v>4950</v>
      </c>
      <c r="L34" s="557"/>
      <c r="M34" s="558"/>
      <c r="N34" s="571">
        <v>57.95</v>
      </c>
      <c r="O34" s="572"/>
      <c r="P34" s="573"/>
      <c r="S34" s="323" t="s">
        <v>442</v>
      </c>
      <c r="T34" s="229">
        <v>8.9999999999999993E-3</v>
      </c>
      <c r="U34" s="330">
        <v>751</v>
      </c>
      <c r="V34" s="230">
        <v>2.59</v>
      </c>
      <c r="W34" s="229">
        <v>0.113</v>
      </c>
      <c r="X34" s="328">
        <v>8881</v>
      </c>
      <c r="Y34" s="230">
        <v>29.44</v>
      </c>
      <c r="Z34" s="229">
        <v>8.3000000000000004E-2</v>
      </c>
      <c r="AA34" s="328">
        <v>6603</v>
      </c>
      <c r="AB34" s="230">
        <v>20.56</v>
      </c>
      <c r="AC34" s="229">
        <v>9.4E-2</v>
      </c>
      <c r="AD34" s="328">
        <v>9321</v>
      </c>
      <c r="AE34" s="230">
        <v>29.37</v>
      </c>
      <c r="AF34" s="229">
        <v>4.4999999999999998E-2</v>
      </c>
      <c r="AG34" s="328">
        <v>6702</v>
      </c>
      <c r="AH34" s="329">
        <v>19.829999999999998</v>
      </c>
    </row>
    <row r="35" spans="2:34">
      <c r="B35" s="301"/>
      <c r="C35" s="207"/>
      <c r="D35" s="207"/>
      <c r="E35" s="207"/>
      <c r="F35" s="207"/>
      <c r="G35" s="208" t="s">
        <v>401</v>
      </c>
      <c r="H35" s="559"/>
      <c r="I35" s="560"/>
      <c r="J35" s="561"/>
      <c r="K35" s="559"/>
      <c r="L35" s="560"/>
      <c r="M35" s="561"/>
      <c r="N35" s="559"/>
      <c r="O35" s="560"/>
      <c r="P35" s="586"/>
      <c r="S35" s="323" t="s">
        <v>222</v>
      </c>
      <c r="T35" s="229">
        <v>1.7999999999999999E-2</v>
      </c>
      <c r="U35" s="328">
        <v>1445</v>
      </c>
      <c r="V35" s="230">
        <v>4.99</v>
      </c>
      <c r="W35" s="229">
        <v>7.0000000000000001E-3</v>
      </c>
      <c r="X35" s="330">
        <v>557</v>
      </c>
      <c r="Y35" s="230">
        <v>1.85</v>
      </c>
      <c r="Z35" s="229">
        <v>1.4E-2</v>
      </c>
      <c r="AA35" s="328">
        <v>1122</v>
      </c>
      <c r="AB35" s="230">
        <v>3.49</v>
      </c>
      <c r="AC35" s="229">
        <v>8.9999999999999993E-3</v>
      </c>
      <c r="AD35" s="330">
        <v>930</v>
      </c>
      <c r="AE35" s="230">
        <v>2.93</v>
      </c>
      <c r="AF35" s="229">
        <v>1.0999999999999999E-2</v>
      </c>
      <c r="AG35" s="328">
        <v>1682</v>
      </c>
      <c r="AH35" s="329">
        <v>4.9800000000000004</v>
      </c>
    </row>
    <row r="36" spans="2:34" ht="28">
      <c r="B36" s="590" t="s">
        <v>447</v>
      </c>
      <c r="C36" s="591"/>
      <c r="D36" s="591"/>
      <c r="E36" s="591"/>
      <c r="F36" s="592"/>
      <c r="G36" s="294"/>
      <c r="H36" s="295" t="s">
        <v>448</v>
      </c>
      <c r="I36" s="296" t="s">
        <v>449</v>
      </c>
      <c r="J36" s="296" t="s">
        <v>450</v>
      </c>
      <c r="K36" s="297" t="s">
        <v>448</v>
      </c>
      <c r="L36" s="296" t="s">
        <v>449</v>
      </c>
      <c r="M36" s="296" t="s">
        <v>450</v>
      </c>
      <c r="N36" s="295" t="s">
        <v>448</v>
      </c>
      <c r="O36" s="296" t="s">
        <v>449</v>
      </c>
      <c r="P36" s="302" t="s">
        <v>450</v>
      </c>
      <c r="S36" s="323" t="s">
        <v>443</v>
      </c>
      <c r="T36" s="229">
        <v>0.02</v>
      </c>
      <c r="U36" s="328">
        <v>1603</v>
      </c>
      <c r="V36" s="230">
        <v>5.53</v>
      </c>
      <c r="W36" s="229">
        <v>0.04</v>
      </c>
      <c r="X36" s="328">
        <v>3135</v>
      </c>
      <c r="Y36" s="230">
        <v>10.39</v>
      </c>
      <c r="Z36" s="229">
        <v>2.7E-2</v>
      </c>
      <c r="AA36" s="328">
        <v>2170</v>
      </c>
      <c r="AB36" s="230">
        <v>6.76</v>
      </c>
      <c r="AC36" s="229">
        <v>0</v>
      </c>
      <c r="AD36" s="330">
        <v>0</v>
      </c>
      <c r="AE36" s="230">
        <v>0</v>
      </c>
      <c r="AF36" s="229">
        <v>0</v>
      </c>
      <c r="AG36" s="330">
        <v>0</v>
      </c>
      <c r="AH36" s="329">
        <v>0</v>
      </c>
    </row>
    <row r="37" spans="2:34" ht="28">
      <c r="B37" s="593" t="s">
        <v>411</v>
      </c>
      <c r="C37" s="594"/>
      <c r="D37" s="203">
        <v>30</v>
      </c>
      <c r="E37" s="595"/>
      <c r="F37" s="204">
        <v>3</v>
      </c>
      <c r="G37" s="202" t="s">
        <v>174</v>
      </c>
      <c r="H37" s="209">
        <v>400</v>
      </c>
      <c r="I37" s="210">
        <v>535</v>
      </c>
      <c r="J37" s="201">
        <v>463</v>
      </c>
      <c r="K37" s="211">
        <v>2252</v>
      </c>
      <c r="L37" s="212">
        <v>3680</v>
      </c>
      <c r="M37" s="213">
        <v>2871</v>
      </c>
      <c r="N37" s="214">
        <v>50.51</v>
      </c>
      <c r="O37" s="215">
        <v>96.63</v>
      </c>
      <c r="P37" s="303">
        <v>72.33</v>
      </c>
      <c r="S37" s="331" t="s">
        <v>444</v>
      </c>
      <c r="T37" s="232">
        <v>0.58799999999999997</v>
      </c>
      <c r="U37" s="233">
        <v>47226</v>
      </c>
      <c r="V37" s="234">
        <v>162.97999999999999</v>
      </c>
      <c r="W37" s="232">
        <v>0.17100000000000001</v>
      </c>
      <c r="X37" s="233">
        <v>13389</v>
      </c>
      <c r="Y37" s="234">
        <v>44.39</v>
      </c>
      <c r="Z37" s="232">
        <v>0.33400000000000002</v>
      </c>
      <c r="AA37" s="233">
        <v>26456</v>
      </c>
      <c r="AB37" s="234">
        <v>82.38</v>
      </c>
      <c r="AC37" s="232">
        <v>0.24299999999999999</v>
      </c>
      <c r="AD37" s="233">
        <v>23977</v>
      </c>
      <c r="AE37" s="234">
        <v>75.55</v>
      </c>
      <c r="AF37" s="232">
        <v>0.20200000000000001</v>
      </c>
      <c r="AG37" s="233">
        <v>29832</v>
      </c>
      <c r="AH37" s="332">
        <v>88.26</v>
      </c>
    </row>
    <row r="38" spans="2:34" ht="17" thickBot="1">
      <c r="B38" s="598" t="s">
        <v>412</v>
      </c>
      <c r="C38" s="599"/>
      <c r="D38" s="216">
        <v>430</v>
      </c>
      <c r="E38" s="596"/>
      <c r="F38" s="217">
        <v>26</v>
      </c>
      <c r="G38" s="205" t="s">
        <v>398</v>
      </c>
      <c r="H38" s="218">
        <v>642</v>
      </c>
      <c r="I38" s="304">
        <v>832</v>
      </c>
      <c r="J38" s="219">
        <v>709</v>
      </c>
      <c r="K38" s="220">
        <v>3159</v>
      </c>
      <c r="L38" s="305">
        <v>5132</v>
      </c>
      <c r="M38" s="221">
        <v>3756</v>
      </c>
      <c r="N38" s="222">
        <v>52.7</v>
      </c>
      <c r="O38" s="306">
        <v>74.02</v>
      </c>
      <c r="P38" s="307">
        <v>61.19</v>
      </c>
      <c r="S38" s="414"/>
      <c r="T38" s="602"/>
      <c r="U38" s="603"/>
      <c r="V38" s="603"/>
      <c r="W38" s="603"/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4"/>
    </row>
    <row r="39" spans="2:34">
      <c r="B39" s="598" t="s">
        <v>413</v>
      </c>
      <c r="C39" s="599"/>
      <c r="D39" s="216">
        <v>145</v>
      </c>
      <c r="E39" s="596"/>
      <c r="F39" s="217">
        <v>11</v>
      </c>
      <c r="G39" s="205" t="s">
        <v>400</v>
      </c>
      <c r="H39" s="218">
        <v>800</v>
      </c>
      <c r="I39" s="308">
        <v>1161</v>
      </c>
      <c r="J39" s="219">
        <v>959</v>
      </c>
      <c r="K39" s="220">
        <v>3653</v>
      </c>
      <c r="L39" s="305">
        <v>8159</v>
      </c>
      <c r="M39" s="221">
        <v>5212</v>
      </c>
      <c r="N39" s="222">
        <v>51.94</v>
      </c>
      <c r="O39" s="306">
        <v>84.33</v>
      </c>
      <c r="P39" s="307">
        <v>60.96</v>
      </c>
    </row>
    <row r="40" spans="2:34" ht="17" thickBot="1">
      <c r="B40" s="600" t="s">
        <v>414</v>
      </c>
      <c r="C40" s="601"/>
      <c r="D40" s="309">
        <v>1018</v>
      </c>
      <c r="E40" s="597"/>
      <c r="F40" s="310"/>
      <c r="G40" s="311" t="s">
        <v>401</v>
      </c>
      <c r="H40" s="312">
        <v>900</v>
      </c>
      <c r="I40" s="313">
        <v>1513</v>
      </c>
      <c r="J40" s="314">
        <v>1207</v>
      </c>
      <c r="K40" s="315">
        <v>5537</v>
      </c>
      <c r="L40" s="316">
        <v>11045</v>
      </c>
      <c r="M40" s="317">
        <v>8291</v>
      </c>
      <c r="N40" s="318">
        <v>73.83</v>
      </c>
      <c r="O40" s="319">
        <v>87.6</v>
      </c>
      <c r="P40" s="320">
        <v>80.709999999999994</v>
      </c>
    </row>
  </sheetData>
  <mergeCells count="98">
    <mergeCell ref="T38:AH38"/>
    <mergeCell ref="S5:AH5"/>
    <mergeCell ref="S6:S7"/>
    <mergeCell ref="T6:V6"/>
    <mergeCell ref="W6:Y6"/>
    <mergeCell ref="Z6:AB6"/>
    <mergeCell ref="AC6:AE6"/>
    <mergeCell ref="AF6:AH6"/>
    <mergeCell ref="B36:F36"/>
    <mergeCell ref="B37:C37"/>
    <mergeCell ref="E37:E40"/>
    <mergeCell ref="B38:C38"/>
    <mergeCell ref="B39:C39"/>
    <mergeCell ref="B40:C40"/>
    <mergeCell ref="H34:J34"/>
    <mergeCell ref="K34:M34"/>
    <mergeCell ref="N34:P34"/>
    <mergeCell ref="H35:J35"/>
    <mergeCell ref="K35:M35"/>
    <mergeCell ref="N35:P35"/>
    <mergeCell ref="H32:J32"/>
    <mergeCell ref="K32:M32"/>
    <mergeCell ref="N32:P32"/>
    <mergeCell ref="H33:J33"/>
    <mergeCell ref="K33:M33"/>
    <mergeCell ref="N33:P33"/>
    <mergeCell ref="H30:J30"/>
    <mergeCell ref="K30:M30"/>
    <mergeCell ref="N30:P30"/>
    <mergeCell ref="H31:J31"/>
    <mergeCell ref="K31:M31"/>
    <mergeCell ref="N31:P31"/>
    <mergeCell ref="H28:J28"/>
    <mergeCell ref="K28:M28"/>
    <mergeCell ref="N28:P28"/>
    <mergeCell ref="H29:J29"/>
    <mergeCell ref="K29:M29"/>
    <mergeCell ref="N29:P29"/>
    <mergeCell ref="H26:J26"/>
    <mergeCell ref="K26:M26"/>
    <mergeCell ref="N26:P26"/>
    <mergeCell ref="H27:J27"/>
    <mergeCell ref="K27:M27"/>
    <mergeCell ref="N27:P27"/>
    <mergeCell ref="H24:J24"/>
    <mergeCell ref="K24:M24"/>
    <mergeCell ref="N24:P24"/>
    <mergeCell ref="H25:J25"/>
    <mergeCell ref="K25:M25"/>
    <mergeCell ref="N25:P25"/>
    <mergeCell ref="H22:J22"/>
    <mergeCell ref="K22:M22"/>
    <mergeCell ref="N22:P22"/>
    <mergeCell ref="H23:J23"/>
    <mergeCell ref="K23:M23"/>
    <mergeCell ref="N23:P23"/>
    <mergeCell ref="H20:J20"/>
    <mergeCell ref="K20:M20"/>
    <mergeCell ref="N20:P20"/>
    <mergeCell ref="H21:J21"/>
    <mergeCell ref="K21:M21"/>
    <mergeCell ref="N21:P21"/>
    <mergeCell ref="H18:J18"/>
    <mergeCell ref="K18:M18"/>
    <mergeCell ref="N18:P18"/>
    <mergeCell ref="H19:J19"/>
    <mergeCell ref="K19:M19"/>
    <mergeCell ref="N19:P19"/>
    <mergeCell ref="H16:J16"/>
    <mergeCell ref="K16:M16"/>
    <mergeCell ref="N16:P16"/>
    <mergeCell ref="H17:J17"/>
    <mergeCell ref="K17:M17"/>
    <mergeCell ref="N17:P17"/>
    <mergeCell ref="H14:J14"/>
    <mergeCell ref="K14:M14"/>
    <mergeCell ref="N14:P14"/>
    <mergeCell ref="H15:J15"/>
    <mergeCell ref="K15:M15"/>
    <mergeCell ref="N15:P15"/>
    <mergeCell ref="H12:J12"/>
    <mergeCell ref="K12:M12"/>
    <mergeCell ref="N12:P12"/>
    <mergeCell ref="H13:J13"/>
    <mergeCell ref="K13:M13"/>
    <mergeCell ref="N13:P13"/>
    <mergeCell ref="H8:J11"/>
    <mergeCell ref="K8:M8"/>
    <mergeCell ref="N8:P11"/>
    <mergeCell ref="K9:M9"/>
    <mergeCell ref="K10:M10"/>
    <mergeCell ref="K11:M11"/>
    <mergeCell ref="B5:P5"/>
    <mergeCell ref="B6:F6"/>
    <mergeCell ref="G6:P6"/>
    <mergeCell ref="H7:J7"/>
    <mergeCell ref="K7:M7"/>
    <mergeCell ref="N7:P7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A1A6-C59C-2449-8360-0F5BD9DF105C}">
  <dimension ref="C1:G64"/>
  <sheetViews>
    <sheetView workbookViewId="0">
      <pane ySplit="3" topLeftCell="A4" activePane="bottomLeft" state="frozen"/>
      <selection pane="bottomLeft" activeCell="J18" sqref="J18"/>
    </sheetView>
  </sheetViews>
  <sheetFormatPr baseColWidth="10" defaultRowHeight="16"/>
  <cols>
    <col min="4" max="4" width="11" bestFit="1" customWidth="1"/>
    <col min="5" max="5" width="17.6640625" bestFit="1" customWidth="1"/>
    <col min="6" max="7" width="11" bestFit="1" customWidth="1"/>
  </cols>
  <sheetData>
    <row r="1" spans="3:7" ht="17" thickBot="1"/>
    <row r="2" spans="3:7">
      <c r="C2" s="440" t="s">
        <v>524</v>
      </c>
      <c r="D2" s="441"/>
      <c r="E2" s="441"/>
      <c r="F2" s="441"/>
      <c r="G2" s="442"/>
    </row>
    <row r="3" spans="3:7">
      <c r="C3" s="437" t="s">
        <v>519</v>
      </c>
      <c r="D3" s="438" t="s">
        <v>520</v>
      </c>
      <c r="E3" s="438" t="s">
        <v>521</v>
      </c>
      <c r="F3" s="438" t="s">
        <v>126</v>
      </c>
      <c r="G3" s="439" t="s">
        <v>522</v>
      </c>
    </row>
    <row r="4" spans="3:7">
      <c r="C4" s="614" t="s">
        <v>478</v>
      </c>
      <c r="D4" s="615"/>
      <c r="E4" s="615"/>
      <c r="F4" s="615"/>
      <c r="G4" s="616"/>
    </row>
    <row r="5" spans="3:7">
      <c r="C5" s="427" t="s">
        <v>479</v>
      </c>
      <c r="D5" s="428">
        <v>3</v>
      </c>
      <c r="E5" s="429">
        <v>2500000</v>
      </c>
      <c r="F5" s="428">
        <v>1681</v>
      </c>
      <c r="G5" s="430">
        <f>E5/F5</f>
        <v>1487.20999405116</v>
      </c>
    </row>
    <row r="6" spans="3:7">
      <c r="C6" s="427" t="s">
        <v>480</v>
      </c>
      <c r="D6" s="428">
        <v>3</v>
      </c>
      <c r="E6" s="429">
        <v>3150000</v>
      </c>
      <c r="F6" s="428">
        <v>2193</v>
      </c>
      <c r="G6" s="430">
        <f>E6/F6</f>
        <v>1436.388508891929</v>
      </c>
    </row>
    <row r="7" spans="3:7">
      <c r="C7" s="427" t="s">
        <v>481</v>
      </c>
      <c r="D7" s="428">
        <v>3</v>
      </c>
      <c r="E7" s="429">
        <v>3250000</v>
      </c>
      <c r="F7" s="428">
        <v>2010</v>
      </c>
      <c r="G7" s="430">
        <f>E7/F7</f>
        <v>1616.9154228855721</v>
      </c>
    </row>
    <row r="8" spans="3:7">
      <c r="C8" s="427" t="s">
        <v>482</v>
      </c>
      <c r="D8" s="428">
        <v>4</v>
      </c>
      <c r="E8" s="429">
        <v>3825000</v>
      </c>
      <c r="F8" s="428">
        <v>2743</v>
      </c>
      <c r="G8" s="430">
        <f>E8/F8</f>
        <v>1394.4586219467735</v>
      </c>
    </row>
    <row r="9" spans="3:7">
      <c r="C9" s="427" t="s">
        <v>483</v>
      </c>
      <c r="D9" s="428">
        <v>3</v>
      </c>
      <c r="E9" s="429">
        <v>3750000</v>
      </c>
      <c r="F9" s="428">
        <v>2454</v>
      </c>
      <c r="G9" s="430">
        <f>E9/F9</f>
        <v>1528.1173594132028</v>
      </c>
    </row>
    <row r="10" spans="3:7">
      <c r="C10" s="427"/>
      <c r="D10" s="428"/>
      <c r="E10" s="428"/>
      <c r="F10" s="428"/>
      <c r="G10" s="430"/>
    </row>
    <row r="11" spans="3:7">
      <c r="C11" s="614" t="s">
        <v>484</v>
      </c>
      <c r="D11" s="615"/>
      <c r="E11" s="615"/>
      <c r="F11" s="615"/>
      <c r="G11" s="616"/>
    </row>
    <row r="12" spans="3:7">
      <c r="C12" s="427" t="s">
        <v>485</v>
      </c>
      <c r="D12" s="428">
        <v>3</v>
      </c>
      <c r="E12" s="452">
        <v>2250000</v>
      </c>
      <c r="F12" s="428">
        <v>1529</v>
      </c>
      <c r="G12" s="432">
        <f t="shared" ref="G12:G18" si="0">E12/F12</f>
        <v>1471.5500327011118</v>
      </c>
    </row>
    <row r="13" spans="3:7">
      <c r="C13" s="427" t="s">
        <v>486</v>
      </c>
      <c r="D13" s="428">
        <v>2</v>
      </c>
      <c r="E13" s="452">
        <v>1650000</v>
      </c>
      <c r="F13" s="428">
        <v>1281</v>
      </c>
      <c r="G13" s="432">
        <f t="shared" si="0"/>
        <v>1288.0562060889929</v>
      </c>
    </row>
    <row r="14" spans="3:7">
      <c r="C14" s="427" t="s">
        <v>487</v>
      </c>
      <c r="D14" s="428">
        <v>4</v>
      </c>
      <c r="E14" s="452">
        <v>3950000</v>
      </c>
      <c r="F14" s="428">
        <v>2900</v>
      </c>
      <c r="G14" s="432">
        <f t="shared" si="0"/>
        <v>1362.0689655172414</v>
      </c>
    </row>
    <row r="15" spans="3:7">
      <c r="C15" s="427" t="s">
        <v>67</v>
      </c>
      <c r="D15" s="428">
        <v>1</v>
      </c>
      <c r="E15" s="452">
        <v>1100000</v>
      </c>
      <c r="F15" s="428">
        <v>813</v>
      </c>
      <c r="G15" s="432">
        <f t="shared" si="0"/>
        <v>1353.0135301353014</v>
      </c>
    </row>
    <row r="16" spans="3:7">
      <c r="C16" s="427" t="s">
        <v>488</v>
      </c>
      <c r="D16" s="428">
        <v>2</v>
      </c>
      <c r="E16" s="452">
        <v>1635000</v>
      </c>
      <c r="F16" s="428">
        <v>1182</v>
      </c>
      <c r="G16" s="432">
        <f t="shared" si="0"/>
        <v>1383.2487309644671</v>
      </c>
    </row>
    <row r="17" spans="3:7">
      <c r="C17" s="427" t="s">
        <v>489</v>
      </c>
      <c r="D17" s="428">
        <v>2</v>
      </c>
      <c r="E17" s="452">
        <v>1580000</v>
      </c>
      <c r="F17" s="428">
        <v>1167</v>
      </c>
      <c r="G17" s="432">
        <f t="shared" si="0"/>
        <v>1353.8988860325621</v>
      </c>
    </row>
    <row r="18" spans="3:7">
      <c r="C18" s="427" t="s">
        <v>490</v>
      </c>
      <c r="D18" s="428">
        <v>2</v>
      </c>
      <c r="E18" s="452">
        <v>1640000</v>
      </c>
      <c r="F18" s="428">
        <v>1182</v>
      </c>
      <c r="G18" s="432">
        <f t="shared" si="0"/>
        <v>1387.4788494077834</v>
      </c>
    </row>
    <row r="19" spans="3:7">
      <c r="C19" s="427"/>
      <c r="D19" s="428"/>
      <c r="E19" s="431"/>
      <c r="F19" s="428"/>
      <c r="G19" s="432"/>
    </row>
    <row r="20" spans="3:7">
      <c r="C20" s="614" t="s">
        <v>491</v>
      </c>
      <c r="D20" s="615"/>
      <c r="E20" s="615"/>
      <c r="F20" s="615"/>
      <c r="G20" s="616"/>
    </row>
    <row r="21" spans="3:7">
      <c r="C21" s="427" t="s">
        <v>481</v>
      </c>
      <c r="D21" s="428">
        <v>3</v>
      </c>
      <c r="E21" s="429">
        <v>3150000</v>
      </c>
      <c r="F21" s="428">
        <v>1484</v>
      </c>
      <c r="G21" s="432">
        <f t="shared" ref="G21:G30" si="1">E21/F21</f>
        <v>2122.6415094339623</v>
      </c>
    </row>
    <row r="22" spans="3:7">
      <c r="C22" s="427" t="s">
        <v>492</v>
      </c>
      <c r="D22" s="428">
        <v>3</v>
      </c>
      <c r="E22" s="429">
        <v>4600000</v>
      </c>
      <c r="F22" s="428">
        <v>1655</v>
      </c>
      <c r="G22" s="432">
        <f t="shared" si="1"/>
        <v>2779.4561933534742</v>
      </c>
    </row>
    <row r="23" spans="3:7">
      <c r="C23" s="427" t="s">
        <v>493</v>
      </c>
      <c r="D23" s="428">
        <v>3</v>
      </c>
      <c r="E23" s="429">
        <v>3525000</v>
      </c>
      <c r="F23" s="428">
        <v>1516</v>
      </c>
      <c r="G23" s="432">
        <f t="shared" si="1"/>
        <v>2325.1978891820581</v>
      </c>
    </row>
    <row r="24" spans="3:7">
      <c r="C24" s="427" t="s">
        <v>494</v>
      </c>
      <c r="D24" s="428">
        <v>4</v>
      </c>
      <c r="E24" s="429">
        <v>6500000</v>
      </c>
      <c r="F24" s="428">
        <v>2179</v>
      </c>
      <c r="G24" s="432">
        <f t="shared" si="1"/>
        <v>2983.0197338228545</v>
      </c>
    </row>
    <row r="25" spans="3:7">
      <c r="C25" s="427" t="s">
        <v>495</v>
      </c>
      <c r="D25" s="428">
        <v>3</v>
      </c>
      <c r="E25" s="429">
        <v>3156000</v>
      </c>
      <c r="F25" s="428">
        <v>1468</v>
      </c>
      <c r="G25" s="432">
        <f t="shared" si="1"/>
        <v>2149.8637602179838</v>
      </c>
    </row>
    <row r="26" spans="3:7">
      <c r="C26" s="427" t="s">
        <v>496</v>
      </c>
      <c r="D26" s="428">
        <v>3</v>
      </c>
      <c r="E26" s="429">
        <v>3325000</v>
      </c>
      <c r="F26" s="428">
        <v>1512</v>
      </c>
      <c r="G26" s="432">
        <f t="shared" si="1"/>
        <v>2199.0740740740739</v>
      </c>
    </row>
    <row r="27" spans="3:7">
      <c r="C27" s="427" t="s">
        <v>497</v>
      </c>
      <c r="D27" s="428">
        <v>3</v>
      </c>
      <c r="E27" s="429">
        <v>3750000</v>
      </c>
      <c r="F27" s="428">
        <v>1631</v>
      </c>
      <c r="G27" s="432">
        <f t="shared" si="1"/>
        <v>2299.2029429797672</v>
      </c>
    </row>
    <row r="28" spans="3:7">
      <c r="C28" s="427" t="s">
        <v>482</v>
      </c>
      <c r="D28" s="428">
        <v>2</v>
      </c>
      <c r="E28" s="429">
        <v>2195000</v>
      </c>
      <c r="F28" s="428">
        <v>1110</v>
      </c>
      <c r="G28" s="432">
        <f t="shared" si="1"/>
        <v>1977.4774774774776</v>
      </c>
    </row>
    <row r="29" spans="3:7">
      <c r="C29" s="427" t="s">
        <v>498</v>
      </c>
      <c r="D29" s="428">
        <v>2</v>
      </c>
      <c r="E29" s="429">
        <v>1945000</v>
      </c>
      <c r="F29" s="428">
        <v>1081</v>
      </c>
      <c r="G29" s="432">
        <f t="shared" si="1"/>
        <v>1799.2599444958371</v>
      </c>
    </row>
    <row r="30" spans="3:7">
      <c r="C30" s="427" t="s">
        <v>480</v>
      </c>
      <c r="D30" s="428">
        <v>3</v>
      </c>
      <c r="E30" s="429">
        <v>2575000</v>
      </c>
      <c r="F30" s="428">
        <v>1477</v>
      </c>
      <c r="G30" s="432">
        <f t="shared" si="1"/>
        <v>1743.3987813134734</v>
      </c>
    </row>
    <row r="31" spans="3:7">
      <c r="C31" s="427"/>
      <c r="D31" s="428"/>
      <c r="E31" s="428"/>
      <c r="F31" s="428"/>
      <c r="G31" s="430"/>
    </row>
    <row r="32" spans="3:7">
      <c r="C32" s="614" t="s">
        <v>523</v>
      </c>
      <c r="D32" s="615"/>
      <c r="E32" s="615"/>
      <c r="F32" s="615"/>
      <c r="G32" s="616"/>
    </row>
    <row r="33" spans="3:7">
      <c r="C33" s="427" t="s">
        <v>499</v>
      </c>
      <c r="D33" s="428">
        <v>4</v>
      </c>
      <c r="E33" s="429">
        <v>8150000</v>
      </c>
      <c r="F33" s="428">
        <v>3304</v>
      </c>
      <c r="G33" s="432">
        <f t="shared" ref="G33:G39" si="2">E33/F33</f>
        <v>2466.7070217917676</v>
      </c>
    </row>
    <row r="34" spans="3:7">
      <c r="C34" s="427" t="s">
        <v>500</v>
      </c>
      <c r="D34" s="428">
        <v>4</v>
      </c>
      <c r="E34" s="429">
        <v>7995000</v>
      </c>
      <c r="F34" s="428">
        <v>3349</v>
      </c>
      <c r="G34" s="432">
        <f t="shared" si="2"/>
        <v>2387.2797850104507</v>
      </c>
    </row>
    <row r="35" spans="3:7">
      <c r="C35" s="427" t="s">
        <v>498</v>
      </c>
      <c r="D35" s="428">
        <v>5</v>
      </c>
      <c r="E35" s="429">
        <v>10150000</v>
      </c>
      <c r="F35" s="428">
        <v>3745</v>
      </c>
      <c r="G35" s="432">
        <f t="shared" si="2"/>
        <v>2710.2803738317757</v>
      </c>
    </row>
    <row r="36" spans="3:7">
      <c r="C36" s="427" t="s">
        <v>495</v>
      </c>
      <c r="D36" s="428">
        <v>4</v>
      </c>
      <c r="E36" s="429">
        <v>7925000</v>
      </c>
      <c r="F36" s="428">
        <v>2888</v>
      </c>
      <c r="G36" s="432">
        <f t="shared" si="2"/>
        <v>2744.1135734072022</v>
      </c>
    </row>
    <row r="37" spans="3:7">
      <c r="C37" s="427" t="s">
        <v>501</v>
      </c>
      <c r="D37" s="428">
        <v>3</v>
      </c>
      <c r="E37" s="429">
        <v>6225000</v>
      </c>
      <c r="F37" s="428">
        <v>2468</v>
      </c>
      <c r="G37" s="432">
        <f t="shared" si="2"/>
        <v>2522.2852512155591</v>
      </c>
    </row>
    <row r="38" spans="3:7">
      <c r="C38" s="427" t="s">
        <v>481</v>
      </c>
      <c r="D38" s="428">
        <v>3</v>
      </c>
      <c r="E38" s="429">
        <v>6475000</v>
      </c>
      <c r="F38" s="428">
        <v>2163</v>
      </c>
      <c r="G38" s="432">
        <f t="shared" si="2"/>
        <v>2993.5275080906149</v>
      </c>
    </row>
    <row r="39" spans="3:7">
      <c r="C39" s="427" t="s">
        <v>502</v>
      </c>
      <c r="D39" s="428">
        <v>3</v>
      </c>
      <c r="E39" s="429">
        <v>5975000</v>
      </c>
      <c r="F39" s="428">
        <v>2091</v>
      </c>
      <c r="G39" s="432">
        <f t="shared" si="2"/>
        <v>2857.4844571975132</v>
      </c>
    </row>
    <row r="40" spans="3:7">
      <c r="C40" s="427"/>
      <c r="D40" s="428"/>
      <c r="E40" s="428"/>
      <c r="F40" s="428"/>
      <c r="G40" s="430"/>
    </row>
    <row r="41" spans="3:7">
      <c r="C41" s="614" t="s">
        <v>503</v>
      </c>
      <c r="D41" s="615"/>
      <c r="E41" s="615"/>
      <c r="F41" s="615"/>
      <c r="G41" s="616"/>
    </row>
    <row r="42" spans="3:7">
      <c r="C42" s="427" t="s">
        <v>61</v>
      </c>
      <c r="D42" s="428">
        <v>0</v>
      </c>
      <c r="E42" s="429">
        <v>950000</v>
      </c>
      <c r="F42" s="428">
        <v>542</v>
      </c>
      <c r="G42" s="432">
        <f t="shared" ref="G42:G59" si="3">E42/F42</f>
        <v>1752.7675276752768</v>
      </c>
    </row>
    <row r="43" spans="3:7">
      <c r="C43" s="427" t="s">
        <v>504</v>
      </c>
      <c r="D43" s="428">
        <v>1</v>
      </c>
      <c r="E43" s="429">
        <v>1165000</v>
      </c>
      <c r="F43" s="428">
        <v>770</v>
      </c>
      <c r="G43" s="432">
        <f t="shared" si="3"/>
        <v>1512.987012987013</v>
      </c>
    </row>
    <row r="44" spans="3:7">
      <c r="C44" s="427" t="s">
        <v>505</v>
      </c>
      <c r="D44" s="428">
        <v>1</v>
      </c>
      <c r="E44" s="429">
        <v>1290000</v>
      </c>
      <c r="F44" s="428">
        <v>831</v>
      </c>
      <c r="G44" s="432">
        <f t="shared" si="3"/>
        <v>1552.3465703971119</v>
      </c>
    </row>
    <row r="45" spans="3:7">
      <c r="C45" s="427" t="s">
        <v>506</v>
      </c>
      <c r="D45" s="428">
        <v>1</v>
      </c>
      <c r="E45" s="429">
        <v>1275000</v>
      </c>
      <c r="F45" s="428">
        <v>801</v>
      </c>
      <c r="G45" s="432">
        <f t="shared" si="3"/>
        <v>1591.7602996254682</v>
      </c>
    </row>
    <row r="46" spans="3:7">
      <c r="C46" s="427" t="s">
        <v>479</v>
      </c>
      <c r="D46" s="428">
        <v>2</v>
      </c>
      <c r="E46" s="429">
        <v>1925000</v>
      </c>
      <c r="F46" s="428">
        <v>1243</v>
      </c>
      <c r="G46" s="432">
        <f t="shared" si="3"/>
        <v>1548.6725663716813</v>
      </c>
    </row>
    <row r="47" spans="3:7">
      <c r="C47" s="427" t="s">
        <v>507</v>
      </c>
      <c r="D47" s="428">
        <v>2</v>
      </c>
      <c r="E47" s="429">
        <v>1775000</v>
      </c>
      <c r="F47" s="428">
        <v>1243</v>
      </c>
      <c r="G47" s="432">
        <f t="shared" si="3"/>
        <v>1427.9967819790829</v>
      </c>
    </row>
    <row r="48" spans="3:7">
      <c r="C48" s="427" t="s">
        <v>508</v>
      </c>
      <c r="D48" s="428">
        <v>2</v>
      </c>
      <c r="E48" s="429">
        <v>2600000</v>
      </c>
      <c r="F48" s="428">
        <v>1189</v>
      </c>
      <c r="G48" s="432">
        <f t="shared" si="3"/>
        <v>2186.7115222876369</v>
      </c>
    </row>
    <row r="49" spans="3:7">
      <c r="C49" s="427" t="s">
        <v>509</v>
      </c>
      <c r="D49" s="428">
        <v>2</v>
      </c>
      <c r="E49" s="429">
        <v>1975000</v>
      </c>
      <c r="F49" s="428">
        <v>1452</v>
      </c>
      <c r="G49" s="432">
        <f t="shared" si="3"/>
        <v>1360.1928374655647</v>
      </c>
    </row>
    <row r="50" spans="3:7">
      <c r="C50" s="427" t="s">
        <v>482</v>
      </c>
      <c r="D50" s="428">
        <v>2</v>
      </c>
      <c r="E50" s="429">
        <v>2125000</v>
      </c>
      <c r="F50" s="428">
        <v>1452</v>
      </c>
      <c r="G50" s="432">
        <f t="shared" si="3"/>
        <v>1463.4986225895316</v>
      </c>
    </row>
    <row r="51" spans="3:7">
      <c r="C51" s="427" t="s">
        <v>510</v>
      </c>
      <c r="D51" s="428">
        <v>2</v>
      </c>
      <c r="E51" s="429">
        <v>2700000</v>
      </c>
      <c r="F51" s="428">
        <v>1460</v>
      </c>
      <c r="G51" s="432">
        <f t="shared" si="3"/>
        <v>1849.3150684931506</v>
      </c>
    </row>
    <row r="52" spans="3:7">
      <c r="C52" s="427" t="s">
        <v>511</v>
      </c>
      <c r="D52" s="428">
        <v>3</v>
      </c>
      <c r="E52" s="429">
        <v>2630000</v>
      </c>
      <c r="F52" s="428">
        <v>1764</v>
      </c>
      <c r="G52" s="432">
        <f t="shared" si="3"/>
        <v>1490.9297052154195</v>
      </c>
    </row>
    <row r="53" spans="3:7">
      <c r="C53" s="427" t="s">
        <v>512</v>
      </c>
      <c r="D53" s="428">
        <v>3</v>
      </c>
      <c r="E53" s="429">
        <v>2870000</v>
      </c>
      <c r="F53" s="428">
        <v>1764</v>
      </c>
      <c r="G53" s="432">
        <f t="shared" si="3"/>
        <v>1626.984126984127</v>
      </c>
    </row>
    <row r="54" spans="3:7">
      <c r="C54" s="427" t="s">
        <v>513</v>
      </c>
      <c r="D54" s="428">
        <v>3</v>
      </c>
      <c r="E54" s="429">
        <v>3400000</v>
      </c>
      <c r="F54" s="428">
        <v>1709</v>
      </c>
      <c r="G54" s="432">
        <f t="shared" si="3"/>
        <v>1989.4675248683441</v>
      </c>
    </row>
    <row r="55" spans="3:7">
      <c r="C55" s="427" t="s">
        <v>514</v>
      </c>
      <c r="D55" s="428">
        <v>3</v>
      </c>
      <c r="E55" s="429">
        <v>3500000</v>
      </c>
      <c r="F55" s="428">
        <v>1709</v>
      </c>
      <c r="G55" s="432">
        <f t="shared" si="3"/>
        <v>2047.9812755997659</v>
      </c>
    </row>
    <row r="56" spans="3:7">
      <c r="C56" s="427" t="s">
        <v>515</v>
      </c>
      <c r="D56" s="428">
        <v>3</v>
      </c>
      <c r="E56" s="429">
        <v>3300000</v>
      </c>
      <c r="F56" s="428">
        <v>1687</v>
      </c>
      <c r="G56" s="432">
        <f t="shared" si="3"/>
        <v>1956.135151155898</v>
      </c>
    </row>
    <row r="57" spans="3:7">
      <c r="C57" s="427" t="s">
        <v>516</v>
      </c>
      <c r="D57" s="428">
        <v>3</v>
      </c>
      <c r="E57" s="429">
        <v>5850000</v>
      </c>
      <c r="F57" s="428">
        <v>2084</v>
      </c>
      <c r="G57" s="432">
        <f t="shared" si="3"/>
        <v>2807.1017274472169</v>
      </c>
    </row>
    <row r="58" spans="3:7">
      <c r="C58" s="427" t="s">
        <v>517</v>
      </c>
      <c r="D58" s="428">
        <v>3</v>
      </c>
      <c r="E58" s="429">
        <v>4300000</v>
      </c>
      <c r="F58" s="428">
        <v>2084</v>
      </c>
      <c r="G58" s="432">
        <f t="shared" si="3"/>
        <v>2063.3397312859884</v>
      </c>
    </row>
    <row r="59" spans="3:7" ht="17" thickBot="1">
      <c r="C59" s="433" t="s">
        <v>518</v>
      </c>
      <c r="D59" s="434">
        <v>3</v>
      </c>
      <c r="E59" s="435">
        <v>4250000</v>
      </c>
      <c r="F59" s="434">
        <v>2001</v>
      </c>
      <c r="G59" s="436">
        <f t="shared" si="3"/>
        <v>2123.9380309845078</v>
      </c>
    </row>
    <row r="60" spans="3:7" ht="17" thickBot="1"/>
    <row r="61" spans="3:7">
      <c r="C61" s="443" t="s">
        <v>525</v>
      </c>
      <c r="D61" s="444" t="s">
        <v>70</v>
      </c>
      <c r="E61" s="446">
        <f>G61*F61</f>
        <v>1523937.8609455524</v>
      </c>
      <c r="F61" s="448">
        <f>AVERAGEIF($D$5:$D$59,"1",$F$6:$F$60)</f>
        <v>1014.25</v>
      </c>
      <c r="G61" s="445">
        <f>AVERAGEIF($D$5:$D$59,"1",$G$5:$G$59)</f>
        <v>1502.5268532862237</v>
      </c>
    </row>
    <row r="62" spans="3:7">
      <c r="C62" s="427"/>
      <c r="D62" s="428" t="s">
        <v>73</v>
      </c>
      <c r="E62" s="447">
        <f t="shared" ref="E62:E64" si="4">G62*F62</f>
        <v>1987404.1411079164</v>
      </c>
      <c r="F62" s="449">
        <f>AVERAGEIF($D$5:$D$59,"2",$F$5:$F$59)</f>
        <v>1253.5</v>
      </c>
      <c r="G62" s="432">
        <f>AVERAGEIF($D$5:$D$59,"2",$G$5:$G$59)</f>
        <v>1585.4839578044805</v>
      </c>
    </row>
    <row r="63" spans="3:7">
      <c r="C63" s="427"/>
      <c r="D63" s="428" t="s">
        <v>101</v>
      </c>
      <c r="E63" s="447">
        <f t="shared" si="4"/>
        <v>3794305.3645505453</v>
      </c>
      <c r="F63" s="449">
        <f>AVERAGEIF($D$5:$D$59,"3",$F$5:$F$59)</f>
        <v>1831.9130434782608</v>
      </c>
      <c r="G63" s="432">
        <f>AVERAGEIF($D$5:$D$59,"3",$G$5:$G$59)</f>
        <v>2071.225693849683</v>
      </c>
    </row>
    <row r="64" spans="3:7" ht="17" thickBot="1">
      <c r="C64" s="433"/>
      <c r="D64" s="434" t="s">
        <v>526</v>
      </c>
      <c r="E64" s="451">
        <f t="shared" si="4"/>
        <v>6432821.5844744472</v>
      </c>
      <c r="F64" s="450">
        <f>AVERAGEIF($D$5:$D$59,"4",$F$5:$F$59)</f>
        <v>2893.8333333333335</v>
      </c>
      <c r="G64" s="436">
        <f>AVERAGEIF($D$5:$D$59,"4",$G$5:$G$59)</f>
        <v>2222.9412835827152</v>
      </c>
    </row>
  </sheetData>
  <mergeCells count="5">
    <mergeCell ref="C4:G4"/>
    <mergeCell ref="C11:G11"/>
    <mergeCell ref="C20:G20"/>
    <mergeCell ref="C41:G41"/>
    <mergeCell ref="C32:G32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CF1F-AAA2-2446-B071-07233929C213}">
  <sheetPr codeName="Sheet8">
    <pageSetUpPr fitToPage="1"/>
  </sheetPr>
  <dimension ref="A1:AH75"/>
  <sheetViews>
    <sheetView zoomScaleNormal="100" workbookViewId="0">
      <selection activeCell="O37" sqref="O37"/>
    </sheetView>
  </sheetViews>
  <sheetFormatPr baseColWidth="10" defaultColWidth="8.83203125" defaultRowHeight="15"/>
  <cols>
    <col min="1" max="1" width="26.6640625" style="2" customWidth="1"/>
    <col min="2" max="2" width="8.83203125" style="2"/>
    <col min="3" max="7" width="8.33203125" style="2" customWidth="1"/>
    <col min="8" max="33" width="8.1640625" style="2" customWidth="1"/>
    <col min="34" max="34" width="11.1640625" style="2" customWidth="1"/>
    <col min="35" max="16384" width="8.83203125" style="2"/>
  </cols>
  <sheetData>
    <row r="1" spans="1:34" ht="19">
      <c r="A1" s="619" t="s">
        <v>0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  <c r="AF1" s="619"/>
      <c r="AG1" s="619"/>
      <c r="AH1" s="1"/>
    </row>
    <row r="2" spans="1:34" ht="19">
      <c r="A2" s="620"/>
      <c r="B2" s="621"/>
      <c r="C2" s="621"/>
      <c r="D2" s="621"/>
      <c r="E2" s="621"/>
      <c r="F2" s="621"/>
      <c r="G2" s="621"/>
      <c r="H2" s="621"/>
      <c r="I2" s="621"/>
      <c r="J2" s="621"/>
      <c r="K2" s="621"/>
      <c r="L2" s="621"/>
      <c r="M2" s="621"/>
      <c r="N2" s="621"/>
      <c r="O2" s="621"/>
      <c r="P2" s="621"/>
      <c r="Q2" s="621"/>
      <c r="R2" s="621"/>
      <c r="S2" s="621"/>
      <c r="T2" s="621"/>
      <c r="U2" s="621"/>
      <c r="V2" s="621"/>
      <c r="W2" s="621"/>
      <c r="X2" s="621"/>
      <c r="Y2" s="621"/>
      <c r="Z2" s="621"/>
      <c r="AA2" s="621"/>
      <c r="AB2" s="621"/>
      <c r="AC2" s="621"/>
      <c r="AD2" s="621"/>
      <c r="AE2" s="621"/>
      <c r="AF2" s="621"/>
      <c r="AG2" s="621"/>
      <c r="AH2" s="622"/>
    </row>
    <row r="3" spans="1:34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</row>
    <row r="4" spans="1:34">
      <c r="A4" s="617" t="s">
        <v>35</v>
      </c>
      <c r="B4" s="618" t="s">
        <v>36</v>
      </c>
      <c r="C4" s="5" t="s">
        <v>37</v>
      </c>
      <c r="D4" s="6" t="s">
        <v>37</v>
      </c>
      <c r="E4" s="5" t="s">
        <v>37</v>
      </c>
      <c r="F4" s="6" t="s">
        <v>37</v>
      </c>
      <c r="G4" s="5" t="s">
        <v>37</v>
      </c>
      <c r="H4" s="5" t="s">
        <v>37</v>
      </c>
      <c r="I4" s="5" t="s">
        <v>37</v>
      </c>
      <c r="J4" s="7" t="s">
        <v>37</v>
      </c>
      <c r="K4" s="5" t="s">
        <v>37</v>
      </c>
      <c r="L4" s="7" t="s">
        <v>37</v>
      </c>
      <c r="M4" s="5" t="s">
        <v>37</v>
      </c>
      <c r="N4" s="5" t="s">
        <v>37</v>
      </c>
      <c r="O4" s="5" t="s">
        <v>37</v>
      </c>
      <c r="P4" s="5" t="s">
        <v>37</v>
      </c>
      <c r="Q4" s="7" t="s">
        <v>37</v>
      </c>
      <c r="R4" s="1"/>
      <c r="S4" s="8"/>
      <c r="T4" s="1"/>
      <c r="U4" s="8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618">
        <v>15</v>
      </c>
    </row>
    <row r="5" spans="1:34">
      <c r="A5" s="617"/>
      <c r="B5" s="618"/>
      <c r="C5" s="9" t="s">
        <v>38</v>
      </c>
      <c r="D5" s="10" t="s">
        <v>39</v>
      </c>
      <c r="E5" s="9" t="s">
        <v>40</v>
      </c>
      <c r="F5" s="10" t="s">
        <v>41</v>
      </c>
      <c r="G5" s="9" t="s">
        <v>40</v>
      </c>
      <c r="H5" s="9" t="s">
        <v>42</v>
      </c>
      <c r="I5" s="9" t="s">
        <v>40</v>
      </c>
      <c r="J5" s="11" t="s">
        <v>43</v>
      </c>
      <c r="K5" s="9" t="s">
        <v>40</v>
      </c>
      <c r="L5" s="11" t="s">
        <v>44</v>
      </c>
      <c r="M5" s="9" t="s">
        <v>40</v>
      </c>
      <c r="N5" s="9" t="s">
        <v>40</v>
      </c>
      <c r="O5" s="9" t="s">
        <v>40</v>
      </c>
      <c r="P5" s="9" t="s">
        <v>40</v>
      </c>
      <c r="Q5" s="7" t="s">
        <v>59</v>
      </c>
      <c r="R5" s="1"/>
      <c r="S5" s="1"/>
      <c r="T5" s="1"/>
      <c r="U5" s="8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618"/>
    </row>
    <row r="6" spans="1:34">
      <c r="A6" s="617" t="s">
        <v>45</v>
      </c>
      <c r="B6" s="618" t="s">
        <v>46</v>
      </c>
      <c r="C6" s="7" t="s">
        <v>37</v>
      </c>
      <c r="D6" s="7" t="s">
        <v>37</v>
      </c>
      <c r="E6" s="5" t="s">
        <v>37</v>
      </c>
      <c r="F6" s="5" t="s">
        <v>37</v>
      </c>
      <c r="G6" s="5" t="s">
        <v>37</v>
      </c>
      <c r="H6" s="6" t="s">
        <v>37</v>
      </c>
      <c r="I6" s="5" t="s">
        <v>37</v>
      </c>
      <c r="J6" s="6" t="s">
        <v>37</v>
      </c>
      <c r="K6" s="7" t="s">
        <v>37</v>
      </c>
      <c r="L6" s="6" t="s">
        <v>37</v>
      </c>
      <c r="M6" s="5" t="s">
        <v>37</v>
      </c>
      <c r="N6" s="6" t="s">
        <v>37</v>
      </c>
      <c r="O6" s="5" t="s">
        <v>37</v>
      </c>
      <c r="P6" s="6" t="s">
        <v>37</v>
      </c>
      <c r="Q6" s="5" t="s">
        <v>37</v>
      </c>
      <c r="R6" s="6" t="s">
        <v>37</v>
      </c>
      <c r="S6" s="5" t="s">
        <v>37</v>
      </c>
      <c r="T6" s="6" t="s">
        <v>37</v>
      </c>
      <c r="U6" s="5" t="s">
        <v>37</v>
      </c>
      <c r="V6" s="6" t="s">
        <v>37</v>
      </c>
      <c r="W6" s="5" t="s">
        <v>47</v>
      </c>
      <c r="X6" s="6" t="s">
        <v>47</v>
      </c>
      <c r="Y6" s="5" t="s">
        <v>47</v>
      </c>
      <c r="Z6" s="6" t="s">
        <v>47</v>
      </c>
      <c r="AA6" s="5" t="s">
        <v>47</v>
      </c>
      <c r="AB6" s="5" t="s">
        <v>47</v>
      </c>
      <c r="AC6" s="5" t="s">
        <v>47</v>
      </c>
      <c r="AD6" s="6" t="s">
        <v>37</v>
      </c>
      <c r="AE6" s="7" t="s">
        <v>47</v>
      </c>
      <c r="AF6" s="6" t="s">
        <v>37</v>
      </c>
      <c r="AG6" s="5" t="s">
        <v>37</v>
      </c>
      <c r="AH6" s="618">
        <v>31</v>
      </c>
    </row>
    <row r="7" spans="1:34">
      <c r="A7" s="617"/>
      <c r="B7" s="618"/>
      <c r="C7" s="11" t="s">
        <v>48</v>
      </c>
      <c r="D7" s="11" t="s">
        <v>49</v>
      </c>
      <c r="E7" s="9" t="s">
        <v>50</v>
      </c>
      <c r="F7" s="9" t="s">
        <v>51</v>
      </c>
      <c r="G7" s="9" t="s">
        <v>52</v>
      </c>
      <c r="H7" s="10" t="s">
        <v>53</v>
      </c>
      <c r="I7" s="9" t="s">
        <v>54</v>
      </c>
      <c r="J7" s="10" t="s">
        <v>55</v>
      </c>
      <c r="K7" s="11" t="s">
        <v>56</v>
      </c>
      <c r="L7" s="10" t="s">
        <v>41</v>
      </c>
      <c r="M7" s="9" t="s">
        <v>57</v>
      </c>
      <c r="N7" s="10" t="s">
        <v>58</v>
      </c>
      <c r="O7" s="9" t="s">
        <v>40</v>
      </c>
      <c r="P7" s="10" t="s">
        <v>58</v>
      </c>
      <c r="Q7" s="9" t="s">
        <v>40</v>
      </c>
      <c r="R7" s="10" t="s">
        <v>41</v>
      </c>
      <c r="S7" s="9" t="s">
        <v>40</v>
      </c>
      <c r="T7" s="10" t="s">
        <v>41</v>
      </c>
      <c r="U7" s="9" t="s">
        <v>40</v>
      </c>
      <c r="V7" s="10" t="s">
        <v>41</v>
      </c>
      <c r="W7" s="9" t="s">
        <v>40</v>
      </c>
      <c r="X7" s="10" t="s">
        <v>41</v>
      </c>
      <c r="Y7" s="9" t="s">
        <v>40</v>
      </c>
      <c r="Z7" s="10" t="s">
        <v>41</v>
      </c>
      <c r="AA7" s="9" t="s">
        <v>40</v>
      </c>
      <c r="AB7" s="9" t="s">
        <v>42</v>
      </c>
      <c r="AC7" s="9" t="s">
        <v>40</v>
      </c>
      <c r="AD7" s="10" t="s">
        <v>41</v>
      </c>
      <c r="AE7" s="11" t="s">
        <v>59</v>
      </c>
      <c r="AF7" s="10" t="s">
        <v>41</v>
      </c>
      <c r="AG7" s="9" t="s">
        <v>60</v>
      </c>
      <c r="AH7" s="618"/>
    </row>
    <row r="8" spans="1:34">
      <c r="A8" s="617" t="s">
        <v>45</v>
      </c>
      <c r="B8" s="618" t="s">
        <v>61</v>
      </c>
      <c r="C8" s="7" t="s">
        <v>37</v>
      </c>
      <c r="D8" s="7" t="s">
        <v>37</v>
      </c>
      <c r="E8" s="5" t="s">
        <v>37</v>
      </c>
      <c r="F8" s="5" t="s">
        <v>37</v>
      </c>
      <c r="G8" s="5" t="s">
        <v>37</v>
      </c>
      <c r="H8" s="6" t="s">
        <v>37</v>
      </c>
      <c r="I8" s="5" t="s">
        <v>37</v>
      </c>
      <c r="J8" s="6" t="s">
        <v>37</v>
      </c>
      <c r="K8" s="7" t="s">
        <v>37</v>
      </c>
      <c r="L8" s="6" t="s">
        <v>37</v>
      </c>
      <c r="M8" s="5" t="s">
        <v>37</v>
      </c>
      <c r="N8" s="6" t="s">
        <v>37</v>
      </c>
      <c r="O8" s="5" t="s">
        <v>37</v>
      </c>
      <c r="P8" s="6" t="s">
        <v>37</v>
      </c>
      <c r="Q8" s="5" t="s">
        <v>37</v>
      </c>
      <c r="R8" s="6" t="s">
        <v>37</v>
      </c>
      <c r="S8" s="5" t="s">
        <v>37</v>
      </c>
      <c r="T8" s="6" t="s">
        <v>37</v>
      </c>
      <c r="U8" s="5" t="s">
        <v>37</v>
      </c>
      <c r="V8" s="6" t="s">
        <v>37</v>
      </c>
      <c r="W8" s="5" t="s">
        <v>47</v>
      </c>
      <c r="X8" s="6" t="s">
        <v>47</v>
      </c>
      <c r="Y8" s="5" t="s">
        <v>47</v>
      </c>
      <c r="Z8" s="6" t="s">
        <v>47</v>
      </c>
      <c r="AA8" s="5" t="s">
        <v>47</v>
      </c>
      <c r="AB8" s="5" t="s">
        <v>47</v>
      </c>
      <c r="AC8" s="5" t="s">
        <v>47</v>
      </c>
      <c r="AD8" s="6" t="s">
        <v>37</v>
      </c>
      <c r="AE8" s="7" t="s">
        <v>47</v>
      </c>
      <c r="AF8" s="6" t="s">
        <v>37</v>
      </c>
      <c r="AG8" s="5" t="s">
        <v>37</v>
      </c>
      <c r="AH8" s="618">
        <v>31</v>
      </c>
    </row>
    <row r="9" spans="1:34">
      <c r="A9" s="617"/>
      <c r="B9" s="618"/>
      <c r="C9" s="11" t="s">
        <v>62</v>
      </c>
      <c r="D9" s="11" t="s">
        <v>49</v>
      </c>
      <c r="E9" s="9" t="s">
        <v>50</v>
      </c>
      <c r="F9" s="9" t="s">
        <v>51</v>
      </c>
      <c r="G9" s="9" t="s">
        <v>52</v>
      </c>
      <c r="H9" s="10" t="s">
        <v>53</v>
      </c>
      <c r="I9" s="9" t="s">
        <v>54</v>
      </c>
      <c r="J9" s="10" t="s">
        <v>41</v>
      </c>
      <c r="K9" s="11" t="s">
        <v>56</v>
      </c>
      <c r="L9" s="10" t="s">
        <v>41</v>
      </c>
      <c r="M9" s="9" t="s">
        <v>57</v>
      </c>
      <c r="N9" s="10" t="s">
        <v>58</v>
      </c>
      <c r="O9" s="9" t="s">
        <v>40</v>
      </c>
      <c r="P9" s="10" t="s">
        <v>58</v>
      </c>
      <c r="Q9" s="9" t="s">
        <v>40</v>
      </c>
      <c r="R9" s="10" t="s">
        <v>41</v>
      </c>
      <c r="S9" s="9" t="s">
        <v>40</v>
      </c>
      <c r="T9" s="10" t="s">
        <v>41</v>
      </c>
      <c r="U9" s="9" t="s">
        <v>40</v>
      </c>
      <c r="V9" s="10" t="s">
        <v>41</v>
      </c>
      <c r="W9" s="9" t="s">
        <v>40</v>
      </c>
      <c r="X9" s="10" t="s">
        <v>41</v>
      </c>
      <c r="Y9" s="9" t="s">
        <v>40</v>
      </c>
      <c r="Z9" s="10" t="s">
        <v>41</v>
      </c>
      <c r="AA9" s="9" t="s">
        <v>40</v>
      </c>
      <c r="AB9" s="9" t="s">
        <v>42</v>
      </c>
      <c r="AC9" s="9" t="s">
        <v>40</v>
      </c>
      <c r="AD9" s="10" t="s">
        <v>41</v>
      </c>
      <c r="AE9" s="11" t="s">
        <v>59</v>
      </c>
      <c r="AF9" s="10" t="s">
        <v>41</v>
      </c>
      <c r="AG9" s="9" t="s">
        <v>60</v>
      </c>
      <c r="AH9" s="618"/>
    </row>
    <row r="10" spans="1:34">
      <c r="A10" s="617" t="s">
        <v>45</v>
      </c>
      <c r="B10" s="618" t="s">
        <v>63</v>
      </c>
      <c r="C10" s="7" t="s">
        <v>37</v>
      </c>
      <c r="D10" s="7" t="s">
        <v>37</v>
      </c>
      <c r="E10" s="7" t="s">
        <v>37</v>
      </c>
      <c r="F10" s="5" t="s">
        <v>37</v>
      </c>
      <c r="G10" s="7" t="s">
        <v>37</v>
      </c>
      <c r="H10" s="6" t="s">
        <v>37</v>
      </c>
      <c r="I10" s="5" t="s">
        <v>37</v>
      </c>
      <c r="J10" s="6" t="s">
        <v>37</v>
      </c>
      <c r="K10" s="7" t="s">
        <v>37</v>
      </c>
      <c r="L10" s="6" t="s">
        <v>37</v>
      </c>
      <c r="M10" s="5" t="s">
        <v>37</v>
      </c>
      <c r="N10" s="6" t="s">
        <v>37</v>
      </c>
      <c r="O10" s="5" t="s">
        <v>37</v>
      </c>
      <c r="P10" s="6" t="s">
        <v>37</v>
      </c>
      <c r="Q10" s="5" t="s">
        <v>37</v>
      </c>
      <c r="R10" s="6" t="s">
        <v>37</v>
      </c>
      <c r="S10" s="5" t="s">
        <v>37</v>
      </c>
      <c r="T10" s="6" t="s">
        <v>37</v>
      </c>
      <c r="U10" s="5" t="s">
        <v>37</v>
      </c>
      <c r="V10" s="6" t="s">
        <v>37</v>
      </c>
      <c r="W10" s="5" t="s">
        <v>47</v>
      </c>
      <c r="X10" s="6" t="s">
        <v>47</v>
      </c>
      <c r="Y10" s="5" t="s">
        <v>47</v>
      </c>
      <c r="Z10" s="6" t="s">
        <v>47</v>
      </c>
      <c r="AA10" s="5" t="s">
        <v>47</v>
      </c>
      <c r="AB10" s="5" t="s">
        <v>47</v>
      </c>
      <c r="AC10" s="5" t="s">
        <v>47</v>
      </c>
      <c r="AD10" s="6" t="s">
        <v>37</v>
      </c>
      <c r="AE10" s="7" t="s">
        <v>47</v>
      </c>
      <c r="AF10" s="6" t="s">
        <v>37</v>
      </c>
      <c r="AG10" s="5" t="s">
        <v>37</v>
      </c>
      <c r="AH10" s="618">
        <v>31</v>
      </c>
    </row>
    <row r="11" spans="1:34">
      <c r="A11" s="617"/>
      <c r="B11" s="618"/>
      <c r="C11" s="11" t="s">
        <v>64</v>
      </c>
      <c r="D11" s="11" t="s">
        <v>49</v>
      </c>
      <c r="E11" s="11" t="s">
        <v>65</v>
      </c>
      <c r="F11" s="9" t="s">
        <v>51</v>
      </c>
      <c r="G11" s="11" t="s">
        <v>65</v>
      </c>
      <c r="H11" s="10" t="s">
        <v>53</v>
      </c>
      <c r="I11" s="9" t="s">
        <v>54</v>
      </c>
      <c r="J11" s="10" t="s">
        <v>41</v>
      </c>
      <c r="K11" s="11" t="s">
        <v>56</v>
      </c>
      <c r="L11" s="10" t="s">
        <v>41</v>
      </c>
      <c r="M11" s="9" t="s">
        <v>57</v>
      </c>
      <c r="N11" s="10" t="s">
        <v>58</v>
      </c>
      <c r="O11" s="9" t="s">
        <v>40</v>
      </c>
      <c r="P11" s="10" t="s">
        <v>58</v>
      </c>
      <c r="Q11" s="9" t="s">
        <v>40</v>
      </c>
      <c r="R11" s="10" t="s">
        <v>41</v>
      </c>
      <c r="S11" s="9" t="s">
        <v>40</v>
      </c>
      <c r="T11" s="10" t="s">
        <v>41</v>
      </c>
      <c r="U11" s="9" t="s">
        <v>40</v>
      </c>
      <c r="V11" s="10" t="s">
        <v>41</v>
      </c>
      <c r="W11" s="9" t="s">
        <v>40</v>
      </c>
      <c r="X11" s="10" t="s">
        <v>41</v>
      </c>
      <c r="Y11" s="9" t="s">
        <v>40</v>
      </c>
      <c r="Z11" s="10" t="s">
        <v>41</v>
      </c>
      <c r="AA11" s="9" t="s">
        <v>66</v>
      </c>
      <c r="AB11" s="9" t="s">
        <v>42</v>
      </c>
      <c r="AC11" s="9" t="s">
        <v>40</v>
      </c>
      <c r="AD11" s="10" t="s">
        <v>41</v>
      </c>
      <c r="AE11" s="11" t="s">
        <v>59</v>
      </c>
      <c r="AF11" s="10" t="s">
        <v>41</v>
      </c>
      <c r="AG11" s="9" t="s">
        <v>60</v>
      </c>
      <c r="AH11" s="618"/>
    </row>
    <row r="12" spans="1:34">
      <c r="A12" s="617" t="s">
        <v>45</v>
      </c>
      <c r="B12" s="618" t="s">
        <v>67</v>
      </c>
      <c r="C12" s="7" t="s">
        <v>37</v>
      </c>
      <c r="D12" s="7" t="s">
        <v>37</v>
      </c>
      <c r="E12" s="7" t="s">
        <v>37</v>
      </c>
      <c r="F12" s="5" t="s">
        <v>37</v>
      </c>
      <c r="G12" s="7" t="s">
        <v>37</v>
      </c>
      <c r="H12" s="6" t="s">
        <v>37</v>
      </c>
      <c r="I12" s="5" t="s">
        <v>37</v>
      </c>
      <c r="J12" s="6" t="s">
        <v>37</v>
      </c>
      <c r="K12" s="7" t="s">
        <v>37</v>
      </c>
      <c r="L12" s="6" t="s">
        <v>37</v>
      </c>
      <c r="M12" s="5" t="s">
        <v>37</v>
      </c>
      <c r="N12" s="6" t="s">
        <v>37</v>
      </c>
      <c r="O12" s="5" t="s">
        <v>37</v>
      </c>
      <c r="P12" s="6" t="s">
        <v>37</v>
      </c>
      <c r="Q12" s="5" t="s">
        <v>37</v>
      </c>
      <c r="R12" s="6" t="s">
        <v>37</v>
      </c>
      <c r="S12" s="5" t="s">
        <v>37</v>
      </c>
      <c r="T12" s="6" t="s">
        <v>37</v>
      </c>
      <c r="U12" s="5" t="s">
        <v>37</v>
      </c>
      <c r="V12" s="6" t="s">
        <v>37</v>
      </c>
      <c r="W12" s="5" t="s">
        <v>47</v>
      </c>
      <c r="X12" s="6" t="s">
        <v>47</v>
      </c>
      <c r="Y12" s="5" t="s">
        <v>47</v>
      </c>
      <c r="Z12" s="6" t="s">
        <v>47</v>
      </c>
      <c r="AA12" s="5" t="s">
        <v>47</v>
      </c>
      <c r="AB12" s="5" t="s">
        <v>47</v>
      </c>
      <c r="AC12" s="5" t="s">
        <v>47</v>
      </c>
      <c r="AD12" s="6" t="s">
        <v>37</v>
      </c>
      <c r="AE12" s="7" t="s">
        <v>47</v>
      </c>
      <c r="AF12" s="6" t="s">
        <v>37</v>
      </c>
      <c r="AG12" s="5" t="s">
        <v>37</v>
      </c>
      <c r="AH12" s="618">
        <v>31</v>
      </c>
    </row>
    <row r="13" spans="1:34" ht="16" thickBot="1">
      <c r="A13" s="623"/>
      <c r="B13" s="624"/>
      <c r="C13" s="11" t="s">
        <v>64</v>
      </c>
      <c r="D13" s="11" t="s">
        <v>49</v>
      </c>
      <c r="E13" s="11" t="s">
        <v>65</v>
      </c>
      <c r="F13" s="9" t="s">
        <v>51</v>
      </c>
      <c r="G13" s="11" t="s">
        <v>65</v>
      </c>
      <c r="H13" s="10" t="s">
        <v>53</v>
      </c>
      <c r="I13" s="9" t="s">
        <v>54</v>
      </c>
      <c r="J13" s="10" t="s">
        <v>41</v>
      </c>
      <c r="K13" s="11" t="s">
        <v>56</v>
      </c>
      <c r="L13" s="10" t="s">
        <v>41</v>
      </c>
      <c r="M13" s="9" t="s">
        <v>57</v>
      </c>
      <c r="N13" s="10" t="s">
        <v>58</v>
      </c>
      <c r="O13" s="9" t="s">
        <v>40</v>
      </c>
      <c r="P13" s="10" t="s">
        <v>58</v>
      </c>
      <c r="Q13" s="9" t="s">
        <v>40</v>
      </c>
      <c r="R13" s="10" t="s">
        <v>41</v>
      </c>
      <c r="S13" s="9" t="s">
        <v>40</v>
      </c>
      <c r="T13" s="10" t="s">
        <v>41</v>
      </c>
      <c r="U13" s="9" t="s">
        <v>40</v>
      </c>
      <c r="V13" s="10" t="s">
        <v>41</v>
      </c>
      <c r="W13" s="9" t="s">
        <v>40</v>
      </c>
      <c r="X13" s="10" t="s">
        <v>41</v>
      </c>
      <c r="Y13" s="9" t="s">
        <v>40</v>
      </c>
      <c r="Z13" s="10" t="s">
        <v>41</v>
      </c>
      <c r="AA13" s="9" t="s">
        <v>66</v>
      </c>
      <c r="AB13" s="9" t="s">
        <v>42</v>
      </c>
      <c r="AC13" s="9" t="s">
        <v>40</v>
      </c>
      <c r="AD13" s="10" t="s">
        <v>41</v>
      </c>
      <c r="AE13" s="11" t="s">
        <v>59</v>
      </c>
      <c r="AF13" s="10" t="s">
        <v>41</v>
      </c>
      <c r="AG13" s="9" t="s">
        <v>60</v>
      </c>
      <c r="AH13" s="624"/>
    </row>
    <row r="14" spans="1:34">
      <c r="A14" s="625" t="s">
        <v>68</v>
      </c>
      <c r="B14" s="626" t="s">
        <v>69</v>
      </c>
      <c r="C14" s="12" t="s">
        <v>70</v>
      </c>
      <c r="D14" s="13" t="s">
        <v>71</v>
      </c>
      <c r="E14" s="12" t="s">
        <v>70</v>
      </c>
      <c r="F14" s="12" t="s">
        <v>70</v>
      </c>
      <c r="G14" s="14" t="s">
        <v>70</v>
      </c>
      <c r="H14" s="13" t="s">
        <v>71</v>
      </c>
      <c r="I14" s="12" t="s">
        <v>70</v>
      </c>
      <c r="J14" s="15" t="s">
        <v>72</v>
      </c>
      <c r="K14" s="15" t="s">
        <v>73</v>
      </c>
      <c r="L14" s="15" t="s">
        <v>73</v>
      </c>
      <c r="M14" s="12" t="s">
        <v>70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626">
        <v>11</v>
      </c>
    </row>
    <row r="15" spans="1:34">
      <c r="A15" s="617"/>
      <c r="B15" s="618"/>
      <c r="C15" s="17" t="s">
        <v>74</v>
      </c>
      <c r="D15" s="18" t="s">
        <v>75</v>
      </c>
      <c r="E15" s="17" t="s">
        <v>76</v>
      </c>
      <c r="F15" s="17" t="s">
        <v>77</v>
      </c>
      <c r="G15" s="19" t="s">
        <v>78</v>
      </c>
      <c r="H15" s="18" t="s">
        <v>79</v>
      </c>
      <c r="I15" s="17" t="s">
        <v>80</v>
      </c>
      <c r="J15" s="20" t="s">
        <v>81</v>
      </c>
      <c r="K15" s="20" t="s">
        <v>81</v>
      </c>
      <c r="L15" s="20" t="s">
        <v>82</v>
      </c>
      <c r="M15" s="17" t="s">
        <v>83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618"/>
    </row>
    <row r="16" spans="1:34">
      <c r="A16" s="617" t="s">
        <v>84</v>
      </c>
      <c r="B16" s="618" t="s">
        <v>85</v>
      </c>
      <c r="C16" s="21" t="s">
        <v>70</v>
      </c>
      <c r="D16" s="22" t="s">
        <v>73</v>
      </c>
      <c r="E16" s="22" t="s">
        <v>73</v>
      </c>
      <c r="F16" s="22" t="s">
        <v>73</v>
      </c>
      <c r="G16" s="22" t="s">
        <v>73</v>
      </c>
      <c r="H16" s="22" t="s">
        <v>73</v>
      </c>
      <c r="I16" s="22" t="s">
        <v>73</v>
      </c>
      <c r="J16" s="22" t="s">
        <v>73</v>
      </c>
      <c r="K16" s="23" t="s">
        <v>70</v>
      </c>
      <c r="L16" s="23" t="s">
        <v>70</v>
      </c>
      <c r="M16" s="22" t="s">
        <v>73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618">
        <v>11</v>
      </c>
    </row>
    <row r="17" spans="1:34">
      <c r="A17" s="617"/>
      <c r="B17" s="618"/>
      <c r="C17" s="19" t="s">
        <v>74</v>
      </c>
      <c r="D17" s="20" t="s">
        <v>86</v>
      </c>
      <c r="E17" s="20" t="s">
        <v>87</v>
      </c>
      <c r="F17" s="20" t="s">
        <v>88</v>
      </c>
      <c r="G17" s="20" t="s">
        <v>89</v>
      </c>
      <c r="H17" s="20" t="s">
        <v>90</v>
      </c>
      <c r="I17" s="20" t="s">
        <v>81</v>
      </c>
      <c r="J17" s="20" t="s">
        <v>91</v>
      </c>
      <c r="K17" s="17" t="s">
        <v>92</v>
      </c>
      <c r="L17" s="17" t="s">
        <v>93</v>
      </c>
      <c r="M17" s="20" t="s">
        <v>94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618"/>
    </row>
    <row r="18" spans="1:34">
      <c r="A18" s="617" t="s">
        <v>84</v>
      </c>
      <c r="B18" s="618" t="s">
        <v>95</v>
      </c>
      <c r="C18" s="22" t="s">
        <v>73</v>
      </c>
      <c r="D18" s="22" t="s">
        <v>73</v>
      </c>
      <c r="E18" s="22" t="s">
        <v>73</v>
      </c>
      <c r="F18" s="22" t="s">
        <v>73</v>
      </c>
      <c r="G18" s="22" t="s">
        <v>73</v>
      </c>
      <c r="H18" s="22" t="s">
        <v>73</v>
      </c>
      <c r="I18" s="22" t="s">
        <v>73</v>
      </c>
      <c r="J18" s="22" t="s">
        <v>73</v>
      </c>
      <c r="K18" s="23" t="s">
        <v>70</v>
      </c>
      <c r="L18" s="23" t="s">
        <v>70</v>
      </c>
      <c r="M18" s="22" t="s">
        <v>73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18">
        <v>11</v>
      </c>
    </row>
    <row r="19" spans="1:34">
      <c r="A19" s="617"/>
      <c r="B19" s="618"/>
      <c r="C19" s="20" t="s">
        <v>96</v>
      </c>
      <c r="D19" s="20" t="s">
        <v>97</v>
      </c>
      <c r="E19" s="20" t="s">
        <v>98</v>
      </c>
      <c r="F19" s="20" t="s">
        <v>98</v>
      </c>
      <c r="G19" s="20" t="s">
        <v>99</v>
      </c>
      <c r="H19" s="20" t="s">
        <v>90</v>
      </c>
      <c r="I19" s="20" t="s">
        <v>81</v>
      </c>
      <c r="J19" s="20" t="s">
        <v>91</v>
      </c>
      <c r="K19" s="17" t="s">
        <v>92</v>
      </c>
      <c r="L19" s="17" t="s">
        <v>93</v>
      </c>
      <c r="M19" s="20" t="s">
        <v>94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18"/>
    </row>
    <row r="20" spans="1:34">
      <c r="A20" s="617" t="s">
        <v>84</v>
      </c>
      <c r="B20" s="618" t="s">
        <v>100</v>
      </c>
      <c r="C20" s="22" t="s">
        <v>73</v>
      </c>
      <c r="D20" s="22" t="s">
        <v>73</v>
      </c>
      <c r="E20" s="22" t="s">
        <v>73</v>
      </c>
      <c r="F20" s="22" t="s">
        <v>73</v>
      </c>
      <c r="G20" s="22" t="s">
        <v>73</v>
      </c>
      <c r="H20" s="24" t="s">
        <v>101</v>
      </c>
      <c r="I20" s="21" t="s">
        <v>102</v>
      </c>
      <c r="J20" s="22" t="s">
        <v>73</v>
      </c>
      <c r="K20" s="23" t="s">
        <v>70</v>
      </c>
      <c r="L20" s="23" t="s">
        <v>70</v>
      </c>
      <c r="M20" s="22" t="s">
        <v>73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618">
        <v>11</v>
      </c>
    </row>
    <row r="21" spans="1:34">
      <c r="A21" s="617"/>
      <c r="B21" s="618"/>
      <c r="C21" s="20" t="s">
        <v>96</v>
      </c>
      <c r="D21" s="20" t="s">
        <v>97</v>
      </c>
      <c r="E21" s="20" t="s">
        <v>87</v>
      </c>
      <c r="F21" s="20" t="s">
        <v>98</v>
      </c>
      <c r="G21" s="20" t="s">
        <v>103</v>
      </c>
      <c r="H21" s="25" t="s">
        <v>104</v>
      </c>
      <c r="I21" s="19" t="s">
        <v>105</v>
      </c>
      <c r="J21" s="20" t="s">
        <v>91</v>
      </c>
      <c r="K21" s="17" t="s">
        <v>92</v>
      </c>
      <c r="L21" s="17" t="s">
        <v>93</v>
      </c>
      <c r="M21" s="20" t="s">
        <v>94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618"/>
    </row>
    <row r="22" spans="1:34">
      <c r="A22" s="617" t="s">
        <v>84</v>
      </c>
      <c r="B22" s="618" t="s">
        <v>106</v>
      </c>
      <c r="C22" s="22" t="s">
        <v>73</v>
      </c>
      <c r="D22" s="22" t="s">
        <v>73</v>
      </c>
      <c r="E22" s="22" t="s">
        <v>73</v>
      </c>
      <c r="F22" s="22" t="s">
        <v>73</v>
      </c>
      <c r="G22" s="22" t="s">
        <v>73</v>
      </c>
      <c r="H22" s="24" t="s">
        <v>101</v>
      </c>
      <c r="I22" s="21" t="s">
        <v>102</v>
      </c>
      <c r="J22" s="22" t="s">
        <v>73</v>
      </c>
      <c r="K22" s="23" t="s">
        <v>70</v>
      </c>
      <c r="L22" s="23" t="s">
        <v>70</v>
      </c>
      <c r="M22" s="22" t="s">
        <v>73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618">
        <v>11</v>
      </c>
    </row>
    <row r="23" spans="1:34">
      <c r="A23" s="617"/>
      <c r="B23" s="618"/>
      <c r="C23" s="20" t="s">
        <v>96</v>
      </c>
      <c r="D23" s="20" t="s">
        <v>97</v>
      </c>
      <c r="E23" s="20" t="s">
        <v>87</v>
      </c>
      <c r="F23" s="20" t="s">
        <v>98</v>
      </c>
      <c r="G23" s="20" t="s">
        <v>103</v>
      </c>
      <c r="H23" s="25" t="s">
        <v>104</v>
      </c>
      <c r="I23" s="19" t="s">
        <v>105</v>
      </c>
      <c r="J23" s="20" t="s">
        <v>91</v>
      </c>
      <c r="K23" s="17" t="s">
        <v>92</v>
      </c>
      <c r="L23" s="17" t="s">
        <v>93</v>
      </c>
      <c r="M23" s="20" t="s">
        <v>94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618"/>
    </row>
    <row r="24" spans="1:34">
      <c r="A24" s="617" t="s">
        <v>84</v>
      </c>
      <c r="B24" s="618" t="s">
        <v>107</v>
      </c>
      <c r="C24" s="22" t="s">
        <v>73</v>
      </c>
      <c r="D24" s="22" t="s">
        <v>73</v>
      </c>
      <c r="E24" s="22" t="s">
        <v>73</v>
      </c>
      <c r="F24" s="22" t="s">
        <v>73</v>
      </c>
      <c r="G24" s="22" t="s">
        <v>73</v>
      </c>
      <c r="H24" s="24" t="s">
        <v>101</v>
      </c>
      <c r="I24" s="21" t="s">
        <v>102</v>
      </c>
      <c r="J24" s="22" t="s">
        <v>73</v>
      </c>
      <c r="K24" s="23" t="s">
        <v>70</v>
      </c>
      <c r="L24" s="23" t="s">
        <v>70</v>
      </c>
      <c r="M24" s="22" t="s">
        <v>73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618">
        <v>11</v>
      </c>
    </row>
    <row r="25" spans="1:34">
      <c r="A25" s="617"/>
      <c r="B25" s="618"/>
      <c r="C25" s="20" t="s">
        <v>96</v>
      </c>
      <c r="D25" s="20" t="s">
        <v>97</v>
      </c>
      <c r="E25" s="20" t="s">
        <v>87</v>
      </c>
      <c r="F25" s="20" t="s">
        <v>98</v>
      </c>
      <c r="G25" s="20" t="s">
        <v>103</v>
      </c>
      <c r="H25" s="25" t="s">
        <v>104</v>
      </c>
      <c r="I25" s="19" t="s">
        <v>105</v>
      </c>
      <c r="J25" s="20" t="s">
        <v>91</v>
      </c>
      <c r="K25" s="17" t="s">
        <v>92</v>
      </c>
      <c r="L25" s="17" t="s">
        <v>93</v>
      </c>
      <c r="M25" s="20" t="s">
        <v>94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618"/>
    </row>
    <row r="26" spans="1:34">
      <c r="A26" s="617" t="s">
        <v>84</v>
      </c>
      <c r="B26" s="618" t="s">
        <v>108</v>
      </c>
      <c r="C26" s="22" t="s">
        <v>73</v>
      </c>
      <c r="D26" s="22" t="s">
        <v>73</v>
      </c>
      <c r="E26" s="22" t="s">
        <v>73</v>
      </c>
      <c r="F26" s="22" t="s">
        <v>73</v>
      </c>
      <c r="G26" s="22" t="s">
        <v>73</v>
      </c>
      <c r="H26" s="24" t="s">
        <v>101</v>
      </c>
      <c r="I26" s="21" t="s">
        <v>102</v>
      </c>
      <c r="J26" s="22" t="s">
        <v>73</v>
      </c>
      <c r="K26" s="23" t="s">
        <v>70</v>
      </c>
      <c r="L26" s="23" t="s">
        <v>70</v>
      </c>
      <c r="M26" s="22" t="s">
        <v>73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618">
        <v>11</v>
      </c>
    </row>
    <row r="27" spans="1:34">
      <c r="A27" s="617"/>
      <c r="B27" s="618"/>
      <c r="C27" s="20" t="s">
        <v>96</v>
      </c>
      <c r="D27" s="20" t="s">
        <v>97</v>
      </c>
      <c r="E27" s="20" t="s">
        <v>87</v>
      </c>
      <c r="F27" s="20" t="s">
        <v>98</v>
      </c>
      <c r="G27" s="20" t="s">
        <v>103</v>
      </c>
      <c r="H27" s="25" t="s">
        <v>104</v>
      </c>
      <c r="I27" s="19" t="s">
        <v>105</v>
      </c>
      <c r="J27" s="20" t="s">
        <v>91</v>
      </c>
      <c r="K27" s="17" t="s">
        <v>92</v>
      </c>
      <c r="L27" s="17" t="s">
        <v>93</v>
      </c>
      <c r="M27" s="20" t="s">
        <v>94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618"/>
    </row>
    <row r="28" spans="1:34">
      <c r="A28" s="617" t="s">
        <v>84</v>
      </c>
      <c r="B28" s="618" t="s">
        <v>109</v>
      </c>
      <c r="C28" s="22" t="s">
        <v>73</v>
      </c>
      <c r="D28" s="26" t="s">
        <v>71</v>
      </c>
      <c r="E28" s="23" t="s">
        <v>70</v>
      </c>
      <c r="F28" s="23" t="s">
        <v>70</v>
      </c>
      <c r="G28" s="24" t="s">
        <v>101</v>
      </c>
      <c r="H28" s="21" t="s">
        <v>102</v>
      </c>
      <c r="I28" s="23" t="s">
        <v>70</v>
      </c>
      <c r="J28" s="22" t="s">
        <v>73</v>
      </c>
      <c r="K28" s="8"/>
      <c r="L28" s="8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618">
        <v>8</v>
      </c>
    </row>
    <row r="29" spans="1:34">
      <c r="A29" s="617"/>
      <c r="B29" s="618"/>
      <c r="C29" s="20" t="s">
        <v>96</v>
      </c>
      <c r="D29" s="18" t="s">
        <v>75</v>
      </c>
      <c r="E29" s="17" t="s">
        <v>76</v>
      </c>
      <c r="F29" s="17" t="s">
        <v>110</v>
      </c>
      <c r="G29" s="25" t="s">
        <v>111</v>
      </c>
      <c r="H29" s="19" t="s">
        <v>112</v>
      </c>
      <c r="I29" s="17" t="s">
        <v>93</v>
      </c>
      <c r="J29" s="20" t="s">
        <v>94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618"/>
    </row>
    <row r="30" spans="1:34">
      <c r="A30" s="617" t="s">
        <v>84</v>
      </c>
      <c r="B30" s="618" t="s">
        <v>113</v>
      </c>
      <c r="C30" s="22" t="s">
        <v>73</v>
      </c>
      <c r="D30" s="26" t="s">
        <v>71</v>
      </c>
      <c r="E30" s="23" t="s">
        <v>70</v>
      </c>
      <c r="F30" s="23" t="s">
        <v>70</v>
      </c>
      <c r="G30" s="24" t="s">
        <v>101</v>
      </c>
      <c r="H30" s="23" t="s">
        <v>70</v>
      </c>
      <c r="I30" s="22" t="s">
        <v>73</v>
      </c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618">
        <v>7</v>
      </c>
    </row>
    <row r="31" spans="1:34">
      <c r="A31" s="617"/>
      <c r="B31" s="618"/>
      <c r="C31" s="20" t="s">
        <v>96</v>
      </c>
      <c r="D31" s="18" t="s">
        <v>75</v>
      </c>
      <c r="E31" s="17" t="s">
        <v>76</v>
      </c>
      <c r="F31" s="17" t="s">
        <v>110</v>
      </c>
      <c r="G31" s="25" t="s">
        <v>114</v>
      </c>
      <c r="H31" s="17" t="s">
        <v>93</v>
      </c>
      <c r="I31" s="20" t="s">
        <v>94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618"/>
    </row>
    <row r="32" spans="1:34">
      <c r="A32" s="1" t="s">
        <v>115</v>
      </c>
      <c r="B32" s="1" t="s">
        <v>116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" customHeight="1">
      <c r="A33" s="1"/>
      <c r="B33" s="1" t="s">
        <v>117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6" thickBot="1"/>
    <row r="35" spans="1:34" ht="16" thickBot="1">
      <c r="A35" s="627" t="s">
        <v>118</v>
      </c>
      <c r="B35" s="627"/>
      <c r="C35" s="627"/>
      <c r="D35" s="627"/>
      <c r="F35" s="627" t="s">
        <v>119</v>
      </c>
      <c r="G35" s="627"/>
      <c r="H35" s="628"/>
      <c r="I35" s="627"/>
      <c r="J35" s="627"/>
      <c r="K35" s="27"/>
    </row>
    <row r="36" spans="1:34" ht="16" thickBot="1">
      <c r="A36" s="28" t="s">
        <v>120</v>
      </c>
      <c r="B36" s="29" t="s">
        <v>121</v>
      </c>
      <c r="C36" s="30" t="s">
        <v>122</v>
      </c>
      <c r="D36" s="31" t="s">
        <v>123</v>
      </c>
      <c r="F36" s="627" t="s">
        <v>120</v>
      </c>
      <c r="G36" s="629"/>
      <c r="H36" s="32" t="s">
        <v>124</v>
      </c>
      <c r="I36" s="36" t="s">
        <v>125</v>
      </c>
      <c r="J36" s="33" t="s">
        <v>73</v>
      </c>
      <c r="K36" s="34" t="s">
        <v>101</v>
      </c>
    </row>
    <row r="37" spans="1:34" ht="16" thickBot="1">
      <c r="A37" s="28" t="s">
        <v>126</v>
      </c>
      <c r="B37" s="29" t="s">
        <v>127</v>
      </c>
      <c r="C37" s="30" t="s">
        <v>128</v>
      </c>
      <c r="D37" s="31" t="s">
        <v>129</v>
      </c>
      <c r="F37" s="627" t="s">
        <v>126</v>
      </c>
      <c r="G37" s="629"/>
      <c r="H37" s="35" t="s">
        <v>130</v>
      </c>
      <c r="I37" s="36" t="s">
        <v>131</v>
      </c>
      <c r="J37" s="33" t="s">
        <v>132</v>
      </c>
      <c r="K37" s="34" t="s">
        <v>133</v>
      </c>
    </row>
    <row r="38" spans="1:34" ht="17" customHeight="1" thickBot="1">
      <c r="A38" s="28" t="s">
        <v>195</v>
      </c>
      <c r="B38" s="68">
        <f>SUMPRODUCT(C46:C50,D46:D50)/B39</f>
        <v>210.38</v>
      </c>
      <c r="C38" s="69">
        <f>SUMPRODUCT(C51:C60,D51:D60)/C39</f>
        <v>277.22727272727275</v>
      </c>
      <c r="D38" s="70">
        <f>SUMPRODUCT(C61:C69,D61:D69)/D39</f>
        <v>358.21739130434781</v>
      </c>
      <c r="F38" s="629" t="s">
        <v>195</v>
      </c>
      <c r="G38" s="636"/>
      <c r="H38" s="71">
        <f>SUMPRODUCT(H46:H47,I46:I47)/H39</f>
        <v>380</v>
      </c>
      <c r="I38" s="72">
        <f>SUMPRODUCT(H48:H58,I48:I58)/I39</f>
        <v>487.23333333333335</v>
      </c>
      <c r="J38" s="73">
        <f>SUMPRODUCT(H59:H71,I59:I71)/J39</f>
        <v>728.44230769230774</v>
      </c>
      <c r="K38" s="74">
        <f>SUMPRODUCT(H72:H74,I72:I74)/K39</f>
        <v>1063.1666666666667</v>
      </c>
    </row>
    <row r="39" spans="1:34" ht="16" thickBot="1">
      <c r="A39" s="28" t="s">
        <v>134</v>
      </c>
      <c r="B39" s="37">
        <v>50</v>
      </c>
      <c r="C39" s="38">
        <v>66</v>
      </c>
      <c r="D39" s="39">
        <v>23</v>
      </c>
      <c r="F39" s="627" t="s">
        <v>134</v>
      </c>
      <c r="G39" s="629"/>
      <c r="H39" s="40">
        <v>4</v>
      </c>
      <c r="I39" s="41">
        <v>30</v>
      </c>
      <c r="J39" s="42">
        <v>52</v>
      </c>
      <c r="K39" s="43">
        <v>6</v>
      </c>
    </row>
    <row r="40" spans="1:34" ht="16" thickBot="1">
      <c r="A40" s="28" t="s">
        <v>135</v>
      </c>
      <c r="B40" s="44">
        <f>B39/B41</f>
        <v>0.35971223021582732</v>
      </c>
      <c r="C40" s="45">
        <f>C39/B41</f>
        <v>0.47482014388489208</v>
      </c>
      <c r="D40" s="46">
        <f>D39/B41</f>
        <v>0.16546762589928057</v>
      </c>
      <c r="F40" s="627" t="s">
        <v>135</v>
      </c>
      <c r="G40" s="627"/>
      <c r="H40" s="47">
        <f>H39/H41</f>
        <v>4.3478260869565216E-2</v>
      </c>
      <c r="I40" s="48">
        <f>I39/H41</f>
        <v>0.32608695652173914</v>
      </c>
      <c r="J40" s="49">
        <f>J39/H41</f>
        <v>0.56521739130434778</v>
      </c>
      <c r="K40" s="50">
        <f>K39/H41</f>
        <v>6.5217391304347824E-2</v>
      </c>
    </row>
    <row r="41" spans="1:34" ht="16" thickBot="1">
      <c r="A41" s="28" t="s">
        <v>136</v>
      </c>
      <c r="B41" s="627">
        <f>SUM(B39:D39)</f>
        <v>139</v>
      </c>
      <c r="C41" s="627"/>
      <c r="D41" s="627"/>
      <c r="F41" s="627" t="s">
        <v>136</v>
      </c>
      <c r="G41" s="627"/>
      <c r="H41" s="629">
        <f>SUM(H39:K39)</f>
        <v>92</v>
      </c>
      <c r="I41" s="637"/>
      <c r="J41" s="637"/>
      <c r="K41" s="636"/>
    </row>
    <row r="42" spans="1:34">
      <c r="L42" s="2" t="s">
        <v>137</v>
      </c>
    </row>
    <row r="43" spans="1:34" ht="16" thickBot="1"/>
    <row r="44" spans="1:34" ht="17" customHeight="1" thickBot="1">
      <c r="B44" s="633" t="s">
        <v>170</v>
      </c>
      <c r="C44" s="634"/>
      <c r="D44" s="634"/>
      <c r="E44" s="635"/>
      <c r="G44" s="633" t="s">
        <v>172</v>
      </c>
      <c r="H44" s="634"/>
      <c r="I44" s="634"/>
      <c r="J44" s="635"/>
    </row>
    <row r="45" spans="1:34" ht="16" thickBot="1">
      <c r="B45" s="62" t="s">
        <v>120</v>
      </c>
      <c r="C45" s="63" t="s">
        <v>126</v>
      </c>
      <c r="D45" s="63" t="s">
        <v>171</v>
      </c>
      <c r="E45" s="53" t="s">
        <v>155</v>
      </c>
      <c r="G45" s="62" t="s">
        <v>120</v>
      </c>
      <c r="H45" s="63" t="s">
        <v>126</v>
      </c>
      <c r="I45" s="63" t="s">
        <v>173</v>
      </c>
      <c r="J45" s="55" t="s">
        <v>175</v>
      </c>
    </row>
    <row r="46" spans="1:34">
      <c r="B46" s="638" t="s">
        <v>121</v>
      </c>
      <c r="C46" s="56">
        <v>188</v>
      </c>
      <c r="D46" s="56">
        <f>COUNTIF($C$4:$AG$13,C46&amp;" sqft")</f>
        <v>8</v>
      </c>
      <c r="E46" s="52"/>
      <c r="G46" s="647" t="s">
        <v>174</v>
      </c>
      <c r="H46" s="56">
        <v>375</v>
      </c>
      <c r="I46" s="56">
        <f t="shared" ref="I46:I51" si="0">COUNTIF($C$14:$M$31,H46&amp;" sqft")</f>
        <v>3</v>
      </c>
      <c r="J46" s="52"/>
    </row>
    <row r="47" spans="1:34">
      <c r="B47" s="639"/>
      <c r="C47" s="57">
        <v>202</v>
      </c>
      <c r="D47" s="57">
        <f t="shared" ref="D47:D57" si="1">COUNTIF($C$4:$AG$13,C47&amp;" sqft")</f>
        <v>4</v>
      </c>
      <c r="E47" s="52"/>
      <c r="G47" s="648"/>
      <c r="H47" s="16">
        <v>395</v>
      </c>
      <c r="I47" s="16">
        <f t="shared" si="0"/>
        <v>1</v>
      </c>
      <c r="J47" s="59"/>
    </row>
    <row r="48" spans="1:34">
      <c r="B48" s="639"/>
      <c r="C48" s="57">
        <v>205</v>
      </c>
      <c r="D48" s="57">
        <f t="shared" si="1"/>
        <v>1</v>
      </c>
      <c r="E48" s="52"/>
      <c r="G48" s="649" t="s">
        <v>70</v>
      </c>
      <c r="H48" s="60">
        <v>444</v>
      </c>
      <c r="I48" s="60">
        <f t="shared" si="0"/>
        <v>6</v>
      </c>
      <c r="J48" s="61"/>
    </row>
    <row r="49" spans="2:10">
      <c r="B49" s="639"/>
      <c r="C49" s="57">
        <v>216</v>
      </c>
      <c r="D49" s="57">
        <f t="shared" si="1"/>
        <v>36</v>
      </c>
      <c r="E49" s="52"/>
      <c r="G49" s="650"/>
      <c r="H49" s="57">
        <v>447</v>
      </c>
      <c r="I49" s="57">
        <f t="shared" si="0"/>
        <v>1</v>
      </c>
      <c r="J49" s="52"/>
    </row>
    <row r="50" spans="2:10">
      <c r="B50" s="640"/>
      <c r="C50" s="16">
        <v>226</v>
      </c>
      <c r="D50" s="16">
        <f t="shared" si="1"/>
        <v>1</v>
      </c>
      <c r="E50" s="59"/>
      <c r="G50" s="650"/>
      <c r="H50" s="57">
        <v>449</v>
      </c>
      <c r="I50" s="57">
        <f t="shared" si="0"/>
        <v>3</v>
      </c>
      <c r="J50" s="52"/>
    </row>
    <row r="51" spans="2:10">
      <c r="B51" s="641" t="s">
        <v>122</v>
      </c>
      <c r="C51" s="57">
        <v>241</v>
      </c>
      <c r="D51" s="57">
        <f t="shared" si="1"/>
        <v>5</v>
      </c>
      <c r="E51" s="52"/>
      <c r="G51" s="650"/>
      <c r="H51" s="57">
        <v>454</v>
      </c>
      <c r="I51" s="57">
        <f t="shared" si="0"/>
        <v>4</v>
      </c>
      <c r="J51" s="52"/>
    </row>
    <row r="52" spans="2:10">
      <c r="B52" s="642"/>
      <c r="C52" s="57">
        <v>255</v>
      </c>
      <c r="D52" s="57">
        <f t="shared" si="1"/>
        <v>4</v>
      </c>
      <c r="E52" s="52"/>
      <c r="G52" s="650"/>
      <c r="H52" s="57">
        <v>482</v>
      </c>
      <c r="I52" s="57">
        <f t="shared" ref="I52:I74" si="2">COUNTIF($C$14:$M$31,H52&amp;" sqft")</f>
        <v>8</v>
      </c>
      <c r="J52" s="52"/>
    </row>
    <row r="53" spans="2:10">
      <c r="B53" s="642"/>
      <c r="C53" s="57">
        <v>269</v>
      </c>
      <c r="D53" s="57">
        <f t="shared" si="1"/>
        <v>4</v>
      </c>
      <c r="E53" s="52"/>
      <c r="G53" s="650"/>
      <c r="H53" s="57">
        <v>490</v>
      </c>
      <c r="I53" s="57">
        <f t="shared" si="2"/>
        <v>1</v>
      </c>
      <c r="J53" s="52"/>
    </row>
    <row r="54" spans="2:10">
      <c r="B54" s="642"/>
      <c r="C54" s="57">
        <v>273</v>
      </c>
      <c r="D54" s="57">
        <f t="shared" si="1"/>
        <v>38</v>
      </c>
      <c r="E54" s="52"/>
      <c r="G54" s="650"/>
      <c r="H54" s="57">
        <v>492</v>
      </c>
      <c r="I54" s="57">
        <f t="shared" si="2"/>
        <v>1</v>
      </c>
      <c r="J54" s="52"/>
    </row>
    <row r="55" spans="2:10">
      <c r="B55" s="642"/>
      <c r="C55" s="57">
        <v>280</v>
      </c>
      <c r="D55" s="57">
        <f t="shared" si="1"/>
        <v>1</v>
      </c>
      <c r="E55" s="52"/>
      <c r="G55" s="650"/>
      <c r="H55" s="57">
        <v>494</v>
      </c>
      <c r="I55" s="57">
        <f t="shared" si="2"/>
        <v>1</v>
      </c>
      <c r="J55" s="52"/>
    </row>
    <row r="56" spans="2:10">
      <c r="B56" s="642"/>
      <c r="C56" s="57">
        <v>305</v>
      </c>
      <c r="D56" s="57">
        <f t="shared" si="1"/>
        <v>4</v>
      </c>
      <c r="E56" s="52"/>
      <c r="G56" s="650"/>
      <c r="H56" s="57">
        <v>550</v>
      </c>
      <c r="I56" s="57">
        <f t="shared" si="2"/>
        <v>2</v>
      </c>
      <c r="J56" s="52"/>
    </row>
    <row r="57" spans="2:10">
      <c r="B57" s="642"/>
      <c r="C57" s="57">
        <v>306</v>
      </c>
      <c r="D57" s="57">
        <f t="shared" si="1"/>
        <v>2</v>
      </c>
      <c r="E57" s="52"/>
      <c r="G57" s="650"/>
      <c r="H57" s="57">
        <v>593</v>
      </c>
      <c r="I57" s="57">
        <f t="shared" si="2"/>
        <v>1</v>
      </c>
      <c r="J57" s="52"/>
    </row>
    <row r="58" spans="2:10">
      <c r="B58" s="642"/>
      <c r="C58" s="57">
        <v>314</v>
      </c>
      <c r="D58" s="57">
        <f t="shared" ref="D58:D69" si="3">COUNTIF($C$4:$AG$13,C58&amp;" sqft")</f>
        <v>2</v>
      </c>
      <c r="E58" s="52"/>
      <c r="G58" s="651"/>
      <c r="H58" s="16">
        <v>659</v>
      </c>
      <c r="I58" s="16">
        <f t="shared" si="2"/>
        <v>2</v>
      </c>
      <c r="J58" s="59"/>
    </row>
    <row r="59" spans="2:10">
      <c r="B59" s="642"/>
      <c r="C59" s="57">
        <v>311</v>
      </c>
      <c r="D59" s="57">
        <f t="shared" si="3"/>
        <v>4</v>
      </c>
      <c r="E59" s="52"/>
      <c r="G59" s="652" t="s">
        <v>73</v>
      </c>
      <c r="H59" s="57">
        <v>595</v>
      </c>
      <c r="I59" s="57">
        <f t="shared" si="2"/>
        <v>5</v>
      </c>
      <c r="J59" s="52"/>
    </row>
    <row r="60" spans="2:10">
      <c r="B60" s="643"/>
      <c r="C60" s="16">
        <v>319</v>
      </c>
      <c r="D60" s="16">
        <f t="shared" si="3"/>
        <v>2</v>
      </c>
      <c r="E60" s="59"/>
      <c r="G60" s="652"/>
      <c r="H60" s="57">
        <v>597</v>
      </c>
      <c r="I60" s="57">
        <f t="shared" si="2"/>
        <v>1</v>
      </c>
      <c r="J60" s="52"/>
    </row>
    <row r="61" spans="2:10">
      <c r="B61" s="644" t="s">
        <v>123</v>
      </c>
      <c r="C61" s="57">
        <v>322</v>
      </c>
      <c r="D61" s="57">
        <f t="shared" si="3"/>
        <v>5</v>
      </c>
      <c r="E61" s="52"/>
      <c r="G61" s="652"/>
      <c r="H61" s="57">
        <v>649</v>
      </c>
      <c r="I61" s="57">
        <f t="shared" si="2"/>
        <v>1</v>
      </c>
      <c r="J61" s="52"/>
    </row>
    <row r="62" spans="2:10" ht="16" customHeight="1">
      <c r="B62" s="645"/>
      <c r="C62" s="57">
        <v>336</v>
      </c>
      <c r="D62" s="57">
        <f t="shared" si="3"/>
        <v>4</v>
      </c>
      <c r="E62" s="52"/>
      <c r="G62" s="652"/>
      <c r="H62" s="57">
        <v>660</v>
      </c>
      <c r="I62" s="57">
        <f t="shared" si="2"/>
        <v>1</v>
      </c>
      <c r="J62" s="52"/>
    </row>
    <row r="63" spans="2:10" ht="16" customHeight="1">
      <c r="B63" s="645"/>
      <c r="C63" s="57">
        <v>339</v>
      </c>
      <c r="D63" s="57">
        <f t="shared" si="3"/>
        <v>1</v>
      </c>
      <c r="E63" s="52"/>
      <c r="G63" s="652"/>
      <c r="H63" s="57">
        <v>661</v>
      </c>
      <c r="I63" s="57">
        <f t="shared" si="2"/>
        <v>6</v>
      </c>
      <c r="J63" s="52"/>
    </row>
    <row r="64" spans="2:10" ht="16" customHeight="1">
      <c r="B64" s="645"/>
      <c r="C64" s="57">
        <v>342</v>
      </c>
      <c r="D64" s="57">
        <f t="shared" si="3"/>
        <v>2</v>
      </c>
      <c r="E64" s="52"/>
      <c r="G64" s="652"/>
      <c r="H64" s="57">
        <v>674</v>
      </c>
      <c r="I64" s="57">
        <f t="shared" si="2"/>
        <v>4</v>
      </c>
      <c r="J64" s="52"/>
    </row>
    <row r="65" spans="2:10" ht="16" customHeight="1">
      <c r="B65" s="645"/>
      <c r="C65" s="57">
        <v>348</v>
      </c>
      <c r="D65" s="57">
        <f t="shared" si="3"/>
        <v>1</v>
      </c>
      <c r="E65" s="52"/>
      <c r="G65" s="652"/>
      <c r="H65" s="57">
        <v>682</v>
      </c>
      <c r="I65" s="57">
        <f t="shared" si="2"/>
        <v>6</v>
      </c>
      <c r="J65" s="52"/>
    </row>
    <row r="66" spans="2:10" ht="16" customHeight="1">
      <c r="B66" s="645"/>
      <c r="C66" s="57">
        <v>357</v>
      </c>
      <c r="D66" s="57">
        <f t="shared" si="3"/>
        <v>4</v>
      </c>
      <c r="E66" s="52"/>
      <c r="G66" s="652"/>
      <c r="H66" s="57">
        <v>716</v>
      </c>
      <c r="I66" s="57">
        <f t="shared" si="2"/>
        <v>2</v>
      </c>
      <c r="J66" s="52"/>
    </row>
    <row r="67" spans="2:10" ht="16" customHeight="1">
      <c r="B67" s="645"/>
      <c r="C67" s="57">
        <v>400</v>
      </c>
      <c r="D67" s="57">
        <f t="shared" si="3"/>
        <v>1</v>
      </c>
      <c r="E67" s="52"/>
      <c r="G67" s="652"/>
      <c r="H67" s="57">
        <v>777</v>
      </c>
      <c r="I67" s="57">
        <f t="shared" si="2"/>
        <v>5</v>
      </c>
      <c r="J67" s="52"/>
    </row>
    <row r="68" spans="2:10" ht="16" customHeight="1">
      <c r="B68" s="645"/>
      <c r="C68" s="57">
        <v>402</v>
      </c>
      <c r="D68" s="57">
        <f t="shared" si="3"/>
        <v>1</v>
      </c>
      <c r="E68" s="52"/>
      <c r="G68" s="652"/>
      <c r="H68" s="57">
        <v>785</v>
      </c>
      <c r="I68" s="57">
        <f t="shared" si="2"/>
        <v>8</v>
      </c>
      <c r="J68" s="52"/>
    </row>
    <row r="69" spans="2:10" ht="17" customHeight="1" thickBot="1">
      <c r="B69" s="646"/>
      <c r="C69" s="58">
        <v>421</v>
      </c>
      <c r="D69" s="58">
        <f t="shared" si="3"/>
        <v>4</v>
      </c>
      <c r="E69" s="52"/>
      <c r="G69" s="652"/>
      <c r="H69" s="57">
        <v>810</v>
      </c>
      <c r="I69" s="57">
        <f t="shared" si="2"/>
        <v>2</v>
      </c>
      <c r="J69" s="52"/>
    </row>
    <row r="70" spans="2:10" ht="16" thickBot="1">
      <c r="B70" s="64" t="s">
        <v>176</v>
      </c>
      <c r="C70" s="65">
        <f>SUMPRODUCT(C46:C69,D46:D69)/D70</f>
        <v>266.58273381294964</v>
      </c>
      <c r="D70" s="66">
        <f>SUM(D46:D69)</f>
        <v>139</v>
      </c>
      <c r="E70" s="54"/>
      <c r="G70" s="652"/>
      <c r="H70" s="57">
        <v>813</v>
      </c>
      <c r="I70" s="57">
        <f t="shared" si="2"/>
        <v>7</v>
      </c>
      <c r="J70" s="52"/>
    </row>
    <row r="71" spans="2:10">
      <c r="G71" s="653"/>
      <c r="H71" s="16">
        <v>834</v>
      </c>
      <c r="I71" s="16">
        <f t="shared" si="2"/>
        <v>4</v>
      </c>
      <c r="J71" s="59"/>
    </row>
    <row r="72" spans="2:10">
      <c r="G72" s="630" t="s">
        <v>101</v>
      </c>
      <c r="H72" s="57">
        <v>929</v>
      </c>
      <c r="I72" s="57">
        <f t="shared" si="2"/>
        <v>1</v>
      </c>
      <c r="J72" s="52"/>
    </row>
    <row r="73" spans="2:10" ht="16" customHeight="1">
      <c r="G73" s="631"/>
      <c r="H73" s="57">
        <v>950</v>
      </c>
      <c r="I73" s="57">
        <f t="shared" si="2"/>
        <v>4</v>
      </c>
      <c r="J73" s="52"/>
    </row>
    <row r="74" spans="2:10" ht="17" customHeight="1" thickBot="1">
      <c r="G74" s="632"/>
      <c r="H74" s="58">
        <v>1650</v>
      </c>
      <c r="I74" s="58">
        <f t="shared" si="2"/>
        <v>1</v>
      </c>
      <c r="J74" s="52"/>
    </row>
    <row r="75" spans="2:10" ht="16" thickBot="1">
      <c r="G75" s="64" t="s">
        <v>176</v>
      </c>
      <c r="H75" s="65">
        <f>SUMPRODUCT(H46:H74,I46:I74)/I75</f>
        <v>656.46739130434787</v>
      </c>
      <c r="I75" s="66">
        <f>SUM(I46:I74)</f>
        <v>92</v>
      </c>
      <c r="J75" s="54"/>
    </row>
  </sheetData>
  <mergeCells count="63">
    <mergeCell ref="G72:G74"/>
    <mergeCell ref="B44:E44"/>
    <mergeCell ref="G44:J44"/>
    <mergeCell ref="F38:G38"/>
    <mergeCell ref="B41:D41"/>
    <mergeCell ref="F41:G41"/>
    <mergeCell ref="H41:K41"/>
    <mergeCell ref="B46:B50"/>
    <mergeCell ref="B51:B60"/>
    <mergeCell ref="B61:B69"/>
    <mergeCell ref="G46:G47"/>
    <mergeCell ref="G48:G58"/>
    <mergeCell ref="G59:G71"/>
    <mergeCell ref="F40:G40"/>
    <mergeCell ref="A35:D35"/>
    <mergeCell ref="F35:J35"/>
    <mergeCell ref="F36:G36"/>
    <mergeCell ref="F37:G37"/>
    <mergeCell ref="F39:G39"/>
    <mergeCell ref="A28:A29"/>
    <mergeCell ref="B28:B29"/>
    <mergeCell ref="AH28:AH29"/>
    <mergeCell ref="A30:A31"/>
    <mergeCell ref="B30:B31"/>
    <mergeCell ref="AH30:AH31"/>
    <mergeCell ref="A24:A25"/>
    <mergeCell ref="B24:B25"/>
    <mergeCell ref="AH24:AH25"/>
    <mergeCell ref="A26:A27"/>
    <mergeCell ref="B26:B27"/>
    <mergeCell ref="AH26:AH27"/>
    <mergeCell ref="A20:A21"/>
    <mergeCell ref="B20:B21"/>
    <mergeCell ref="AH20:AH21"/>
    <mergeCell ref="A22:A23"/>
    <mergeCell ref="B22:B23"/>
    <mergeCell ref="AH22:AH23"/>
    <mergeCell ref="A16:A17"/>
    <mergeCell ref="B16:B17"/>
    <mergeCell ref="AH16:AH17"/>
    <mergeCell ref="A18:A19"/>
    <mergeCell ref="B18:B19"/>
    <mergeCell ref="AH18:AH19"/>
    <mergeCell ref="A12:A13"/>
    <mergeCell ref="B12:B13"/>
    <mergeCell ref="AH12:AH13"/>
    <mergeCell ref="A14:A15"/>
    <mergeCell ref="B14:B15"/>
    <mergeCell ref="AH14:AH15"/>
    <mergeCell ref="A8:A9"/>
    <mergeCell ref="B8:B9"/>
    <mergeCell ref="AH8:AH9"/>
    <mergeCell ref="A10:A11"/>
    <mergeCell ref="B10:B11"/>
    <mergeCell ref="AH10:AH11"/>
    <mergeCell ref="A6:A7"/>
    <mergeCell ref="B6:B7"/>
    <mergeCell ref="AH6:AH7"/>
    <mergeCell ref="A1:AG1"/>
    <mergeCell ref="A2:AH2"/>
    <mergeCell ref="A4:A5"/>
    <mergeCell ref="B4:B5"/>
    <mergeCell ref="AH4:AH5"/>
  </mergeCells>
  <phoneticPr fontId="8" type="noConversion"/>
  <pageMargins left="0.25" right="0.25" top="0.75" bottom="0.75" header="0.3" footer="0.3"/>
  <pageSetup paperSize="3" scale="6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9007-5D97-F04D-9014-0A632509E887}">
  <dimension ref="C4:M23"/>
  <sheetViews>
    <sheetView workbookViewId="0">
      <selection activeCell="J24" sqref="J24"/>
    </sheetView>
  </sheetViews>
  <sheetFormatPr baseColWidth="10" defaultRowHeight="16"/>
  <cols>
    <col min="3" max="3" width="13.83203125" bestFit="1" customWidth="1"/>
    <col min="4" max="4" width="12.33203125" customWidth="1"/>
    <col min="5" max="5" width="14.5" customWidth="1"/>
    <col min="8" max="8" width="11.83203125" bestFit="1" customWidth="1"/>
  </cols>
  <sheetData>
    <row r="4" spans="3:13" ht="76">
      <c r="C4" s="468" t="s">
        <v>537</v>
      </c>
      <c r="D4" s="468" t="s">
        <v>538</v>
      </c>
      <c r="E4" s="469" t="s">
        <v>539</v>
      </c>
      <c r="F4" s="469" t="s">
        <v>540</v>
      </c>
      <c r="G4" s="469" t="s">
        <v>541</v>
      </c>
      <c r="H4" s="469" t="s">
        <v>542</v>
      </c>
      <c r="I4" s="468" t="s">
        <v>543</v>
      </c>
      <c r="J4" s="468" t="s">
        <v>544</v>
      </c>
      <c r="K4" s="469" t="s">
        <v>545</v>
      </c>
      <c r="L4" s="469" t="s">
        <v>546</v>
      </c>
      <c r="M4" s="469" t="s">
        <v>547</v>
      </c>
    </row>
    <row r="5" spans="3:13">
      <c r="C5" s="461">
        <v>1</v>
      </c>
      <c r="D5" s="462">
        <v>2024</v>
      </c>
      <c r="E5" s="467">
        <f ca="1">E21</f>
        <v>34780421.909286357</v>
      </c>
      <c r="F5" s="467">
        <f ca="1">E23</f>
        <v>1828650</v>
      </c>
      <c r="G5" s="464">
        <v>1</v>
      </c>
      <c r="H5" s="463">
        <f ca="1">(E5-F5)*G5</f>
        <v>32951771.909286357</v>
      </c>
      <c r="I5" s="463">
        <f ca="1">E5-H5</f>
        <v>1828650</v>
      </c>
      <c r="J5" s="465">
        <v>0.12267</v>
      </c>
      <c r="K5" s="463">
        <f ca="1">J5*I5</f>
        <v>224320.49549999999</v>
      </c>
      <c r="L5" s="463">
        <f ca="1">E5*J5</f>
        <v>4266514.3556121578</v>
      </c>
      <c r="M5" s="463">
        <f ca="1">L5-K5</f>
        <v>4042193.8601121577</v>
      </c>
    </row>
    <row r="6" spans="3:13">
      <c r="C6" s="461">
        <f t="shared" ref="C6:D17" si="0">C5+1</f>
        <v>2</v>
      </c>
      <c r="D6" s="462">
        <f t="shared" si="0"/>
        <v>2025</v>
      </c>
      <c r="E6" s="463">
        <f ca="1">E5*(1+3%)</f>
        <v>35823834.566564947</v>
      </c>
      <c r="F6" s="467">
        <f ca="1">F5</f>
        <v>1828650</v>
      </c>
      <c r="G6" s="464">
        <v>1</v>
      </c>
      <c r="H6" s="463">
        <f ca="1">(E6-F6)*G6</f>
        <v>33995184.566564947</v>
      </c>
      <c r="I6" s="463">
        <f ca="1">E6-H6</f>
        <v>1828650</v>
      </c>
      <c r="J6" s="465">
        <f>J5</f>
        <v>0.12267</v>
      </c>
      <c r="K6" s="463">
        <f ca="1">J6*I6</f>
        <v>224320.49549999999</v>
      </c>
      <c r="L6" s="463">
        <f ca="1">E6*J6</f>
        <v>4394509.7862805221</v>
      </c>
      <c r="M6" s="463">
        <f ca="1">L6-K6</f>
        <v>4170189.2907805219</v>
      </c>
    </row>
    <row r="7" spans="3:13">
      <c r="C7" s="461">
        <f t="shared" si="0"/>
        <v>3</v>
      </c>
      <c r="D7" s="462">
        <f t="shared" si="0"/>
        <v>2026</v>
      </c>
      <c r="E7" s="463">
        <f t="shared" ref="E7:E17" ca="1" si="1">E6*(1+3%)</f>
        <v>36898549.603561893</v>
      </c>
      <c r="F7" s="467">
        <f t="shared" ref="F7:F17" ca="1" si="2">F6</f>
        <v>1828650</v>
      </c>
      <c r="G7" s="464">
        <v>1</v>
      </c>
      <c r="H7" s="463">
        <f t="shared" ref="H7:H17" ca="1" si="3">(E7-F7)*G7</f>
        <v>35069899.603561893</v>
      </c>
      <c r="I7" s="463">
        <f t="shared" ref="I7:I17" ca="1" si="4">E7-H7</f>
        <v>1828650</v>
      </c>
      <c r="J7" s="465">
        <f t="shared" ref="J7:J17" si="5">J6</f>
        <v>0.12267</v>
      </c>
      <c r="K7" s="463">
        <f t="shared" ref="K7:K17" ca="1" si="6">J7*I7</f>
        <v>224320.49549999999</v>
      </c>
      <c r="L7" s="463">
        <f t="shared" ref="L7:L17" ca="1" si="7">E7*J7</f>
        <v>4526345.0798689378</v>
      </c>
      <c r="M7" s="463">
        <f t="shared" ref="M7:M17" ca="1" si="8">L7-K7</f>
        <v>4302024.5843689376</v>
      </c>
    </row>
    <row r="8" spans="3:13">
      <c r="C8" s="461">
        <f t="shared" si="0"/>
        <v>4</v>
      </c>
      <c r="D8" s="462">
        <f t="shared" si="0"/>
        <v>2027</v>
      </c>
      <c r="E8" s="463">
        <f t="shared" ca="1" si="1"/>
        <v>38005506.091668747</v>
      </c>
      <c r="F8" s="467">
        <f t="shared" ca="1" si="2"/>
        <v>1828650</v>
      </c>
      <c r="G8" s="464">
        <v>1</v>
      </c>
      <c r="H8" s="463">
        <f t="shared" ca="1" si="3"/>
        <v>36176856.091668747</v>
      </c>
      <c r="I8" s="463">
        <f t="shared" ca="1" si="4"/>
        <v>1828650</v>
      </c>
      <c r="J8" s="465">
        <f t="shared" si="5"/>
        <v>0.12267</v>
      </c>
      <c r="K8" s="463">
        <f t="shared" ca="1" si="6"/>
        <v>224320.49549999999</v>
      </c>
      <c r="L8" s="463">
        <f t="shared" ca="1" si="7"/>
        <v>4662135.4322650051</v>
      </c>
      <c r="M8" s="463">
        <f t="shared" ca="1" si="8"/>
        <v>4437814.9367650049</v>
      </c>
    </row>
    <row r="9" spans="3:13">
      <c r="C9" s="461">
        <f t="shared" si="0"/>
        <v>5</v>
      </c>
      <c r="D9" s="462">
        <f t="shared" si="0"/>
        <v>2028</v>
      </c>
      <c r="E9" s="463">
        <f t="shared" ca="1" si="1"/>
        <v>39145671.274418809</v>
      </c>
      <c r="F9" s="467">
        <f t="shared" ca="1" si="2"/>
        <v>1828650</v>
      </c>
      <c r="G9" s="464">
        <v>1</v>
      </c>
      <c r="H9" s="463">
        <f t="shared" ca="1" si="3"/>
        <v>37317021.274418809</v>
      </c>
      <c r="I9" s="463">
        <f t="shared" ca="1" si="4"/>
        <v>1828650</v>
      </c>
      <c r="J9" s="465">
        <f t="shared" si="5"/>
        <v>0.12267</v>
      </c>
      <c r="K9" s="463">
        <f t="shared" ca="1" si="6"/>
        <v>224320.49549999999</v>
      </c>
      <c r="L9" s="463">
        <f t="shared" ca="1" si="7"/>
        <v>4801999.4952329556</v>
      </c>
      <c r="M9" s="463">
        <f t="shared" ca="1" si="8"/>
        <v>4577678.9997329554</v>
      </c>
    </row>
    <row r="10" spans="3:13">
      <c r="C10" s="461">
        <f t="shared" si="0"/>
        <v>6</v>
      </c>
      <c r="D10" s="462">
        <f t="shared" si="0"/>
        <v>2029</v>
      </c>
      <c r="E10" s="463">
        <f t="shared" ca="1" si="1"/>
        <v>40320041.412651375</v>
      </c>
      <c r="F10" s="467">
        <f t="shared" ca="1" si="2"/>
        <v>1828650</v>
      </c>
      <c r="G10" s="464">
        <v>1</v>
      </c>
      <c r="H10" s="463">
        <f t="shared" ca="1" si="3"/>
        <v>38491391.412651375</v>
      </c>
      <c r="I10" s="463">
        <f t="shared" ca="1" si="4"/>
        <v>1828650</v>
      </c>
      <c r="J10" s="465">
        <f t="shared" si="5"/>
        <v>0.12267</v>
      </c>
      <c r="K10" s="463">
        <f t="shared" ca="1" si="6"/>
        <v>224320.49549999999</v>
      </c>
      <c r="L10" s="463">
        <f t="shared" ca="1" si="7"/>
        <v>4946059.4800899439</v>
      </c>
      <c r="M10" s="463">
        <f t="shared" ca="1" si="8"/>
        <v>4721738.9845899437</v>
      </c>
    </row>
    <row r="11" spans="3:13">
      <c r="C11" s="461">
        <f t="shared" si="0"/>
        <v>7</v>
      </c>
      <c r="D11" s="462">
        <f t="shared" si="0"/>
        <v>2030</v>
      </c>
      <c r="E11" s="463">
        <f t="shared" ca="1" si="1"/>
        <v>41529642.655030914</v>
      </c>
      <c r="F11" s="467">
        <f t="shared" ca="1" si="2"/>
        <v>1828650</v>
      </c>
      <c r="G11" s="464">
        <v>1</v>
      </c>
      <c r="H11" s="463">
        <f t="shared" ca="1" si="3"/>
        <v>39700992.655030914</v>
      </c>
      <c r="I11" s="463">
        <f t="shared" ca="1" si="4"/>
        <v>1828650</v>
      </c>
      <c r="J11" s="465">
        <f>J10</f>
        <v>0.12267</v>
      </c>
      <c r="K11" s="463">
        <f t="shared" ca="1" si="6"/>
        <v>224320.49549999999</v>
      </c>
      <c r="L11" s="463">
        <f t="shared" ca="1" si="7"/>
        <v>5094441.2644926421</v>
      </c>
      <c r="M11" s="463">
        <f t="shared" ca="1" si="8"/>
        <v>4870120.7689926419</v>
      </c>
    </row>
    <row r="12" spans="3:13">
      <c r="C12" s="461">
        <f t="shared" si="0"/>
        <v>8</v>
      </c>
      <c r="D12" s="462">
        <f t="shared" si="0"/>
        <v>2031</v>
      </c>
      <c r="E12" s="463">
        <f t="shared" ca="1" si="1"/>
        <v>42775531.93468184</v>
      </c>
      <c r="F12" s="467">
        <f t="shared" ca="1" si="2"/>
        <v>1828650</v>
      </c>
      <c r="G12" s="464">
        <v>1</v>
      </c>
      <c r="H12" s="463">
        <f t="shared" ca="1" si="3"/>
        <v>40946881.93468184</v>
      </c>
      <c r="I12" s="463">
        <f t="shared" ca="1" si="4"/>
        <v>1828650</v>
      </c>
      <c r="J12" s="465">
        <f t="shared" si="5"/>
        <v>0.12267</v>
      </c>
      <c r="K12" s="463">
        <f t="shared" ca="1" si="6"/>
        <v>224320.49549999999</v>
      </c>
      <c r="L12" s="463">
        <f t="shared" ca="1" si="7"/>
        <v>5247274.5024274215</v>
      </c>
      <c r="M12" s="463">
        <f t="shared" ca="1" si="8"/>
        <v>5022954.0069274213</v>
      </c>
    </row>
    <row r="13" spans="3:13">
      <c r="C13" s="461">
        <f t="shared" si="0"/>
        <v>9</v>
      </c>
      <c r="D13" s="462">
        <f t="shared" si="0"/>
        <v>2032</v>
      </c>
      <c r="E13" s="463">
        <f t="shared" ca="1" si="1"/>
        <v>44058797.892722294</v>
      </c>
      <c r="F13" s="467">
        <f t="shared" ca="1" si="2"/>
        <v>1828650</v>
      </c>
      <c r="G13" s="464">
        <v>1</v>
      </c>
      <c r="H13" s="463">
        <f t="shared" ca="1" si="3"/>
        <v>42230147.892722294</v>
      </c>
      <c r="I13" s="463">
        <f t="shared" ca="1" si="4"/>
        <v>1828650</v>
      </c>
      <c r="J13" s="465">
        <f t="shared" si="5"/>
        <v>0.12267</v>
      </c>
      <c r="K13" s="463">
        <f t="shared" ca="1" si="6"/>
        <v>224320.49549999999</v>
      </c>
      <c r="L13" s="463">
        <f t="shared" ca="1" si="7"/>
        <v>5404692.7375002438</v>
      </c>
      <c r="M13" s="463">
        <f t="shared" ca="1" si="8"/>
        <v>5180372.2420002436</v>
      </c>
    </row>
    <row r="14" spans="3:13">
      <c r="C14" s="461">
        <f t="shared" si="0"/>
        <v>10</v>
      </c>
      <c r="D14" s="462">
        <f t="shared" si="0"/>
        <v>2033</v>
      </c>
      <c r="E14" s="463">
        <f t="shared" ca="1" si="1"/>
        <v>45380561.829503961</v>
      </c>
      <c r="F14" s="467">
        <f t="shared" ca="1" si="2"/>
        <v>1828650</v>
      </c>
      <c r="G14" s="464">
        <v>1</v>
      </c>
      <c r="H14" s="463">
        <f t="shared" ca="1" si="3"/>
        <v>43551911.829503961</v>
      </c>
      <c r="I14" s="463">
        <f t="shared" ca="1" si="4"/>
        <v>1828650</v>
      </c>
      <c r="J14" s="465">
        <f t="shared" si="5"/>
        <v>0.12267</v>
      </c>
      <c r="K14" s="463">
        <f t="shared" ca="1" si="6"/>
        <v>224320.49549999999</v>
      </c>
      <c r="L14" s="463">
        <f t="shared" ca="1" si="7"/>
        <v>5566833.5196252512</v>
      </c>
      <c r="M14" s="463">
        <f t="shared" ca="1" si="8"/>
        <v>5342513.024125251</v>
      </c>
    </row>
    <row r="15" spans="3:13">
      <c r="C15" s="461">
        <f t="shared" si="0"/>
        <v>11</v>
      </c>
      <c r="D15" s="462">
        <f t="shared" si="0"/>
        <v>2034</v>
      </c>
      <c r="E15" s="463">
        <f t="shared" ca="1" si="1"/>
        <v>46741978.684389085</v>
      </c>
      <c r="F15" s="467">
        <f t="shared" ca="1" si="2"/>
        <v>1828650</v>
      </c>
      <c r="G15" s="464">
        <v>1</v>
      </c>
      <c r="H15" s="463">
        <f t="shared" ca="1" si="3"/>
        <v>44913328.684389085</v>
      </c>
      <c r="I15" s="463">
        <f t="shared" ca="1" si="4"/>
        <v>1828650</v>
      </c>
      <c r="J15" s="465">
        <f t="shared" si="5"/>
        <v>0.12267</v>
      </c>
      <c r="K15" s="463">
        <f t="shared" ca="1" si="6"/>
        <v>224320.49549999999</v>
      </c>
      <c r="L15" s="463">
        <f t="shared" ca="1" si="7"/>
        <v>5733838.525214009</v>
      </c>
      <c r="M15" s="463">
        <f t="shared" ca="1" si="8"/>
        <v>5509518.0297140088</v>
      </c>
    </row>
    <row r="16" spans="3:13">
      <c r="C16" s="461">
        <f t="shared" si="0"/>
        <v>12</v>
      </c>
      <c r="D16" s="462">
        <f t="shared" si="0"/>
        <v>2035</v>
      </c>
      <c r="E16" s="463">
        <f t="shared" ca="1" si="1"/>
        <v>48144238.044920757</v>
      </c>
      <c r="F16" s="467">
        <f t="shared" ca="1" si="2"/>
        <v>1828650</v>
      </c>
      <c r="G16" s="464">
        <v>1</v>
      </c>
      <c r="H16" s="463">
        <f t="shared" ca="1" si="3"/>
        <v>46315588.044920757</v>
      </c>
      <c r="I16" s="463">
        <f t="shared" ca="1" si="4"/>
        <v>1828650</v>
      </c>
      <c r="J16" s="465">
        <f t="shared" si="5"/>
        <v>0.12267</v>
      </c>
      <c r="K16" s="463">
        <f t="shared" ca="1" si="6"/>
        <v>224320.49549999999</v>
      </c>
      <c r="L16" s="463">
        <f t="shared" ca="1" si="7"/>
        <v>5905853.6809704294</v>
      </c>
      <c r="M16" s="463">
        <f t="shared" ca="1" si="8"/>
        <v>5681533.1854704292</v>
      </c>
    </row>
    <row r="17" spans="3:13">
      <c r="C17" s="461" t="s">
        <v>548</v>
      </c>
      <c r="D17" s="462">
        <f t="shared" si="0"/>
        <v>2036</v>
      </c>
      <c r="E17" s="463">
        <f t="shared" ca="1" si="1"/>
        <v>49588565.186268382</v>
      </c>
      <c r="F17" s="467">
        <f t="shared" ca="1" si="2"/>
        <v>1828650</v>
      </c>
      <c r="G17" s="464" t="e">
        <f>VLOOKUP(C17,$V$15:$W$54,2,)</f>
        <v>#N/A</v>
      </c>
      <c r="H17" s="463" t="e">
        <f t="shared" ca="1" si="3"/>
        <v>#N/A</v>
      </c>
      <c r="I17" s="463" t="e">
        <f t="shared" ca="1" si="4"/>
        <v>#N/A</v>
      </c>
      <c r="J17" s="465">
        <f t="shared" si="5"/>
        <v>0.12267</v>
      </c>
      <c r="K17" s="463" t="e">
        <f t="shared" ca="1" si="6"/>
        <v>#N/A</v>
      </c>
      <c r="L17" s="463">
        <f t="shared" ca="1" si="7"/>
        <v>6083029.2913995422</v>
      </c>
      <c r="M17" s="463" t="e">
        <f t="shared" ca="1" si="8"/>
        <v>#N/A</v>
      </c>
    </row>
    <row r="19" spans="3:13">
      <c r="D19" s="129" t="s">
        <v>299</v>
      </c>
      <c r="E19" s="129" t="s">
        <v>136</v>
      </c>
    </row>
    <row r="20" spans="3:13">
      <c r="C20" t="s">
        <v>549</v>
      </c>
      <c r="D20" s="197">
        <v>3397000</v>
      </c>
      <c r="E20" s="466">
        <f ca="1">'Rental - Annual Proforma'!K34/Summary!C53</f>
        <v>77289826.465080798</v>
      </c>
    </row>
    <row r="21" spans="3:13">
      <c r="C21" t="s">
        <v>539</v>
      </c>
      <c r="D21" s="159">
        <f>0.45*D20</f>
        <v>1528650</v>
      </c>
      <c r="E21" s="159">
        <f ca="1">0.45*E20</f>
        <v>34780421.909286357</v>
      </c>
    </row>
    <row r="22" spans="3:13">
      <c r="C22" t="s">
        <v>550</v>
      </c>
      <c r="E22" s="270">
        <f ca="1">E21-D21-300000</f>
        <v>32951771.909286357</v>
      </c>
    </row>
    <row r="23" spans="3:13">
      <c r="C23" t="s">
        <v>551</v>
      </c>
      <c r="E23" s="270">
        <f ca="1">E21-E22</f>
        <v>1828650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Cover</vt:lpstr>
      <vt:lpstr>Summary</vt:lpstr>
      <vt:lpstr>Debt</vt:lpstr>
      <vt:lpstr>Construction Schedule</vt:lpstr>
      <vt:lpstr>Rental - Annual Proforma</vt:lpstr>
      <vt:lpstr>Rental - Returns</vt:lpstr>
      <vt:lpstr>Condo - Annual Proforma</vt:lpstr>
      <vt:lpstr>Condo - Returns</vt:lpstr>
      <vt:lpstr>Rental - Comparables</vt:lpstr>
      <vt:lpstr>Condo - Comparables</vt:lpstr>
      <vt:lpstr>Unit Mix</vt:lpstr>
      <vt:lpstr>421a</vt:lpstr>
      <vt:lpstr>Debt!liborpreviousmonth</vt:lpstr>
      <vt:lpstr>'Construction Schedule'!Print_Area</vt:lpstr>
      <vt:lpstr>'Construction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2023-01-04T19:45:00Z</cp:lastPrinted>
  <dcterms:created xsi:type="dcterms:W3CDTF">2022-11-10T21:47:41Z</dcterms:created>
  <dcterms:modified xsi:type="dcterms:W3CDTF">2023-02-02T04:42:31Z</dcterms:modified>
</cp:coreProperties>
</file>