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8" windowWidth="14808" windowHeight="7956"/>
  </bookViews>
  <sheets>
    <sheet name="工作表1" sheetId="1" r:id="rId1"/>
    <sheet name="address" sheetId="2" r:id="rId2"/>
    <sheet name="工作表3" sheetId="3" r:id="rId3"/>
  </sheets>
  <definedNames>
    <definedName name="_xlnm._FilterDatabase" localSheetId="0" hidden="1">工作表1!$A$1:$U$2</definedName>
  </definedNames>
  <calcPr calcId="145621"/>
</workbook>
</file>

<file path=xl/calcChain.xml><?xml version="1.0" encoding="utf-8"?>
<calcChain xmlns="http://schemas.openxmlformats.org/spreadsheetml/2006/main">
  <c r="M1938" i="2" l="1"/>
  <c r="L1938" i="2"/>
  <c r="K1938" i="2"/>
  <c r="J1938" i="2"/>
  <c r="I1938" i="2"/>
  <c r="G1938" i="2"/>
  <c r="A1938" i="2"/>
  <c r="M1936" i="2"/>
  <c r="L1936" i="2"/>
  <c r="K1936" i="2"/>
  <c r="J1936" i="2"/>
  <c r="I1936" i="2"/>
  <c r="G1936" i="2"/>
  <c r="A1936" i="2"/>
  <c r="M1935" i="2"/>
  <c r="L1935" i="2"/>
  <c r="K1935" i="2"/>
  <c r="J1935" i="2"/>
  <c r="I1935" i="2"/>
  <c r="G1935" i="2"/>
  <c r="A1935" i="2"/>
  <c r="M1933" i="2"/>
  <c r="L1933" i="2"/>
  <c r="K1933" i="2"/>
  <c r="J1933" i="2"/>
  <c r="I1933" i="2"/>
  <c r="G1933" i="2"/>
  <c r="A1933" i="2"/>
  <c r="M1932" i="2"/>
  <c r="L1932" i="2"/>
  <c r="K1932" i="2"/>
  <c r="J1932" i="2"/>
  <c r="I1932" i="2"/>
  <c r="G1932" i="2"/>
  <c r="A1932" i="2"/>
  <c r="M1930" i="2"/>
  <c r="L1930" i="2"/>
  <c r="K1930" i="2"/>
  <c r="J1930" i="2"/>
  <c r="I1930" i="2"/>
  <c r="G1930" i="2"/>
  <c r="A1930" i="2"/>
  <c r="M1929" i="2"/>
  <c r="L1929" i="2"/>
  <c r="K1929" i="2"/>
  <c r="J1929" i="2"/>
  <c r="I1929" i="2"/>
  <c r="G1929" i="2"/>
  <c r="A1929" i="2"/>
  <c r="M1927" i="2"/>
  <c r="L1927" i="2"/>
  <c r="K1927" i="2"/>
  <c r="J1927" i="2"/>
  <c r="I1927" i="2"/>
  <c r="G1927" i="2"/>
  <c r="A1927" i="2"/>
  <c r="M1926" i="2"/>
  <c r="L1926" i="2"/>
  <c r="K1926" i="2"/>
  <c r="J1926" i="2"/>
  <c r="I1926" i="2"/>
  <c r="G1926" i="2"/>
  <c r="A1926" i="2"/>
  <c r="M1925" i="2"/>
  <c r="L1925" i="2"/>
  <c r="K1925" i="2"/>
  <c r="J1925" i="2"/>
  <c r="I1925" i="2"/>
  <c r="G1925" i="2"/>
  <c r="A1925" i="2"/>
  <c r="M1924" i="2"/>
  <c r="L1924" i="2"/>
  <c r="K1924" i="2"/>
  <c r="J1924" i="2"/>
  <c r="I1924" i="2"/>
  <c r="G1924" i="2"/>
  <c r="A1924" i="2"/>
  <c r="M1923" i="2"/>
  <c r="L1923" i="2"/>
  <c r="K1923" i="2"/>
  <c r="J1923" i="2"/>
  <c r="I1923" i="2"/>
  <c r="G1923" i="2"/>
  <c r="A1923" i="2"/>
  <c r="M1921" i="2"/>
  <c r="L1921" i="2"/>
  <c r="K1921" i="2"/>
  <c r="J1921" i="2"/>
  <c r="I1921" i="2"/>
  <c r="G1921" i="2"/>
  <c r="A1921" i="2"/>
  <c r="M1920" i="2"/>
  <c r="L1920" i="2"/>
  <c r="K1920" i="2"/>
  <c r="J1920" i="2"/>
  <c r="I1920" i="2"/>
  <c r="G1920" i="2"/>
  <c r="A1920" i="2"/>
  <c r="M1919" i="2"/>
  <c r="L1919" i="2"/>
  <c r="K1919" i="2"/>
  <c r="J1919" i="2"/>
  <c r="I1919" i="2"/>
  <c r="G1919" i="2"/>
  <c r="A1919" i="2"/>
  <c r="M1918" i="2"/>
  <c r="L1918" i="2"/>
  <c r="K1918" i="2"/>
  <c r="J1918" i="2"/>
  <c r="I1918" i="2"/>
  <c r="G1918" i="2"/>
  <c r="A1918" i="2"/>
  <c r="M1917" i="2"/>
  <c r="L1917" i="2"/>
  <c r="K1917" i="2"/>
  <c r="J1917" i="2"/>
  <c r="I1917" i="2"/>
  <c r="G1917" i="2"/>
  <c r="A1917" i="2"/>
  <c r="M1916" i="2"/>
  <c r="L1916" i="2"/>
  <c r="K1916" i="2"/>
  <c r="J1916" i="2"/>
  <c r="I1916" i="2"/>
  <c r="G1916" i="2"/>
  <c r="A1916" i="2"/>
  <c r="M1915" i="2"/>
  <c r="L1915" i="2"/>
  <c r="K1915" i="2"/>
  <c r="J1915" i="2"/>
  <c r="I1915" i="2"/>
  <c r="G1915" i="2"/>
  <c r="A1915" i="2"/>
  <c r="M1914" i="2"/>
  <c r="L1914" i="2"/>
  <c r="K1914" i="2"/>
  <c r="J1914" i="2"/>
  <c r="I1914" i="2"/>
  <c r="G1914" i="2"/>
  <c r="A1914" i="2"/>
  <c r="M1913" i="2"/>
  <c r="L1913" i="2"/>
  <c r="K1913" i="2"/>
  <c r="J1913" i="2"/>
  <c r="I1913" i="2"/>
  <c r="G1913" i="2"/>
  <c r="A1913" i="2"/>
  <c r="M1912" i="2"/>
  <c r="L1912" i="2"/>
  <c r="K1912" i="2"/>
  <c r="J1912" i="2"/>
  <c r="I1912" i="2"/>
  <c r="G1912" i="2"/>
  <c r="A1912" i="2"/>
  <c r="M1911" i="2"/>
  <c r="L1911" i="2"/>
  <c r="K1911" i="2"/>
  <c r="J1911" i="2"/>
  <c r="I1911" i="2"/>
  <c r="G1911" i="2"/>
  <c r="A1911" i="2"/>
  <c r="M1910" i="2"/>
  <c r="L1910" i="2"/>
  <c r="K1910" i="2"/>
  <c r="J1910" i="2"/>
  <c r="I1910" i="2"/>
  <c r="G1910" i="2"/>
  <c r="A1910" i="2"/>
  <c r="M1909" i="2"/>
  <c r="L1909" i="2"/>
  <c r="K1909" i="2"/>
  <c r="J1909" i="2"/>
  <c r="I1909" i="2"/>
  <c r="G1909" i="2"/>
  <c r="A1909" i="2"/>
  <c r="M1908" i="2"/>
  <c r="L1908" i="2"/>
  <c r="K1908" i="2"/>
  <c r="J1908" i="2"/>
  <c r="I1908" i="2"/>
  <c r="G1908" i="2"/>
  <c r="A1908" i="2"/>
  <c r="M1907" i="2"/>
  <c r="L1907" i="2"/>
  <c r="K1907" i="2"/>
  <c r="J1907" i="2"/>
  <c r="I1907" i="2"/>
  <c r="G1907" i="2"/>
  <c r="A1907" i="2"/>
  <c r="M1906" i="2"/>
  <c r="L1906" i="2"/>
  <c r="K1906" i="2"/>
  <c r="J1906" i="2"/>
  <c r="I1906" i="2"/>
  <c r="G1906" i="2"/>
  <c r="A1906" i="2"/>
  <c r="M1905" i="2"/>
  <c r="L1905" i="2"/>
  <c r="K1905" i="2"/>
  <c r="J1905" i="2"/>
  <c r="I1905" i="2"/>
  <c r="G1905" i="2"/>
  <c r="A1905" i="2"/>
  <c r="M1904" i="2"/>
  <c r="L1904" i="2"/>
  <c r="K1904" i="2"/>
  <c r="J1904" i="2"/>
  <c r="I1904" i="2"/>
  <c r="G1904" i="2"/>
  <c r="A1904" i="2"/>
  <c r="M1903" i="2"/>
  <c r="L1903" i="2"/>
  <c r="K1903" i="2"/>
  <c r="J1903" i="2"/>
  <c r="I1903" i="2"/>
  <c r="G1903" i="2"/>
  <c r="A1903" i="2"/>
  <c r="M1902" i="2"/>
  <c r="L1902" i="2"/>
  <c r="K1902" i="2"/>
  <c r="J1902" i="2"/>
  <c r="I1902" i="2"/>
  <c r="G1902" i="2"/>
  <c r="A1902" i="2"/>
  <c r="M1901" i="2"/>
  <c r="L1901" i="2"/>
  <c r="K1901" i="2"/>
  <c r="J1901" i="2"/>
  <c r="I1901" i="2"/>
  <c r="G1901" i="2"/>
  <c r="A1901" i="2"/>
  <c r="M1900" i="2"/>
  <c r="L1900" i="2"/>
  <c r="K1900" i="2"/>
  <c r="J1900" i="2"/>
  <c r="I1900" i="2"/>
  <c r="G1900" i="2"/>
  <c r="A1900" i="2"/>
  <c r="M1899" i="2"/>
  <c r="L1899" i="2"/>
  <c r="K1899" i="2"/>
  <c r="J1899" i="2"/>
  <c r="I1899" i="2"/>
  <c r="G1899" i="2"/>
  <c r="A1899" i="2"/>
  <c r="M1898" i="2"/>
  <c r="L1898" i="2"/>
  <c r="K1898" i="2"/>
  <c r="J1898" i="2"/>
  <c r="I1898" i="2"/>
  <c r="G1898" i="2"/>
  <c r="A1898" i="2"/>
  <c r="M1897" i="2"/>
  <c r="L1897" i="2"/>
  <c r="K1897" i="2"/>
  <c r="J1897" i="2"/>
  <c r="I1897" i="2"/>
  <c r="G1897" i="2"/>
  <c r="A1897" i="2"/>
  <c r="M1896" i="2"/>
  <c r="L1896" i="2"/>
  <c r="K1896" i="2"/>
  <c r="J1896" i="2"/>
  <c r="I1896" i="2"/>
  <c r="G1896" i="2"/>
  <c r="A1896" i="2"/>
  <c r="M1895" i="2"/>
  <c r="L1895" i="2"/>
  <c r="K1895" i="2"/>
  <c r="J1895" i="2"/>
  <c r="I1895" i="2"/>
  <c r="G1895" i="2"/>
  <c r="A1895" i="2"/>
  <c r="M1894" i="2"/>
  <c r="L1894" i="2"/>
  <c r="K1894" i="2"/>
  <c r="J1894" i="2"/>
  <c r="I1894" i="2"/>
  <c r="G1894" i="2"/>
  <c r="A1894" i="2"/>
  <c r="M1892" i="2"/>
  <c r="L1892" i="2"/>
  <c r="K1892" i="2"/>
  <c r="J1892" i="2"/>
  <c r="I1892" i="2"/>
  <c r="G1892" i="2"/>
  <c r="A1892" i="2"/>
  <c r="M1891" i="2"/>
  <c r="L1891" i="2"/>
  <c r="K1891" i="2"/>
  <c r="J1891" i="2"/>
  <c r="I1891" i="2"/>
  <c r="G1891" i="2"/>
  <c r="A1891" i="2"/>
  <c r="M1890" i="2"/>
  <c r="L1890" i="2"/>
  <c r="K1890" i="2"/>
  <c r="J1890" i="2"/>
  <c r="I1890" i="2"/>
  <c r="G1890" i="2"/>
  <c r="A1890" i="2"/>
  <c r="M1889" i="2"/>
  <c r="L1889" i="2"/>
  <c r="K1889" i="2"/>
  <c r="J1889" i="2"/>
  <c r="I1889" i="2"/>
  <c r="G1889" i="2"/>
  <c r="A1889" i="2"/>
  <c r="M1887" i="2"/>
  <c r="L1887" i="2"/>
  <c r="K1887" i="2"/>
  <c r="J1887" i="2"/>
  <c r="I1887" i="2"/>
  <c r="G1887" i="2"/>
  <c r="A1887" i="2"/>
  <c r="M1886" i="2"/>
  <c r="L1886" i="2"/>
  <c r="K1886" i="2"/>
  <c r="J1886" i="2"/>
  <c r="I1886" i="2"/>
  <c r="G1886" i="2"/>
  <c r="A1886" i="2"/>
  <c r="M1885" i="2"/>
  <c r="L1885" i="2"/>
  <c r="K1885" i="2"/>
  <c r="J1885" i="2"/>
  <c r="I1885" i="2"/>
  <c r="G1885" i="2"/>
  <c r="A1885" i="2"/>
  <c r="M1884" i="2"/>
  <c r="L1884" i="2"/>
  <c r="K1884" i="2"/>
  <c r="J1884" i="2"/>
  <c r="I1884" i="2"/>
  <c r="G1884" i="2"/>
  <c r="A1884" i="2"/>
  <c r="M1883" i="2"/>
  <c r="L1883" i="2"/>
  <c r="K1883" i="2"/>
  <c r="J1883" i="2"/>
  <c r="I1883" i="2"/>
  <c r="G1883" i="2"/>
  <c r="A1883" i="2"/>
  <c r="M1882" i="2"/>
  <c r="L1882" i="2"/>
  <c r="K1882" i="2"/>
  <c r="J1882" i="2"/>
  <c r="I1882" i="2"/>
  <c r="G1882" i="2"/>
  <c r="A1882" i="2"/>
  <c r="M1881" i="2"/>
  <c r="L1881" i="2"/>
  <c r="K1881" i="2"/>
  <c r="J1881" i="2"/>
  <c r="I1881" i="2"/>
  <c r="G1881" i="2"/>
  <c r="A1881" i="2"/>
  <c r="M1879" i="2"/>
  <c r="L1879" i="2"/>
  <c r="K1879" i="2"/>
  <c r="J1879" i="2"/>
  <c r="I1879" i="2"/>
  <c r="G1879" i="2"/>
  <c r="A1879" i="2"/>
  <c r="M1878" i="2"/>
  <c r="L1878" i="2"/>
  <c r="K1878" i="2"/>
  <c r="J1878" i="2"/>
  <c r="I1878" i="2"/>
  <c r="G1878" i="2"/>
  <c r="A1878" i="2"/>
  <c r="M1877" i="2"/>
  <c r="L1877" i="2"/>
  <c r="K1877" i="2"/>
  <c r="J1877" i="2"/>
  <c r="I1877" i="2"/>
  <c r="G1877" i="2"/>
  <c r="A1877" i="2"/>
  <c r="M1876" i="2"/>
  <c r="L1876" i="2"/>
  <c r="K1876" i="2"/>
  <c r="J1876" i="2"/>
  <c r="I1876" i="2"/>
  <c r="G1876" i="2"/>
  <c r="A1876" i="2"/>
  <c r="M1875" i="2"/>
  <c r="L1875" i="2"/>
  <c r="K1875" i="2"/>
  <c r="J1875" i="2"/>
  <c r="I1875" i="2"/>
  <c r="G1875" i="2"/>
  <c r="A1875" i="2"/>
  <c r="M1874" i="2"/>
  <c r="L1874" i="2"/>
  <c r="K1874" i="2"/>
  <c r="J1874" i="2"/>
  <c r="I1874" i="2"/>
  <c r="G1874" i="2"/>
  <c r="A1874" i="2"/>
  <c r="M1873" i="2"/>
  <c r="L1873" i="2"/>
  <c r="K1873" i="2"/>
  <c r="J1873" i="2"/>
  <c r="I1873" i="2"/>
  <c r="G1873" i="2"/>
  <c r="A1873" i="2"/>
  <c r="M1872" i="2"/>
  <c r="L1872" i="2"/>
  <c r="K1872" i="2"/>
  <c r="J1872" i="2"/>
  <c r="I1872" i="2"/>
  <c r="G1872" i="2"/>
  <c r="A1872" i="2"/>
  <c r="M1871" i="2"/>
  <c r="L1871" i="2"/>
  <c r="K1871" i="2"/>
  <c r="J1871" i="2"/>
  <c r="I1871" i="2"/>
  <c r="G1871" i="2"/>
  <c r="A1871" i="2"/>
  <c r="M1870" i="2"/>
  <c r="L1870" i="2"/>
  <c r="K1870" i="2"/>
  <c r="J1870" i="2"/>
  <c r="I1870" i="2"/>
  <c r="G1870" i="2"/>
  <c r="A1870" i="2"/>
  <c r="M1869" i="2"/>
  <c r="L1869" i="2"/>
  <c r="K1869" i="2"/>
  <c r="J1869" i="2"/>
  <c r="I1869" i="2"/>
  <c r="G1869" i="2"/>
  <c r="A1869" i="2"/>
  <c r="M1868" i="2"/>
  <c r="L1868" i="2"/>
  <c r="K1868" i="2"/>
  <c r="J1868" i="2"/>
  <c r="I1868" i="2"/>
  <c r="G1868" i="2"/>
  <c r="A1868" i="2"/>
  <c r="M1867" i="2"/>
  <c r="L1867" i="2"/>
  <c r="K1867" i="2"/>
  <c r="J1867" i="2"/>
  <c r="I1867" i="2"/>
  <c r="G1867" i="2"/>
  <c r="A1867" i="2"/>
  <c r="M1866" i="2"/>
  <c r="L1866" i="2"/>
  <c r="K1866" i="2"/>
  <c r="J1866" i="2"/>
  <c r="I1866" i="2"/>
  <c r="G1866" i="2"/>
  <c r="A1866" i="2"/>
  <c r="M1865" i="2"/>
  <c r="L1865" i="2"/>
  <c r="K1865" i="2"/>
  <c r="J1865" i="2"/>
  <c r="I1865" i="2"/>
  <c r="G1865" i="2"/>
  <c r="A1865" i="2"/>
  <c r="M1863" i="2"/>
  <c r="L1863" i="2"/>
  <c r="K1863" i="2"/>
  <c r="J1863" i="2"/>
  <c r="I1863" i="2"/>
  <c r="G1863" i="2"/>
  <c r="A1863" i="2"/>
  <c r="M1862" i="2"/>
  <c r="L1862" i="2"/>
  <c r="K1862" i="2"/>
  <c r="J1862" i="2"/>
  <c r="I1862" i="2"/>
  <c r="G1862" i="2"/>
  <c r="A1862" i="2"/>
  <c r="M1861" i="2"/>
  <c r="L1861" i="2"/>
  <c r="K1861" i="2"/>
  <c r="J1861" i="2"/>
  <c r="I1861" i="2"/>
  <c r="G1861" i="2"/>
  <c r="A1861" i="2"/>
  <c r="M1859" i="2"/>
  <c r="L1859" i="2"/>
  <c r="K1859" i="2"/>
  <c r="J1859" i="2"/>
  <c r="I1859" i="2"/>
  <c r="G1859" i="2"/>
  <c r="A1859" i="2"/>
  <c r="M1858" i="2"/>
  <c r="L1858" i="2"/>
  <c r="K1858" i="2"/>
  <c r="J1858" i="2"/>
  <c r="I1858" i="2"/>
  <c r="G1858" i="2"/>
  <c r="A1858" i="2"/>
  <c r="M1857" i="2"/>
  <c r="L1857" i="2"/>
  <c r="K1857" i="2"/>
  <c r="J1857" i="2"/>
  <c r="I1857" i="2"/>
  <c r="G1857" i="2"/>
  <c r="A1857" i="2"/>
  <c r="M1856" i="2"/>
  <c r="L1856" i="2"/>
  <c r="K1856" i="2"/>
  <c r="J1856" i="2"/>
  <c r="I1856" i="2"/>
  <c r="G1856" i="2"/>
  <c r="A1856" i="2"/>
  <c r="M1855" i="2"/>
  <c r="L1855" i="2"/>
  <c r="K1855" i="2"/>
  <c r="J1855" i="2"/>
  <c r="I1855" i="2"/>
  <c r="G1855" i="2"/>
  <c r="A1855" i="2"/>
  <c r="M1854" i="2"/>
  <c r="L1854" i="2"/>
  <c r="K1854" i="2"/>
  <c r="J1854" i="2"/>
  <c r="I1854" i="2"/>
  <c r="G1854" i="2"/>
  <c r="A1854" i="2"/>
  <c r="M1853" i="2"/>
  <c r="L1853" i="2"/>
  <c r="K1853" i="2"/>
  <c r="J1853" i="2"/>
  <c r="I1853" i="2"/>
  <c r="G1853" i="2"/>
  <c r="A1853" i="2"/>
  <c r="M1852" i="2"/>
  <c r="L1852" i="2"/>
  <c r="K1852" i="2"/>
  <c r="J1852" i="2"/>
  <c r="I1852" i="2"/>
  <c r="G1852" i="2"/>
  <c r="A1852" i="2"/>
  <c r="M1851" i="2"/>
  <c r="L1851" i="2"/>
  <c r="K1851" i="2"/>
  <c r="J1851" i="2"/>
  <c r="I1851" i="2"/>
  <c r="G1851" i="2"/>
  <c r="A1851" i="2"/>
  <c r="M1850" i="2"/>
  <c r="L1850" i="2"/>
  <c r="K1850" i="2"/>
  <c r="J1850" i="2"/>
  <c r="I1850" i="2"/>
  <c r="G1850" i="2"/>
  <c r="A1850" i="2"/>
  <c r="M1849" i="2"/>
  <c r="L1849" i="2"/>
  <c r="K1849" i="2"/>
  <c r="J1849" i="2"/>
  <c r="I1849" i="2"/>
  <c r="G1849" i="2"/>
  <c r="A1849" i="2"/>
  <c r="M1848" i="2"/>
  <c r="L1848" i="2"/>
  <c r="K1848" i="2"/>
  <c r="J1848" i="2"/>
  <c r="I1848" i="2"/>
  <c r="G1848" i="2"/>
  <c r="A1848" i="2"/>
  <c r="M1846" i="2"/>
  <c r="L1846" i="2"/>
  <c r="K1846" i="2"/>
  <c r="J1846" i="2"/>
  <c r="I1846" i="2"/>
  <c r="G1846" i="2"/>
  <c r="A1846" i="2"/>
  <c r="M1845" i="2"/>
  <c r="L1845" i="2"/>
  <c r="K1845" i="2"/>
  <c r="J1845" i="2"/>
  <c r="I1845" i="2"/>
  <c r="G1845" i="2"/>
  <c r="A1845" i="2"/>
  <c r="M1844" i="2"/>
  <c r="L1844" i="2"/>
  <c r="K1844" i="2"/>
  <c r="J1844" i="2"/>
  <c r="I1844" i="2"/>
  <c r="G1844" i="2"/>
  <c r="A1844" i="2"/>
  <c r="M1843" i="2"/>
  <c r="L1843" i="2"/>
  <c r="K1843" i="2"/>
  <c r="J1843" i="2"/>
  <c r="I1843" i="2"/>
  <c r="G1843" i="2"/>
  <c r="A1843" i="2"/>
  <c r="M1842" i="2"/>
  <c r="L1842" i="2"/>
  <c r="K1842" i="2"/>
  <c r="J1842" i="2"/>
  <c r="I1842" i="2"/>
  <c r="G1842" i="2"/>
  <c r="A1842" i="2"/>
  <c r="M1841" i="2"/>
  <c r="L1841" i="2"/>
  <c r="K1841" i="2"/>
  <c r="J1841" i="2"/>
  <c r="I1841" i="2"/>
  <c r="G1841" i="2"/>
  <c r="A1841" i="2"/>
  <c r="M1840" i="2"/>
  <c r="L1840" i="2"/>
  <c r="K1840" i="2"/>
  <c r="J1840" i="2"/>
  <c r="I1840" i="2"/>
  <c r="G1840" i="2"/>
  <c r="A1840" i="2"/>
  <c r="M1839" i="2"/>
  <c r="L1839" i="2"/>
  <c r="K1839" i="2"/>
  <c r="J1839" i="2"/>
  <c r="I1839" i="2"/>
  <c r="G1839" i="2"/>
  <c r="A1839" i="2"/>
  <c r="M1838" i="2"/>
  <c r="L1838" i="2"/>
  <c r="K1838" i="2"/>
  <c r="J1838" i="2"/>
  <c r="I1838" i="2"/>
  <c r="G1838" i="2"/>
  <c r="A1838" i="2"/>
  <c r="M1837" i="2"/>
  <c r="L1837" i="2"/>
  <c r="K1837" i="2"/>
  <c r="J1837" i="2"/>
  <c r="I1837" i="2"/>
  <c r="G1837" i="2"/>
  <c r="A1837" i="2"/>
  <c r="M1836" i="2"/>
  <c r="L1836" i="2"/>
  <c r="K1836" i="2"/>
  <c r="J1836" i="2"/>
  <c r="I1836" i="2"/>
  <c r="G1836" i="2"/>
  <c r="A1836" i="2"/>
  <c r="M1835" i="2"/>
  <c r="L1835" i="2"/>
  <c r="K1835" i="2"/>
  <c r="J1835" i="2"/>
  <c r="I1835" i="2"/>
  <c r="G1835" i="2"/>
  <c r="A1835" i="2"/>
  <c r="M1834" i="2"/>
  <c r="L1834" i="2"/>
  <c r="K1834" i="2"/>
  <c r="J1834" i="2"/>
  <c r="I1834" i="2"/>
  <c r="G1834" i="2"/>
  <c r="A1834" i="2"/>
  <c r="M1833" i="2"/>
  <c r="L1833" i="2"/>
  <c r="K1833" i="2"/>
  <c r="J1833" i="2"/>
  <c r="I1833" i="2"/>
  <c r="G1833" i="2"/>
  <c r="A1833" i="2"/>
  <c r="M1832" i="2"/>
  <c r="L1832" i="2"/>
  <c r="K1832" i="2"/>
  <c r="J1832" i="2"/>
  <c r="I1832" i="2"/>
  <c r="G1832" i="2"/>
  <c r="A1832" i="2"/>
  <c r="M1831" i="2"/>
  <c r="L1831" i="2"/>
  <c r="K1831" i="2"/>
  <c r="J1831" i="2"/>
  <c r="I1831" i="2"/>
  <c r="G1831" i="2"/>
  <c r="A1831" i="2"/>
  <c r="M1829" i="2"/>
  <c r="L1829" i="2"/>
  <c r="K1829" i="2"/>
  <c r="J1829" i="2"/>
  <c r="I1829" i="2"/>
  <c r="G1829" i="2"/>
  <c r="A1829" i="2"/>
  <c r="M1828" i="2"/>
  <c r="L1828" i="2"/>
  <c r="K1828" i="2"/>
  <c r="J1828" i="2"/>
  <c r="I1828" i="2"/>
  <c r="G1828" i="2"/>
  <c r="A1828" i="2"/>
  <c r="M1826" i="2"/>
  <c r="L1826" i="2"/>
  <c r="K1826" i="2"/>
  <c r="J1826" i="2"/>
  <c r="I1826" i="2"/>
  <c r="G1826" i="2"/>
  <c r="A1826" i="2"/>
  <c r="M1825" i="2"/>
  <c r="L1825" i="2"/>
  <c r="K1825" i="2"/>
  <c r="J1825" i="2"/>
  <c r="I1825" i="2"/>
  <c r="G1825" i="2"/>
  <c r="A1825" i="2"/>
  <c r="M1824" i="2"/>
  <c r="L1824" i="2"/>
  <c r="K1824" i="2"/>
  <c r="J1824" i="2"/>
  <c r="I1824" i="2"/>
  <c r="G1824" i="2"/>
  <c r="A1824" i="2"/>
  <c r="M1823" i="2"/>
  <c r="L1823" i="2"/>
  <c r="K1823" i="2"/>
  <c r="J1823" i="2"/>
  <c r="I1823" i="2"/>
  <c r="G1823" i="2"/>
  <c r="A1823" i="2"/>
  <c r="M1822" i="2"/>
  <c r="L1822" i="2"/>
  <c r="K1822" i="2"/>
  <c r="J1822" i="2"/>
  <c r="I1822" i="2"/>
  <c r="G1822" i="2"/>
  <c r="A1822" i="2"/>
  <c r="M1821" i="2"/>
  <c r="L1821" i="2"/>
  <c r="K1821" i="2"/>
  <c r="J1821" i="2"/>
  <c r="I1821" i="2"/>
  <c r="G1821" i="2"/>
  <c r="A1821" i="2"/>
  <c r="M1820" i="2"/>
  <c r="L1820" i="2"/>
  <c r="K1820" i="2"/>
  <c r="J1820" i="2"/>
  <c r="I1820" i="2"/>
  <c r="G1820" i="2"/>
  <c r="A1820" i="2"/>
  <c r="M1819" i="2"/>
  <c r="L1819" i="2"/>
  <c r="K1819" i="2"/>
  <c r="J1819" i="2"/>
  <c r="I1819" i="2"/>
  <c r="G1819" i="2"/>
  <c r="A1819" i="2"/>
  <c r="M1818" i="2"/>
  <c r="L1818" i="2"/>
  <c r="K1818" i="2"/>
  <c r="J1818" i="2"/>
  <c r="I1818" i="2"/>
  <c r="G1818" i="2"/>
  <c r="A1818" i="2"/>
  <c r="M1817" i="2"/>
  <c r="L1817" i="2"/>
  <c r="K1817" i="2"/>
  <c r="J1817" i="2"/>
  <c r="I1817" i="2"/>
  <c r="G1817" i="2"/>
  <c r="A1817" i="2"/>
  <c r="M1816" i="2"/>
  <c r="L1816" i="2"/>
  <c r="K1816" i="2"/>
  <c r="J1816" i="2"/>
  <c r="I1816" i="2"/>
  <c r="G1816" i="2"/>
  <c r="A1816" i="2"/>
  <c r="M1815" i="2"/>
  <c r="L1815" i="2"/>
  <c r="K1815" i="2"/>
  <c r="J1815" i="2"/>
  <c r="I1815" i="2"/>
  <c r="G1815" i="2"/>
  <c r="A1815" i="2"/>
  <c r="M1814" i="2"/>
  <c r="L1814" i="2"/>
  <c r="K1814" i="2"/>
  <c r="J1814" i="2"/>
  <c r="I1814" i="2"/>
  <c r="G1814" i="2"/>
  <c r="A1814" i="2"/>
  <c r="M1813" i="2"/>
  <c r="L1813" i="2"/>
  <c r="K1813" i="2"/>
  <c r="J1813" i="2"/>
  <c r="I1813" i="2"/>
  <c r="G1813" i="2"/>
  <c r="A1813" i="2"/>
  <c r="M1812" i="2"/>
  <c r="L1812" i="2"/>
  <c r="K1812" i="2"/>
  <c r="J1812" i="2"/>
  <c r="I1812" i="2"/>
  <c r="G1812" i="2"/>
  <c r="A1812" i="2"/>
  <c r="M1811" i="2"/>
  <c r="L1811" i="2"/>
  <c r="K1811" i="2"/>
  <c r="J1811" i="2"/>
  <c r="I1811" i="2"/>
  <c r="G1811" i="2"/>
  <c r="A1811" i="2"/>
  <c r="M1810" i="2"/>
  <c r="L1810" i="2"/>
  <c r="K1810" i="2"/>
  <c r="J1810" i="2"/>
  <c r="I1810" i="2"/>
  <c r="G1810" i="2"/>
  <c r="A1810" i="2"/>
  <c r="M1809" i="2"/>
  <c r="L1809" i="2"/>
  <c r="K1809" i="2"/>
  <c r="J1809" i="2"/>
  <c r="I1809" i="2"/>
  <c r="G1809" i="2"/>
  <c r="A1809" i="2"/>
  <c r="M1808" i="2"/>
  <c r="L1808" i="2"/>
  <c r="K1808" i="2"/>
  <c r="J1808" i="2"/>
  <c r="I1808" i="2"/>
  <c r="G1808" i="2"/>
  <c r="A1808" i="2"/>
  <c r="M1807" i="2"/>
  <c r="L1807" i="2"/>
  <c r="K1807" i="2"/>
  <c r="J1807" i="2"/>
  <c r="I1807" i="2"/>
  <c r="G1807" i="2"/>
  <c r="A1807" i="2"/>
  <c r="M1806" i="2"/>
  <c r="L1806" i="2"/>
  <c r="K1806" i="2"/>
  <c r="J1806" i="2"/>
  <c r="I1806" i="2"/>
  <c r="G1806" i="2"/>
  <c r="A1806" i="2"/>
  <c r="M1805" i="2"/>
  <c r="L1805" i="2"/>
  <c r="K1805" i="2"/>
  <c r="J1805" i="2"/>
  <c r="I1805" i="2"/>
  <c r="G1805" i="2"/>
  <c r="A1805" i="2"/>
  <c r="M1804" i="2"/>
  <c r="L1804" i="2"/>
  <c r="K1804" i="2"/>
  <c r="J1804" i="2"/>
  <c r="I1804" i="2"/>
  <c r="G1804" i="2"/>
  <c r="A1804" i="2"/>
  <c r="M1803" i="2"/>
  <c r="L1803" i="2"/>
  <c r="K1803" i="2"/>
  <c r="J1803" i="2"/>
  <c r="I1803" i="2"/>
  <c r="G1803" i="2"/>
  <c r="A1803" i="2"/>
  <c r="M1802" i="2"/>
  <c r="L1802" i="2"/>
  <c r="K1802" i="2"/>
  <c r="J1802" i="2"/>
  <c r="I1802" i="2"/>
  <c r="G1802" i="2"/>
  <c r="A1802" i="2"/>
  <c r="M1801" i="2"/>
  <c r="L1801" i="2"/>
  <c r="K1801" i="2"/>
  <c r="J1801" i="2"/>
  <c r="I1801" i="2"/>
  <c r="G1801" i="2"/>
  <c r="A1801" i="2"/>
  <c r="M1800" i="2"/>
  <c r="L1800" i="2"/>
  <c r="K1800" i="2"/>
  <c r="J1800" i="2"/>
  <c r="I1800" i="2"/>
  <c r="G1800" i="2"/>
  <c r="A1800" i="2"/>
  <c r="M1799" i="2"/>
  <c r="L1799" i="2"/>
  <c r="K1799" i="2"/>
  <c r="J1799" i="2"/>
  <c r="I1799" i="2"/>
  <c r="G1799" i="2"/>
  <c r="A1799" i="2"/>
  <c r="M1798" i="2"/>
  <c r="L1798" i="2"/>
  <c r="K1798" i="2"/>
  <c r="J1798" i="2"/>
  <c r="I1798" i="2"/>
  <c r="G1798" i="2"/>
  <c r="A1798" i="2"/>
  <c r="M1797" i="2"/>
  <c r="L1797" i="2"/>
  <c r="K1797" i="2"/>
  <c r="J1797" i="2"/>
  <c r="I1797" i="2"/>
  <c r="G1797" i="2"/>
  <c r="A1797" i="2"/>
  <c r="M1796" i="2"/>
  <c r="L1796" i="2"/>
  <c r="K1796" i="2"/>
  <c r="J1796" i="2"/>
  <c r="I1796" i="2"/>
  <c r="G1796" i="2"/>
  <c r="A1796" i="2"/>
  <c r="M1795" i="2"/>
  <c r="L1795" i="2"/>
  <c r="K1795" i="2"/>
  <c r="J1795" i="2"/>
  <c r="I1795" i="2"/>
  <c r="G1795" i="2"/>
  <c r="A1795" i="2"/>
  <c r="M1794" i="2"/>
  <c r="L1794" i="2"/>
  <c r="K1794" i="2"/>
  <c r="J1794" i="2"/>
  <c r="I1794" i="2"/>
  <c r="G1794" i="2"/>
  <c r="A1794" i="2"/>
  <c r="M1793" i="2"/>
  <c r="L1793" i="2"/>
  <c r="K1793" i="2"/>
  <c r="J1793" i="2"/>
  <c r="I1793" i="2"/>
  <c r="G1793" i="2"/>
  <c r="A1793" i="2"/>
  <c r="M1792" i="2"/>
  <c r="L1792" i="2"/>
  <c r="K1792" i="2"/>
  <c r="J1792" i="2"/>
  <c r="I1792" i="2"/>
  <c r="G1792" i="2"/>
  <c r="A1792" i="2"/>
  <c r="M1791" i="2"/>
  <c r="L1791" i="2"/>
  <c r="K1791" i="2"/>
  <c r="J1791" i="2"/>
  <c r="I1791" i="2"/>
  <c r="G1791" i="2"/>
  <c r="A1791" i="2"/>
  <c r="M1790" i="2"/>
  <c r="L1790" i="2"/>
  <c r="K1790" i="2"/>
  <c r="J1790" i="2"/>
  <c r="I1790" i="2"/>
  <c r="G1790" i="2"/>
  <c r="A1790" i="2"/>
  <c r="M1789" i="2"/>
  <c r="L1789" i="2"/>
  <c r="K1789" i="2"/>
  <c r="J1789" i="2"/>
  <c r="I1789" i="2"/>
  <c r="G1789" i="2"/>
  <c r="A1789" i="2"/>
  <c r="M1788" i="2"/>
  <c r="L1788" i="2"/>
  <c r="K1788" i="2"/>
  <c r="J1788" i="2"/>
  <c r="I1788" i="2"/>
  <c r="G1788" i="2"/>
  <c r="A1788" i="2"/>
  <c r="M1787" i="2"/>
  <c r="L1787" i="2"/>
  <c r="K1787" i="2"/>
  <c r="J1787" i="2"/>
  <c r="I1787" i="2"/>
  <c r="G1787" i="2"/>
  <c r="A1787" i="2"/>
  <c r="M1786" i="2"/>
  <c r="L1786" i="2"/>
  <c r="K1786" i="2"/>
  <c r="J1786" i="2"/>
  <c r="I1786" i="2"/>
  <c r="G1786" i="2"/>
  <c r="A1786" i="2"/>
  <c r="M1785" i="2"/>
  <c r="L1785" i="2"/>
  <c r="K1785" i="2"/>
  <c r="J1785" i="2"/>
  <c r="I1785" i="2"/>
  <c r="G1785" i="2"/>
  <c r="A1785" i="2"/>
  <c r="M1784" i="2"/>
  <c r="L1784" i="2"/>
  <c r="K1784" i="2"/>
  <c r="J1784" i="2"/>
  <c r="I1784" i="2"/>
  <c r="G1784" i="2"/>
  <c r="A1784" i="2"/>
  <c r="M1783" i="2"/>
  <c r="L1783" i="2"/>
  <c r="K1783" i="2"/>
  <c r="J1783" i="2"/>
  <c r="I1783" i="2"/>
  <c r="G1783" i="2"/>
  <c r="A1783" i="2"/>
  <c r="M1781" i="2"/>
  <c r="L1781" i="2"/>
  <c r="K1781" i="2"/>
  <c r="J1781" i="2"/>
  <c r="I1781" i="2"/>
  <c r="G1781" i="2"/>
  <c r="A1781" i="2"/>
  <c r="M1780" i="2"/>
  <c r="L1780" i="2"/>
  <c r="K1780" i="2"/>
  <c r="J1780" i="2"/>
  <c r="I1780" i="2"/>
  <c r="G1780" i="2"/>
  <c r="A1780" i="2"/>
  <c r="M1779" i="2"/>
  <c r="L1779" i="2"/>
  <c r="K1779" i="2"/>
  <c r="J1779" i="2"/>
  <c r="I1779" i="2"/>
  <c r="G1779" i="2"/>
  <c r="A1779" i="2"/>
  <c r="M1778" i="2"/>
  <c r="L1778" i="2"/>
  <c r="K1778" i="2"/>
  <c r="J1778" i="2"/>
  <c r="I1778" i="2"/>
  <c r="G1778" i="2"/>
  <c r="A1778" i="2"/>
  <c r="M1777" i="2"/>
  <c r="L1777" i="2"/>
  <c r="K1777" i="2"/>
  <c r="J1777" i="2"/>
  <c r="I1777" i="2"/>
  <c r="G1777" i="2"/>
  <c r="A1777" i="2"/>
  <c r="M1776" i="2"/>
  <c r="L1776" i="2"/>
  <c r="K1776" i="2"/>
  <c r="J1776" i="2"/>
  <c r="I1776" i="2"/>
  <c r="G1776" i="2"/>
  <c r="A1776" i="2"/>
  <c r="M1775" i="2"/>
  <c r="L1775" i="2"/>
  <c r="K1775" i="2"/>
  <c r="J1775" i="2"/>
  <c r="I1775" i="2"/>
  <c r="G1775" i="2"/>
  <c r="A1775" i="2"/>
  <c r="M1774" i="2"/>
  <c r="L1774" i="2"/>
  <c r="K1774" i="2"/>
  <c r="J1774" i="2"/>
  <c r="I1774" i="2"/>
  <c r="G1774" i="2"/>
  <c r="A1774" i="2"/>
  <c r="M1773" i="2"/>
  <c r="L1773" i="2"/>
  <c r="K1773" i="2"/>
  <c r="J1773" i="2"/>
  <c r="I1773" i="2"/>
  <c r="G1773" i="2"/>
  <c r="A1773" i="2"/>
  <c r="M1772" i="2"/>
  <c r="L1772" i="2"/>
  <c r="K1772" i="2"/>
  <c r="J1772" i="2"/>
  <c r="I1772" i="2"/>
  <c r="G1772" i="2"/>
  <c r="A1772" i="2"/>
  <c r="M1771" i="2"/>
  <c r="L1771" i="2"/>
  <c r="K1771" i="2"/>
  <c r="J1771" i="2"/>
  <c r="I1771" i="2"/>
  <c r="G1771" i="2"/>
  <c r="A1771" i="2"/>
  <c r="M1769" i="2"/>
  <c r="L1769" i="2"/>
  <c r="K1769" i="2"/>
  <c r="J1769" i="2"/>
  <c r="I1769" i="2"/>
  <c r="G1769" i="2"/>
  <c r="A1769" i="2"/>
  <c r="M1768" i="2"/>
  <c r="L1768" i="2"/>
  <c r="K1768" i="2"/>
  <c r="J1768" i="2"/>
  <c r="I1768" i="2"/>
  <c r="G1768" i="2"/>
  <c r="A1768" i="2"/>
  <c r="M1767" i="2"/>
  <c r="L1767" i="2"/>
  <c r="K1767" i="2"/>
  <c r="J1767" i="2"/>
  <c r="I1767" i="2"/>
  <c r="G1767" i="2"/>
  <c r="A1767" i="2"/>
  <c r="M1766" i="2"/>
  <c r="L1766" i="2"/>
  <c r="K1766" i="2"/>
  <c r="J1766" i="2"/>
  <c r="I1766" i="2"/>
  <c r="G1766" i="2"/>
  <c r="A1766" i="2"/>
  <c r="M1765" i="2"/>
  <c r="L1765" i="2"/>
  <c r="K1765" i="2"/>
  <c r="J1765" i="2"/>
  <c r="I1765" i="2"/>
  <c r="G1765" i="2"/>
  <c r="A1765" i="2"/>
  <c r="M1763" i="2"/>
  <c r="L1763" i="2"/>
  <c r="K1763" i="2"/>
  <c r="J1763" i="2"/>
  <c r="I1763" i="2"/>
  <c r="G1763" i="2"/>
  <c r="A1763" i="2"/>
  <c r="M1762" i="2"/>
  <c r="L1762" i="2"/>
  <c r="K1762" i="2"/>
  <c r="J1762" i="2"/>
  <c r="I1762" i="2"/>
  <c r="G1762" i="2"/>
  <c r="A1762" i="2"/>
  <c r="M1761" i="2"/>
  <c r="L1761" i="2"/>
  <c r="K1761" i="2"/>
  <c r="J1761" i="2"/>
  <c r="I1761" i="2"/>
  <c r="G1761" i="2"/>
  <c r="A1761" i="2"/>
  <c r="M1760" i="2"/>
  <c r="L1760" i="2"/>
  <c r="K1760" i="2"/>
  <c r="J1760" i="2"/>
  <c r="I1760" i="2"/>
  <c r="G1760" i="2"/>
  <c r="A1760" i="2"/>
  <c r="M1759" i="2"/>
  <c r="L1759" i="2"/>
  <c r="K1759" i="2"/>
  <c r="J1759" i="2"/>
  <c r="I1759" i="2"/>
  <c r="G1759" i="2"/>
  <c r="A1759" i="2"/>
  <c r="M1758" i="2"/>
  <c r="L1758" i="2"/>
  <c r="K1758" i="2"/>
  <c r="J1758" i="2"/>
  <c r="I1758" i="2"/>
  <c r="G1758" i="2"/>
  <c r="A1758" i="2"/>
  <c r="M1757" i="2"/>
  <c r="L1757" i="2"/>
  <c r="K1757" i="2"/>
  <c r="J1757" i="2"/>
  <c r="I1757" i="2"/>
  <c r="G1757" i="2"/>
  <c r="A1757" i="2"/>
  <c r="M1756" i="2"/>
  <c r="L1756" i="2"/>
  <c r="K1756" i="2"/>
  <c r="J1756" i="2"/>
  <c r="I1756" i="2"/>
  <c r="G1756" i="2"/>
  <c r="A1756" i="2"/>
  <c r="M1755" i="2"/>
  <c r="L1755" i="2"/>
  <c r="K1755" i="2"/>
  <c r="J1755" i="2"/>
  <c r="I1755" i="2"/>
  <c r="G1755" i="2"/>
  <c r="A1755" i="2"/>
  <c r="M1754" i="2"/>
  <c r="L1754" i="2"/>
  <c r="K1754" i="2"/>
  <c r="J1754" i="2"/>
  <c r="I1754" i="2"/>
  <c r="G1754" i="2"/>
  <c r="A1754" i="2"/>
  <c r="M1753" i="2"/>
  <c r="L1753" i="2"/>
  <c r="K1753" i="2"/>
  <c r="J1753" i="2"/>
  <c r="I1753" i="2"/>
  <c r="G1753" i="2"/>
  <c r="A1753" i="2"/>
  <c r="M1752" i="2"/>
  <c r="L1752" i="2"/>
  <c r="K1752" i="2"/>
  <c r="J1752" i="2"/>
  <c r="I1752" i="2"/>
  <c r="G1752" i="2"/>
  <c r="A1752" i="2"/>
  <c r="M1751" i="2"/>
  <c r="L1751" i="2"/>
  <c r="K1751" i="2"/>
  <c r="J1751" i="2"/>
  <c r="I1751" i="2"/>
  <c r="G1751" i="2"/>
  <c r="A1751" i="2"/>
  <c r="M1750" i="2"/>
  <c r="L1750" i="2"/>
  <c r="K1750" i="2"/>
  <c r="J1750" i="2"/>
  <c r="I1750" i="2"/>
  <c r="G1750" i="2"/>
  <c r="A1750" i="2"/>
  <c r="M1749" i="2"/>
  <c r="L1749" i="2"/>
  <c r="K1749" i="2"/>
  <c r="J1749" i="2"/>
  <c r="I1749" i="2"/>
  <c r="G1749" i="2"/>
  <c r="A1749" i="2"/>
  <c r="M1748" i="2"/>
  <c r="L1748" i="2"/>
  <c r="K1748" i="2"/>
  <c r="J1748" i="2"/>
  <c r="I1748" i="2"/>
  <c r="G1748" i="2"/>
  <c r="A1748" i="2"/>
  <c r="M1747" i="2"/>
  <c r="L1747" i="2"/>
  <c r="K1747" i="2"/>
  <c r="J1747" i="2"/>
  <c r="I1747" i="2"/>
  <c r="G1747" i="2"/>
  <c r="A1747" i="2"/>
  <c r="M1746" i="2"/>
  <c r="L1746" i="2"/>
  <c r="K1746" i="2"/>
  <c r="J1746" i="2"/>
  <c r="I1746" i="2"/>
  <c r="G1746" i="2"/>
  <c r="A1746" i="2"/>
  <c r="M1745" i="2"/>
  <c r="L1745" i="2"/>
  <c r="K1745" i="2"/>
  <c r="J1745" i="2"/>
  <c r="I1745" i="2"/>
  <c r="G1745" i="2"/>
  <c r="A1745" i="2"/>
  <c r="M1744" i="2"/>
  <c r="L1744" i="2"/>
  <c r="K1744" i="2"/>
  <c r="J1744" i="2"/>
  <c r="I1744" i="2"/>
  <c r="G1744" i="2"/>
  <c r="A1744" i="2"/>
  <c r="M1743" i="2"/>
  <c r="L1743" i="2"/>
  <c r="K1743" i="2"/>
  <c r="J1743" i="2"/>
  <c r="I1743" i="2"/>
  <c r="G1743" i="2"/>
  <c r="A1743" i="2"/>
  <c r="M1742" i="2"/>
  <c r="L1742" i="2"/>
  <c r="K1742" i="2"/>
  <c r="J1742" i="2"/>
  <c r="I1742" i="2"/>
  <c r="G1742" i="2"/>
  <c r="A1742" i="2"/>
  <c r="M1741" i="2"/>
  <c r="L1741" i="2"/>
  <c r="K1741" i="2"/>
  <c r="J1741" i="2"/>
  <c r="I1741" i="2"/>
  <c r="G1741" i="2"/>
  <c r="A1741" i="2"/>
  <c r="M1740" i="2"/>
  <c r="L1740" i="2"/>
  <c r="K1740" i="2"/>
  <c r="J1740" i="2"/>
  <c r="I1740" i="2"/>
  <c r="G1740" i="2"/>
  <c r="A1740" i="2"/>
  <c r="M1739" i="2"/>
  <c r="L1739" i="2"/>
  <c r="K1739" i="2"/>
  <c r="J1739" i="2"/>
  <c r="I1739" i="2"/>
  <c r="G1739" i="2"/>
  <c r="A1739" i="2"/>
  <c r="M1738" i="2"/>
  <c r="L1738" i="2"/>
  <c r="K1738" i="2"/>
  <c r="J1738" i="2"/>
  <c r="I1738" i="2"/>
  <c r="G1738" i="2"/>
  <c r="A1738" i="2"/>
  <c r="M1737" i="2"/>
  <c r="L1737" i="2"/>
  <c r="K1737" i="2"/>
  <c r="J1737" i="2"/>
  <c r="I1737" i="2"/>
  <c r="G1737" i="2"/>
  <c r="A1737" i="2"/>
  <c r="M1736" i="2"/>
  <c r="L1736" i="2"/>
  <c r="K1736" i="2"/>
  <c r="J1736" i="2"/>
  <c r="I1736" i="2"/>
  <c r="G1736" i="2"/>
  <c r="A1736" i="2"/>
  <c r="M1735" i="2"/>
  <c r="L1735" i="2"/>
  <c r="K1735" i="2"/>
  <c r="J1735" i="2"/>
  <c r="I1735" i="2"/>
  <c r="G1735" i="2"/>
  <c r="A1735" i="2"/>
  <c r="M1734" i="2"/>
  <c r="L1734" i="2"/>
  <c r="K1734" i="2"/>
  <c r="J1734" i="2"/>
  <c r="I1734" i="2"/>
  <c r="G1734" i="2"/>
  <c r="A1734" i="2"/>
  <c r="M1733" i="2"/>
  <c r="L1733" i="2"/>
  <c r="K1733" i="2"/>
  <c r="J1733" i="2"/>
  <c r="I1733" i="2"/>
  <c r="G1733" i="2"/>
  <c r="A1733" i="2"/>
  <c r="M1732" i="2"/>
  <c r="L1732" i="2"/>
  <c r="K1732" i="2"/>
  <c r="J1732" i="2"/>
  <c r="I1732" i="2"/>
  <c r="G1732" i="2"/>
  <c r="A1732" i="2"/>
  <c r="M1731" i="2"/>
  <c r="L1731" i="2"/>
  <c r="K1731" i="2"/>
  <c r="J1731" i="2"/>
  <c r="I1731" i="2"/>
  <c r="G1731" i="2"/>
  <c r="A1731" i="2"/>
  <c r="M1730" i="2"/>
  <c r="L1730" i="2"/>
  <c r="K1730" i="2"/>
  <c r="J1730" i="2"/>
  <c r="I1730" i="2"/>
  <c r="G1730" i="2"/>
  <c r="A1730" i="2"/>
  <c r="M1729" i="2"/>
  <c r="L1729" i="2"/>
  <c r="K1729" i="2"/>
  <c r="J1729" i="2"/>
  <c r="I1729" i="2"/>
  <c r="G1729" i="2"/>
  <c r="A1729" i="2"/>
  <c r="M1728" i="2"/>
  <c r="L1728" i="2"/>
  <c r="K1728" i="2"/>
  <c r="J1728" i="2"/>
  <c r="I1728" i="2"/>
  <c r="G1728" i="2"/>
  <c r="A1728" i="2"/>
  <c r="M1727" i="2"/>
  <c r="L1727" i="2"/>
  <c r="K1727" i="2"/>
  <c r="J1727" i="2"/>
  <c r="I1727" i="2"/>
  <c r="G1727" i="2"/>
  <c r="A1727" i="2"/>
  <c r="M1726" i="2"/>
  <c r="L1726" i="2"/>
  <c r="K1726" i="2"/>
  <c r="J1726" i="2"/>
  <c r="I1726" i="2"/>
  <c r="G1726" i="2"/>
  <c r="A1726" i="2"/>
  <c r="M1725" i="2"/>
  <c r="L1725" i="2"/>
  <c r="K1725" i="2"/>
  <c r="J1725" i="2"/>
  <c r="I1725" i="2"/>
  <c r="G1725" i="2"/>
  <c r="A1725" i="2"/>
  <c r="M1724" i="2"/>
  <c r="L1724" i="2"/>
  <c r="K1724" i="2"/>
  <c r="J1724" i="2"/>
  <c r="I1724" i="2"/>
  <c r="G1724" i="2"/>
  <c r="A1724" i="2"/>
  <c r="M1723" i="2"/>
  <c r="L1723" i="2"/>
  <c r="K1723" i="2"/>
  <c r="J1723" i="2"/>
  <c r="I1723" i="2"/>
  <c r="G1723" i="2"/>
  <c r="A1723" i="2"/>
  <c r="M1722" i="2"/>
  <c r="L1722" i="2"/>
  <c r="K1722" i="2"/>
  <c r="J1722" i="2"/>
  <c r="I1722" i="2"/>
  <c r="G1722" i="2"/>
  <c r="A1722" i="2"/>
  <c r="M1721" i="2"/>
  <c r="L1721" i="2"/>
  <c r="K1721" i="2"/>
  <c r="J1721" i="2"/>
  <c r="I1721" i="2"/>
  <c r="G1721" i="2"/>
  <c r="A1721" i="2"/>
  <c r="M1720" i="2"/>
  <c r="L1720" i="2"/>
  <c r="K1720" i="2"/>
  <c r="J1720" i="2"/>
  <c r="I1720" i="2"/>
  <c r="G1720" i="2"/>
  <c r="A1720" i="2"/>
  <c r="M1719" i="2"/>
  <c r="L1719" i="2"/>
  <c r="K1719" i="2"/>
  <c r="J1719" i="2"/>
  <c r="I1719" i="2"/>
  <c r="G1719" i="2"/>
  <c r="A1719" i="2"/>
  <c r="M1718" i="2"/>
  <c r="L1718" i="2"/>
  <c r="K1718" i="2"/>
  <c r="J1718" i="2"/>
  <c r="I1718" i="2"/>
  <c r="G1718" i="2"/>
  <c r="A1718" i="2"/>
  <c r="M1717" i="2"/>
  <c r="L1717" i="2"/>
  <c r="K1717" i="2"/>
  <c r="J1717" i="2"/>
  <c r="I1717" i="2"/>
  <c r="G1717" i="2"/>
  <c r="A1717" i="2"/>
  <c r="M1716" i="2"/>
  <c r="L1716" i="2"/>
  <c r="K1716" i="2"/>
  <c r="J1716" i="2"/>
  <c r="I1716" i="2"/>
  <c r="G1716" i="2"/>
  <c r="A1716" i="2"/>
  <c r="M1715" i="2"/>
  <c r="L1715" i="2"/>
  <c r="K1715" i="2"/>
  <c r="J1715" i="2"/>
  <c r="I1715" i="2"/>
  <c r="G1715" i="2"/>
  <c r="A1715" i="2"/>
  <c r="M1714" i="2"/>
  <c r="L1714" i="2"/>
  <c r="K1714" i="2"/>
  <c r="J1714" i="2"/>
  <c r="I1714" i="2"/>
  <c r="G1714" i="2"/>
  <c r="A1714" i="2"/>
  <c r="M1713" i="2"/>
  <c r="L1713" i="2"/>
  <c r="K1713" i="2"/>
  <c r="J1713" i="2"/>
  <c r="I1713" i="2"/>
  <c r="G1713" i="2"/>
  <c r="A1713" i="2"/>
  <c r="M1712" i="2"/>
  <c r="L1712" i="2"/>
  <c r="K1712" i="2"/>
  <c r="J1712" i="2"/>
  <c r="I1712" i="2"/>
  <c r="G1712" i="2"/>
  <c r="A1712" i="2"/>
  <c r="M1711" i="2"/>
  <c r="L1711" i="2"/>
  <c r="K1711" i="2"/>
  <c r="J1711" i="2"/>
  <c r="I1711" i="2"/>
  <c r="G1711" i="2"/>
  <c r="A1711" i="2"/>
  <c r="M1710" i="2"/>
  <c r="L1710" i="2"/>
  <c r="K1710" i="2"/>
  <c r="J1710" i="2"/>
  <c r="I1710" i="2"/>
  <c r="G1710" i="2"/>
  <c r="A1710" i="2"/>
  <c r="M1709" i="2"/>
  <c r="L1709" i="2"/>
  <c r="K1709" i="2"/>
  <c r="J1709" i="2"/>
  <c r="I1709" i="2"/>
  <c r="G1709" i="2"/>
  <c r="A1709" i="2"/>
  <c r="M1708" i="2"/>
  <c r="L1708" i="2"/>
  <c r="K1708" i="2"/>
  <c r="J1708" i="2"/>
  <c r="I1708" i="2"/>
  <c r="G1708" i="2"/>
  <c r="A1708" i="2"/>
  <c r="M1707" i="2"/>
  <c r="L1707" i="2"/>
  <c r="K1707" i="2"/>
  <c r="J1707" i="2"/>
  <c r="I1707" i="2"/>
  <c r="G1707" i="2"/>
  <c r="A1707" i="2"/>
  <c r="M1706" i="2"/>
  <c r="L1706" i="2"/>
  <c r="K1706" i="2"/>
  <c r="J1706" i="2"/>
  <c r="I1706" i="2"/>
  <c r="G1706" i="2"/>
  <c r="A1706" i="2"/>
  <c r="M1705" i="2"/>
  <c r="L1705" i="2"/>
  <c r="K1705" i="2"/>
  <c r="J1705" i="2"/>
  <c r="I1705" i="2"/>
  <c r="G1705" i="2"/>
  <c r="A1705" i="2"/>
  <c r="M1704" i="2"/>
  <c r="L1704" i="2"/>
  <c r="K1704" i="2"/>
  <c r="J1704" i="2"/>
  <c r="I1704" i="2"/>
  <c r="G1704" i="2"/>
  <c r="A1704" i="2"/>
  <c r="M1703" i="2"/>
  <c r="L1703" i="2"/>
  <c r="K1703" i="2"/>
  <c r="J1703" i="2"/>
  <c r="I1703" i="2"/>
  <c r="G1703" i="2"/>
  <c r="A1703" i="2"/>
  <c r="M1702" i="2"/>
  <c r="L1702" i="2"/>
  <c r="K1702" i="2"/>
  <c r="J1702" i="2"/>
  <c r="I1702" i="2"/>
  <c r="G1702" i="2"/>
  <c r="A1702" i="2"/>
  <c r="M1701" i="2"/>
  <c r="L1701" i="2"/>
  <c r="K1701" i="2"/>
  <c r="J1701" i="2"/>
  <c r="I1701" i="2"/>
  <c r="G1701" i="2"/>
  <c r="A1701" i="2"/>
  <c r="M1700" i="2"/>
  <c r="L1700" i="2"/>
  <c r="K1700" i="2"/>
  <c r="J1700" i="2"/>
  <c r="I1700" i="2"/>
  <c r="G1700" i="2"/>
  <c r="A1700" i="2"/>
  <c r="M1699" i="2"/>
  <c r="L1699" i="2"/>
  <c r="K1699" i="2"/>
  <c r="J1699" i="2"/>
  <c r="I1699" i="2"/>
  <c r="G1699" i="2"/>
  <c r="A1699" i="2"/>
  <c r="M1698" i="2"/>
  <c r="L1698" i="2"/>
  <c r="K1698" i="2"/>
  <c r="J1698" i="2"/>
  <c r="I1698" i="2"/>
  <c r="G1698" i="2"/>
  <c r="A1698" i="2"/>
  <c r="M1697" i="2"/>
  <c r="L1697" i="2"/>
  <c r="K1697" i="2"/>
  <c r="J1697" i="2"/>
  <c r="I1697" i="2"/>
  <c r="G1697" i="2"/>
  <c r="A1697" i="2"/>
  <c r="M1696" i="2"/>
  <c r="L1696" i="2"/>
  <c r="K1696" i="2"/>
  <c r="J1696" i="2"/>
  <c r="I1696" i="2"/>
  <c r="G1696" i="2"/>
  <c r="A1696" i="2"/>
  <c r="M1695" i="2"/>
  <c r="L1695" i="2"/>
  <c r="K1695" i="2"/>
  <c r="J1695" i="2"/>
  <c r="I1695" i="2"/>
  <c r="G1695" i="2"/>
  <c r="A1695" i="2"/>
  <c r="M1694" i="2"/>
  <c r="L1694" i="2"/>
  <c r="K1694" i="2"/>
  <c r="J1694" i="2"/>
  <c r="I1694" i="2"/>
  <c r="G1694" i="2"/>
  <c r="A1694" i="2"/>
  <c r="M1693" i="2"/>
  <c r="L1693" i="2"/>
  <c r="K1693" i="2"/>
  <c r="J1693" i="2"/>
  <c r="I1693" i="2"/>
  <c r="G1693" i="2"/>
  <c r="A1693" i="2"/>
  <c r="M1692" i="2"/>
  <c r="L1692" i="2"/>
  <c r="K1692" i="2"/>
  <c r="J1692" i="2"/>
  <c r="I1692" i="2"/>
  <c r="G1692" i="2"/>
  <c r="A1692" i="2"/>
  <c r="M1691" i="2"/>
  <c r="L1691" i="2"/>
  <c r="K1691" i="2"/>
  <c r="J1691" i="2"/>
  <c r="I1691" i="2"/>
  <c r="G1691" i="2"/>
  <c r="A1691" i="2"/>
  <c r="M1690" i="2"/>
  <c r="L1690" i="2"/>
  <c r="K1690" i="2"/>
  <c r="J1690" i="2"/>
  <c r="I1690" i="2"/>
  <c r="G1690" i="2"/>
  <c r="A1690" i="2"/>
  <c r="M1689" i="2"/>
  <c r="L1689" i="2"/>
  <c r="K1689" i="2"/>
  <c r="J1689" i="2"/>
  <c r="I1689" i="2"/>
  <c r="G1689" i="2"/>
  <c r="A1689" i="2"/>
  <c r="M1688" i="2"/>
  <c r="L1688" i="2"/>
  <c r="K1688" i="2"/>
  <c r="J1688" i="2"/>
  <c r="I1688" i="2"/>
  <c r="G1688" i="2"/>
  <c r="A1688" i="2"/>
  <c r="M1687" i="2"/>
  <c r="L1687" i="2"/>
  <c r="K1687" i="2"/>
  <c r="J1687" i="2"/>
  <c r="I1687" i="2"/>
  <c r="G1687" i="2"/>
  <c r="A1687" i="2"/>
  <c r="M1686" i="2"/>
  <c r="L1686" i="2"/>
  <c r="K1686" i="2"/>
  <c r="J1686" i="2"/>
  <c r="I1686" i="2"/>
  <c r="G1686" i="2"/>
  <c r="A1686" i="2"/>
  <c r="M1685" i="2"/>
  <c r="L1685" i="2"/>
  <c r="K1685" i="2"/>
  <c r="J1685" i="2"/>
  <c r="I1685" i="2"/>
  <c r="G1685" i="2"/>
  <c r="A1685" i="2"/>
  <c r="M1684" i="2"/>
  <c r="L1684" i="2"/>
  <c r="K1684" i="2"/>
  <c r="J1684" i="2"/>
  <c r="I1684" i="2"/>
  <c r="G1684" i="2"/>
  <c r="A1684" i="2"/>
  <c r="M1683" i="2"/>
  <c r="L1683" i="2"/>
  <c r="K1683" i="2"/>
  <c r="J1683" i="2"/>
  <c r="I1683" i="2"/>
  <c r="G1683" i="2"/>
  <c r="A1683" i="2"/>
  <c r="M1682" i="2"/>
  <c r="L1682" i="2"/>
  <c r="K1682" i="2"/>
  <c r="J1682" i="2"/>
  <c r="I1682" i="2"/>
  <c r="G1682" i="2"/>
  <c r="A1682" i="2"/>
  <c r="M1681" i="2"/>
  <c r="L1681" i="2"/>
  <c r="K1681" i="2"/>
  <c r="J1681" i="2"/>
  <c r="I1681" i="2"/>
  <c r="G1681" i="2"/>
  <c r="A1681" i="2"/>
  <c r="M1680" i="2"/>
  <c r="L1680" i="2"/>
  <c r="K1680" i="2"/>
  <c r="J1680" i="2"/>
  <c r="I1680" i="2"/>
  <c r="G1680" i="2"/>
  <c r="A1680" i="2"/>
  <c r="M1679" i="2"/>
  <c r="L1679" i="2"/>
  <c r="K1679" i="2"/>
  <c r="J1679" i="2"/>
  <c r="I1679" i="2"/>
  <c r="G1679" i="2"/>
  <c r="A1679" i="2"/>
  <c r="M1678" i="2"/>
  <c r="L1678" i="2"/>
  <c r="K1678" i="2"/>
  <c r="J1678" i="2"/>
  <c r="I1678" i="2"/>
  <c r="G1678" i="2"/>
  <c r="A1678" i="2"/>
  <c r="M1677" i="2"/>
  <c r="L1677" i="2"/>
  <c r="K1677" i="2"/>
  <c r="J1677" i="2"/>
  <c r="I1677" i="2"/>
  <c r="G1677" i="2"/>
  <c r="A1677" i="2"/>
  <c r="M1676" i="2"/>
  <c r="L1676" i="2"/>
  <c r="K1676" i="2"/>
  <c r="J1676" i="2"/>
  <c r="I1676" i="2"/>
  <c r="G1676" i="2"/>
  <c r="A1676" i="2"/>
  <c r="M1675" i="2"/>
  <c r="L1675" i="2"/>
  <c r="K1675" i="2"/>
  <c r="J1675" i="2"/>
  <c r="I1675" i="2"/>
  <c r="G1675" i="2"/>
  <c r="A1675" i="2"/>
  <c r="M1674" i="2"/>
  <c r="L1674" i="2"/>
  <c r="K1674" i="2"/>
  <c r="J1674" i="2"/>
  <c r="I1674" i="2"/>
  <c r="G1674" i="2"/>
  <c r="A1674" i="2"/>
  <c r="M1673" i="2"/>
  <c r="L1673" i="2"/>
  <c r="K1673" i="2"/>
  <c r="J1673" i="2"/>
  <c r="I1673" i="2"/>
  <c r="G1673" i="2"/>
  <c r="A1673" i="2"/>
  <c r="M1672" i="2"/>
  <c r="L1672" i="2"/>
  <c r="K1672" i="2"/>
  <c r="J1672" i="2"/>
  <c r="I1672" i="2"/>
  <c r="G1672" i="2"/>
  <c r="A1672" i="2"/>
  <c r="M1671" i="2"/>
  <c r="L1671" i="2"/>
  <c r="K1671" i="2"/>
  <c r="J1671" i="2"/>
  <c r="I1671" i="2"/>
  <c r="G1671" i="2"/>
  <c r="A1671" i="2"/>
  <c r="M1670" i="2"/>
  <c r="L1670" i="2"/>
  <c r="K1670" i="2"/>
  <c r="J1670" i="2"/>
  <c r="I1670" i="2"/>
  <c r="G1670" i="2"/>
  <c r="A1670" i="2"/>
  <c r="M1669" i="2"/>
  <c r="L1669" i="2"/>
  <c r="K1669" i="2"/>
  <c r="J1669" i="2"/>
  <c r="I1669" i="2"/>
  <c r="G1669" i="2"/>
  <c r="A1669" i="2"/>
  <c r="M1668" i="2"/>
  <c r="L1668" i="2"/>
  <c r="K1668" i="2"/>
  <c r="J1668" i="2"/>
  <c r="I1668" i="2"/>
  <c r="G1668" i="2"/>
  <c r="A1668" i="2"/>
  <c r="M1667" i="2"/>
  <c r="L1667" i="2"/>
  <c r="K1667" i="2"/>
  <c r="J1667" i="2"/>
  <c r="I1667" i="2"/>
  <c r="G1667" i="2"/>
  <c r="A1667" i="2"/>
  <c r="M1666" i="2"/>
  <c r="L1666" i="2"/>
  <c r="K1666" i="2"/>
  <c r="J1666" i="2"/>
  <c r="I1666" i="2"/>
  <c r="G1666" i="2"/>
  <c r="A1666" i="2"/>
  <c r="M1665" i="2"/>
  <c r="L1665" i="2"/>
  <c r="K1665" i="2"/>
  <c r="J1665" i="2"/>
  <c r="I1665" i="2"/>
  <c r="G1665" i="2"/>
  <c r="A1665" i="2"/>
  <c r="M1664" i="2"/>
  <c r="L1664" i="2"/>
  <c r="K1664" i="2"/>
  <c r="J1664" i="2"/>
  <c r="I1664" i="2"/>
  <c r="G1664" i="2"/>
  <c r="A1664" i="2"/>
  <c r="M1663" i="2"/>
  <c r="L1663" i="2"/>
  <c r="K1663" i="2"/>
  <c r="J1663" i="2"/>
  <c r="I1663" i="2"/>
  <c r="G1663" i="2"/>
  <c r="A1663" i="2"/>
  <c r="M1661" i="2"/>
  <c r="L1661" i="2"/>
  <c r="K1661" i="2"/>
  <c r="J1661" i="2"/>
  <c r="I1661" i="2"/>
  <c r="G1661" i="2"/>
  <c r="A1661" i="2"/>
  <c r="M1660" i="2"/>
  <c r="L1660" i="2"/>
  <c r="K1660" i="2"/>
  <c r="J1660" i="2"/>
  <c r="I1660" i="2"/>
  <c r="G1660" i="2"/>
  <c r="A1660" i="2"/>
  <c r="M1659" i="2"/>
  <c r="L1659" i="2"/>
  <c r="K1659" i="2"/>
  <c r="J1659" i="2"/>
  <c r="I1659" i="2"/>
  <c r="G1659" i="2"/>
  <c r="A1659" i="2"/>
  <c r="M1658" i="2"/>
  <c r="L1658" i="2"/>
  <c r="K1658" i="2"/>
  <c r="J1658" i="2"/>
  <c r="I1658" i="2"/>
  <c r="G1658" i="2"/>
  <c r="A1658" i="2"/>
  <c r="M1657" i="2"/>
  <c r="L1657" i="2"/>
  <c r="K1657" i="2"/>
  <c r="J1657" i="2"/>
  <c r="I1657" i="2"/>
  <c r="G1657" i="2"/>
  <c r="A1657" i="2"/>
  <c r="M1656" i="2"/>
  <c r="L1656" i="2"/>
  <c r="K1656" i="2"/>
  <c r="J1656" i="2"/>
  <c r="I1656" i="2"/>
  <c r="G1656" i="2"/>
  <c r="A1656" i="2"/>
  <c r="M1655" i="2"/>
  <c r="L1655" i="2"/>
  <c r="K1655" i="2"/>
  <c r="J1655" i="2"/>
  <c r="I1655" i="2"/>
  <c r="G1655" i="2"/>
  <c r="A1655" i="2"/>
  <c r="M1654" i="2"/>
  <c r="L1654" i="2"/>
  <c r="K1654" i="2"/>
  <c r="J1654" i="2"/>
  <c r="I1654" i="2"/>
  <c r="G1654" i="2"/>
  <c r="A1654" i="2"/>
  <c r="M1652" i="2"/>
  <c r="L1652" i="2"/>
  <c r="K1652" i="2"/>
  <c r="J1652" i="2"/>
  <c r="I1652" i="2"/>
  <c r="G1652" i="2"/>
  <c r="A1652" i="2"/>
  <c r="M1651" i="2"/>
  <c r="L1651" i="2"/>
  <c r="K1651" i="2"/>
  <c r="J1651" i="2"/>
  <c r="I1651" i="2"/>
  <c r="G1651" i="2"/>
  <c r="A1651" i="2"/>
  <c r="M1650" i="2"/>
  <c r="L1650" i="2"/>
  <c r="K1650" i="2"/>
  <c r="J1650" i="2"/>
  <c r="I1650" i="2"/>
  <c r="G1650" i="2"/>
  <c r="A1650" i="2"/>
  <c r="M1649" i="2"/>
  <c r="L1649" i="2"/>
  <c r="K1649" i="2"/>
  <c r="J1649" i="2"/>
  <c r="I1649" i="2"/>
  <c r="G1649" i="2"/>
  <c r="A1649" i="2"/>
  <c r="M1648" i="2"/>
  <c r="L1648" i="2"/>
  <c r="K1648" i="2"/>
  <c r="J1648" i="2"/>
  <c r="I1648" i="2"/>
  <c r="G1648" i="2"/>
  <c r="A1648" i="2"/>
  <c r="M1647" i="2"/>
  <c r="L1647" i="2"/>
  <c r="K1647" i="2"/>
  <c r="J1647" i="2"/>
  <c r="I1647" i="2"/>
  <c r="G1647" i="2"/>
  <c r="A1647" i="2"/>
  <c r="M1646" i="2"/>
  <c r="L1646" i="2"/>
  <c r="K1646" i="2"/>
  <c r="J1646" i="2"/>
  <c r="I1646" i="2"/>
  <c r="G1646" i="2"/>
  <c r="A1646" i="2"/>
  <c r="M1645" i="2"/>
  <c r="L1645" i="2"/>
  <c r="K1645" i="2"/>
  <c r="J1645" i="2"/>
  <c r="I1645" i="2"/>
  <c r="G1645" i="2"/>
  <c r="A1645" i="2"/>
  <c r="M1644" i="2"/>
  <c r="L1644" i="2"/>
  <c r="K1644" i="2"/>
  <c r="J1644" i="2"/>
  <c r="I1644" i="2"/>
  <c r="G1644" i="2"/>
  <c r="A1644" i="2"/>
  <c r="M1643" i="2"/>
  <c r="L1643" i="2"/>
  <c r="K1643" i="2"/>
  <c r="J1643" i="2"/>
  <c r="I1643" i="2"/>
  <c r="G1643" i="2"/>
  <c r="A1643" i="2"/>
  <c r="M1642" i="2"/>
  <c r="L1642" i="2"/>
  <c r="K1642" i="2"/>
  <c r="J1642" i="2"/>
  <c r="I1642" i="2"/>
  <c r="G1642" i="2"/>
  <c r="A1642" i="2"/>
  <c r="M1641" i="2"/>
  <c r="L1641" i="2"/>
  <c r="K1641" i="2"/>
  <c r="J1641" i="2"/>
  <c r="I1641" i="2"/>
  <c r="G1641" i="2"/>
  <c r="A1641" i="2"/>
  <c r="M1640" i="2"/>
  <c r="L1640" i="2"/>
  <c r="K1640" i="2"/>
  <c r="J1640" i="2"/>
  <c r="I1640" i="2"/>
  <c r="G1640" i="2"/>
  <c r="A1640" i="2"/>
  <c r="M1639" i="2"/>
  <c r="L1639" i="2"/>
  <c r="K1639" i="2"/>
  <c r="J1639" i="2"/>
  <c r="I1639" i="2"/>
  <c r="G1639" i="2"/>
  <c r="A1639" i="2"/>
  <c r="M1638" i="2"/>
  <c r="L1638" i="2"/>
  <c r="K1638" i="2"/>
  <c r="J1638" i="2"/>
  <c r="I1638" i="2"/>
  <c r="G1638" i="2"/>
  <c r="A1638" i="2"/>
  <c r="M1637" i="2"/>
  <c r="L1637" i="2"/>
  <c r="K1637" i="2"/>
  <c r="J1637" i="2"/>
  <c r="I1637" i="2"/>
  <c r="G1637" i="2"/>
  <c r="A1637" i="2"/>
  <c r="M1636" i="2"/>
  <c r="L1636" i="2"/>
  <c r="K1636" i="2"/>
  <c r="J1636" i="2"/>
  <c r="I1636" i="2"/>
  <c r="G1636" i="2"/>
  <c r="A1636" i="2"/>
  <c r="M1635" i="2"/>
  <c r="L1635" i="2"/>
  <c r="K1635" i="2"/>
  <c r="J1635" i="2"/>
  <c r="I1635" i="2"/>
  <c r="G1635" i="2"/>
  <c r="A1635" i="2"/>
  <c r="M1634" i="2"/>
  <c r="L1634" i="2"/>
  <c r="K1634" i="2"/>
  <c r="J1634" i="2"/>
  <c r="I1634" i="2"/>
  <c r="G1634" i="2"/>
  <c r="A1634" i="2"/>
  <c r="G1253" i="2"/>
  <c r="G913" i="2"/>
  <c r="M899" i="2"/>
  <c r="L899" i="2"/>
  <c r="K899" i="2"/>
  <c r="J899" i="2"/>
  <c r="I899" i="2"/>
  <c r="G899" i="2"/>
  <c r="A899" i="2"/>
  <c r="M898" i="2"/>
  <c r="L898" i="2"/>
  <c r="K898" i="2"/>
  <c r="J898" i="2"/>
  <c r="I898" i="2"/>
  <c r="G898" i="2"/>
  <c r="A898" i="2"/>
  <c r="M897" i="2"/>
  <c r="L897" i="2"/>
  <c r="K897" i="2"/>
  <c r="J897" i="2"/>
  <c r="I897" i="2"/>
  <c r="G897" i="2"/>
  <c r="A897" i="2"/>
  <c r="M896" i="2"/>
  <c r="L896" i="2"/>
  <c r="K896" i="2"/>
  <c r="J896" i="2"/>
  <c r="I896" i="2"/>
  <c r="G896" i="2"/>
  <c r="A896" i="2"/>
  <c r="M895" i="2"/>
  <c r="L895" i="2"/>
  <c r="K895" i="2"/>
  <c r="J895" i="2"/>
  <c r="I895" i="2"/>
  <c r="G895" i="2"/>
  <c r="A895" i="2"/>
  <c r="M894" i="2"/>
  <c r="L894" i="2"/>
  <c r="K894" i="2"/>
  <c r="J894" i="2"/>
  <c r="I894" i="2"/>
  <c r="G894" i="2"/>
  <c r="A894" i="2"/>
  <c r="M893" i="2"/>
  <c r="L893" i="2"/>
  <c r="K893" i="2"/>
  <c r="J893" i="2"/>
  <c r="I893" i="2"/>
  <c r="G893" i="2"/>
  <c r="A893" i="2"/>
  <c r="M892" i="2"/>
  <c r="L892" i="2"/>
  <c r="K892" i="2"/>
  <c r="J892" i="2"/>
  <c r="I892" i="2"/>
  <c r="G892" i="2"/>
  <c r="A892" i="2"/>
  <c r="M891" i="2"/>
  <c r="L891" i="2"/>
  <c r="K891" i="2"/>
  <c r="J891" i="2"/>
  <c r="I891" i="2"/>
  <c r="G891" i="2"/>
  <c r="A891" i="2"/>
  <c r="M890" i="2"/>
  <c r="L890" i="2"/>
  <c r="K890" i="2"/>
  <c r="J890" i="2"/>
  <c r="I890" i="2"/>
  <c r="G890" i="2"/>
  <c r="A890" i="2"/>
  <c r="M889" i="2"/>
  <c r="L889" i="2"/>
  <c r="K889" i="2"/>
  <c r="J889" i="2"/>
  <c r="I889" i="2"/>
  <c r="G889" i="2"/>
  <c r="A889" i="2"/>
  <c r="M888" i="2"/>
  <c r="L888" i="2"/>
  <c r="K888" i="2"/>
  <c r="J888" i="2"/>
  <c r="I888" i="2"/>
  <c r="G888" i="2"/>
  <c r="A888" i="2"/>
  <c r="M887" i="2"/>
  <c r="L887" i="2"/>
  <c r="K887" i="2"/>
  <c r="J887" i="2"/>
  <c r="I887" i="2"/>
  <c r="G887" i="2"/>
  <c r="A887" i="2"/>
  <c r="M886" i="2"/>
  <c r="L886" i="2"/>
  <c r="K886" i="2"/>
  <c r="J886" i="2"/>
  <c r="I886" i="2"/>
  <c r="G886" i="2"/>
  <c r="A886" i="2"/>
  <c r="M885" i="2"/>
  <c r="L885" i="2"/>
  <c r="K885" i="2"/>
  <c r="J885" i="2"/>
  <c r="I885" i="2"/>
  <c r="G885" i="2"/>
  <c r="A885" i="2"/>
  <c r="M884" i="2"/>
  <c r="L884" i="2"/>
  <c r="K884" i="2"/>
  <c r="J884" i="2"/>
  <c r="I884" i="2"/>
  <c r="G884" i="2"/>
  <c r="A884" i="2"/>
  <c r="M883" i="2"/>
  <c r="L883" i="2"/>
  <c r="K883" i="2"/>
  <c r="J883" i="2"/>
  <c r="I883" i="2"/>
  <c r="G883" i="2"/>
  <c r="A883" i="2"/>
  <c r="M882" i="2"/>
  <c r="L882" i="2"/>
  <c r="K882" i="2"/>
  <c r="J882" i="2"/>
  <c r="I882" i="2"/>
  <c r="G882" i="2"/>
  <c r="A882" i="2"/>
  <c r="M881" i="2"/>
  <c r="L881" i="2"/>
  <c r="K881" i="2"/>
  <c r="J881" i="2"/>
  <c r="I881" i="2"/>
  <c r="G881" i="2"/>
  <c r="A881" i="2"/>
  <c r="M880" i="2"/>
  <c r="L880" i="2"/>
  <c r="K880" i="2"/>
  <c r="J880" i="2"/>
  <c r="I880" i="2"/>
  <c r="G880" i="2"/>
  <c r="A880" i="2"/>
  <c r="M879" i="2"/>
  <c r="L879" i="2"/>
  <c r="K879" i="2"/>
  <c r="J879" i="2"/>
  <c r="I879" i="2"/>
  <c r="G879" i="2"/>
  <c r="A879" i="2"/>
  <c r="M878" i="2"/>
  <c r="L878" i="2"/>
  <c r="K878" i="2"/>
  <c r="J878" i="2"/>
  <c r="I878" i="2"/>
  <c r="G878" i="2"/>
  <c r="A878" i="2"/>
  <c r="M877" i="2"/>
  <c r="L877" i="2"/>
  <c r="K877" i="2"/>
  <c r="J877" i="2"/>
  <c r="I877" i="2"/>
  <c r="G877" i="2"/>
  <c r="A877" i="2"/>
  <c r="M876" i="2"/>
  <c r="L876" i="2"/>
  <c r="K876" i="2"/>
  <c r="J876" i="2"/>
  <c r="I876" i="2"/>
  <c r="G876" i="2"/>
  <c r="A876" i="2"/>
  <c r="M875" i="2"/>
  <c r="L875" i="2"/>
  <c r="K875" i="2"/>
  <c r="J875" i="2"/>
  <c r="I875" i="2"/>
  <c r="G875" i="2"/>
  <c r="A875" i="2"/>
  <c r="M874" i="2"/>
  <c r="L874" i="2"/>
  <c r="K874" i="2"/>
  <c r="J874" i="2"/>
  <c r="I874" i="2"/>
  <c r="G874" i="2"/>
  <c r="A874" i="2"/>
  <c r="M873" i="2"/>
  <c r="L873" i="2"/>
  <c r="K873" i="2"/>
  <c r="J873" i="2"/>
  <c r="I873" i="2"/>
  <c r="G873" i="2"/>
  <c r="A873" i="2"/>
  <c r="M872" i="2"/>
  <c r="L872" i="2"/>
  <c r="K872" i="2"/>
  <c r="J872" i="2"/>
  <c r="I872" i="2"/>
  <c r="G872" i="2"/>
  <c r="A872" i="2"/>
  <c r="M871" i="2"/>
  <c r="L871" i="2"/>
  <c r="K871" i="2"/>
  <c r="J871" i="2"/>
  <c r="I871" i="2"/>
  <c r="G871" i="2"/>
  <c r="A871" i="2"/>
  <c r="M870" i="2"/>
  <c r="L870" i="2"/>
  <c r="K870" i="2"/>
  <c r="J870" i="2"/>
  <c r="I870" i="2"/>
  <c r="G870" i="2"/>
  <c r="A870" i="2"/>
  <c r="M869" i="2"/>
  <c r="L869" i="2"/>
  <c r="K869" i="2"/>
  <c r="J869" i="2"/>
  <c r="I869" i="2"/>
  <c r="G869" i="2"/>
  <c r="A869" i="2"/>
  <c r="M868" i="2"/>
  <c r="L868" i="2"/>
  <c r="K868" i="2"/>
  <c r="J868" i="2"/>
  <c r="I868" i="2"/>
  <c r="G868" i="2"/>
  <c r="A868" i="2"/>
  <c r="M867" i="2"/>
  <c r="L867" i="2"/>
  <c r="K867" i="2"/>
  <c r="J867" i="2"/>
  <c r="I867" i="2"/>
  <c r="G867" i="2"/>
  <c r="A867" i="2"/>
  <c r="M866" i="2"/>
  <c r="L866" i="2"/>
  <c r="K866" i="2"/>
  <c r="J866" i="2"/>
  <c r="I866" i="2"/>
  <c r="G866" i="2"/>
  <c r="A866" i="2"/>
  <c r="M865" i="2"/>
  <c r="L865" i="2"/>
  <c r="K865" i="2"/>
  <c r="J865" i="2"/>
  <c r="I865" i="2"/>
  <c r="G865" i="2"/>
  <c r="A865" i="2"/>
  <c r="M864" i="2"/>
  <c r="L864" i="2"/>
  <c r="K864" i="2"/>
  <c r="J864" i="2"/>
  <c r="I864" i="2"/>
  <c r="G864" i="2"/>
  <c r="A864" i="2"/>
  <c r="M863" i="2"/>
  <c r="L863" i="2"/>
  <c r="K863" i="2"/>
  <c r="J863" i="2"/>
  <c r="I863" i="2"/>
  <c r="G863" i="2"/>
  <c r="A863" i="2"/>
  <c r="M862" i="2"/>
  <c r="L862" i="2"/>
  <c r="K862" i="2"/>
  <c r="J862" i="2"/>
  <c r="I862" i="2"/>
  <c r="G862" i="2"/>
  <c r="A862" i="2"/>
  <c r="M861" i="2"/>
  <c r="L861" i="2"/>
  <c r="K861" i="2"/>
  <c r="J861" i="2"/>
  <c r="I861" i="2"/>
  <c r="G861" i="2"/>
  <c r="A861" i="2"/>
  <c r="M860" i="2"/>
  <c r="L860" i="2"/>
  <c r="K860" i="2"/>
  <c r="J860" i="2"/>
  <c r="I860" i="2"/>
  <c r="G860" i="2"/>
  <c r="A860" i="2"/>
  <c r="M859" i="2"/>
  <c r="L859" i="2"/>
  <c r="K859" i="2"/>
  <c r="J859" i="2"/>
  <c r="I859" i="2"/>
  <c r="G859" i="2"/>
  <c r="A859" i="2"/>
  <c r="M858" i="2"/>
  <c r="L858" i="2"/>
  <c r="K858" i="2"/>
  <c r="J858" i="2"/>
  <c r="I858" i="2"/>
  <c r="G858" i="2"/>
  <c r="A858" i="2"/>
  <c r="M857" i="2"/>
  <c r="L857" i="2"/>
  <c r="K857" i="2"/>
  <c r="J857" i="2"/>
  <c r="I857" i="2"/>
  <c r="G857" i="2"/>
  <c r="A857" i="2"/>
  <c r="M856" i="2"/>
  <c r="L856" i="2"/>
  <c r="K856" i="2"/>
  <c r="J856" i="2"/>
  <c r="I856" i="2"/>
  <c r="G856" i="2"/>
  <c r="A856" i="2"/>
  <c r="M855" i="2"/>
  <c r="L855" i="2"/>
  <c r="K855" i="2"/>
  <c r="J855" i="2"/>
  <c r="I855" i="2"/>
  <c r="G855" i="2"/>
  <c r="A855" i="2"/>
  <c r="M854" i="2"/>
  <c r="L854" i="2"/>
  <c r="K854" i="2"/>
  <c r="J854" i="2"/>
  <c r="I854" i="2"/>
  <c r="G854" i="2"/>
  <c r="A854" i="2"/>
  <c r="M853" i="2"/>
  <c r="L853" i="2"/>
  <c r="K853" i="2"/>
  <c r="J853" i="2"/>
  <c r="I853" i="2"/>
  <c r="G853" i="2"/>
  <c r="A853" i="2"/>
  <c r="M852" i="2"/>
  <c r="L852" i="2"/>
  <c r="K852" i="2"/>
  <c r="J852" i="2"/>
  <c r="I852" i="2"/>
  <c r="G852" i="2"/>
  <c r="A852" i="2"/>
  <c r="M851" i="2"/>
  <c r="L851" i="2"/>
  <c r="K851" i="2"/>
  <c r="J851" i="2"/>
  <c r="I851" i="2"/>
  <c r="G851" i="2"/>
  <c r="A851" i="2"/>
  <c r="M850" i="2"/>
  <c r="L850" i="2"/>
  <c r="K850" i="2"/>
  <c r="J850" i="2"/>
  <c r="I850" i="2"/>
  <c r="G850" i="2"/>
  <c r="A850" i="2"/>
  <c r="M849" i="2"/>
  <c r="L849" i="2"/>
  <c r="K849" i="2"/>
  <c r="J849" i="2"/>
  <c r="I849" i="2"/>
  <c r="G849" i="2"/>
  <c r="A849" i="2"/>
  <c r="M848" i="2"/>
  <c r="L848" i="2"/>
  <c r="K848" i="2"/>
  <c r="J848" i="2"/>
  <c r="I848" i="2"/>
  <c r="G848" i="2"/>
  <c r="A848" i="2"/>
  <c r="M847" i="2"/>
  <c r="L847" i="2"/>
  <c r="K847" i="2"/>
  <c r="J847" i="2"/>
  <c r="I847" i="2"/>
  <c r="G847" i="2"/>
  <c r="A847" i="2"/>
  <c r="M846" i="2"/>
  <c r="L846" i="2"/>
  <c r="K846" i="2"/>
  <c r="J846" i="2"/>
  <c r="I846" i="2"/>
  <c r="G846" i="2"/>
  <c r="A846" i="2"/>
  <c r="M845" i="2"/>
  <c r="L845" i="2"/>
  <c r="K845" i="2"/>
  <c r="J845" i="2"/>
  <c r="I845" i="2"/>
  <c r="G845" i="2"/>
  <c r="A845" i="2"/>
  <c r="M844" i="2"/>
  <c r="L844" i="2"/>
  <c r="K844" i="2"/>
  <c r="J844" i="2"/>
  <c r="I844" i="2"/>
  <c r="G844" i="2"/>
  <c r="A844" i="2"/>
  <c r="M843" i="2"/>
  <c r="L843" i="2"/>
  <c r="K843" i="2"/>
  <c r="J843" i="2"/>
  <c r="I843" i="2"/>
  <c r="G843" i="2"/>
  <c r="A843" i="2"/>
  <c r="M842" i="2"/>
  <c r="L842" i="2"/>
  <c r="K842" i="2"/>
  <c r="J842" i="2"/>
  <c r="I842" i="2"/>
  <c r="G842" i="2"/>
  <c r="A842" i="2"/>
  <c r="M841" i="2"/>
  <c r="L841" i="2"/>
  <c r="K841" i="2"/>
  <c r="J841" i="2"/>
  <c r="I841" i="2"/>
  <c r="G841" i="2"/>
  <c r="A841" i="2"/>
  <c r="M840" i="2"/>
  <c r="L840" i="2"/>
  <c r="K840" i="2"/>
  <c r="J840" i="2"/>
  <c r="I840" i="2"/>
  <c r="G840" i="2"/>
  <c r="A840" i="2"/>
  <c r="M839" i="2"/>
  <c r="L839" i="2"/>
  <c r="K839" i="2"/>
  <c r="J839" i="2"/>
  <c r="I839" i="2"/>
  <c r="G839" i="2"/>
  <c r="A839" i="2"/>
  <c r="M838" i="2"/>
  <c r="L838" i="2"/>
  <c r="K838" i="2"/>
  <c r="J838" i="2"/>
  <c r="I838" i="2"/>
  <c r="G838" i="2"/>
  <c r="A838" i="2"/>
  <c r="M836" i="2"/>
  <c r="L836" i="2"/>
  <c r="K836" i="2"/>
  <c r="J836" i="2"/>
  <c r="I836" i="2"/>
  <c r="G836" i="2"/>
  <c r="A836" i="2"/>
  <c r="M835" i="2"/>
  <c r="L835" i="2"/>
  <c r="K835" i="2"/>
  <c r="J835" i="2"/>
  <c r="I835" i="2"/>
  <c r="G835" i="2"/>
  <c r="A835" i="2"/>
  <c r="M834" i="2"/>
  <c r="L834" i="2"/>
  <c r="K834" i="2"/>
  <c r="J834" i="2"/>
  <c r="I834" i="2"/>
  <c r="G834" i="2"/>
  <c r="A834" i="2"/>
  <c r="M833" i="2"/>
  <c r="L833" i="2"/>
  <c r="K833" i="2"/>
  <c r="J833" i="2"/>
  <c r="I833" i="2"/>
  <c r="G833" i="2"/>
  <c r="A833" i="2"/>
  <c r="M832" i="2"/>
  <c r="L832" i="2"/>
  <c r="K832" i="2"/>
  <c r="J832" i="2"/>
  <c r="I832" i="2"/>
  <c r="G832" i="2"/>
  <c r="A832" i="2"/>
  <c r="M831" i="2"/>
  <c r="L831" i="2"/>
  <c r="K831" i="2"/>
  <c r="J831" i="2"/>
  <c r="I831" i="2"/>
  <c r="G831" i="2"/>
  <c r="A831" i="2"/>
  <c r="M830" i="2"/>
  <c r="L830" i="2"/>
  <c r="K830" i="2"/>
  <c r="J830" i="2"/>
  <c r="I830" i="2"/>
  <c r="G830" i="2"/>
  <c r="A830" i="2"/>
  <c r="M829" i="2"/>
  <c r="L829" i="2"/>
  <c r="K829" i="2"/>
  <c r="J829" i="2"/>
  <c r="I829" i="2"/>
  <c r="G829" i="2"/>
  <c r="A829" i="2"/>
  <c r="M828" i="2"/>
  <c r="L828" i="2"/>
  <c r="K828" i="2"/>
  <c r="J828" i="2"/>
  <c r="I828" i="2"/>
  <c r="G828" i="2"/>
  <c r="A828" i="2"/>
  <c r="M827" i="2"/>
  <c r="L827" i="2"/>
  <c r="K827" i="2"/>
  <c r="J827" i="2"/>
  <c r="I827" i="2"/>
  <c r="G827" i="2"/>
  <c r="A827" i="2"/>
  <c r="M826" i="2"/>
  <c r="L826" i="2"/>
  <c r="K826" i="2"/>
  <c r="J826" i="2"/>
  <c r="I826" i="2"/>
  <c r="G826" i="2"/>
  <c r="A826" i="2"/>
  <c r="M825" i="2"/>
  <c r="L825" i="2"/>
  <c r="K825" i="2"/>
  <c r="J825" i="2"/>
  <c r="I825" i="2"/>
  <c r="G825" i="2"/>
  <c r="A825" i="2"/>
  <c r="M824" i="2"/>
  <c r="L824" i="2"/>
  <c r="K824" i="2"/>
  <c r="J824" i="2"/>
  <c r="I824" i="2"/>
  <c r="G824" i="2"/>
  <c r="A824" i="2"/>
  <c r="M823" i="2"/>
  <c r="L823" i="2"/>
  <c r="K823" i="2"/>
  <c r="J823" i="2"/>
  <c r="I823" i="2"/>
  <c r="G823" i="2"/>
  <c r="A823" i="2"/>
  <c r="M822" i="2"/>
  <c r="L822" i="2"/>
  <c r="K822" i="2"/>
  <c r="J822" i="2"/>
  <c r="I822" i="2"/>
  <c r="G822" i="2"/>
  <c r="A822" i="2"/>
  <c r="M821" i="2"/>
  <c r="L821" i="2"/>
  <c r="K821" i="2"/>
  <c r="J821" i="2"/>
  <c r="I821" i="2"/>
  <c r="G821" i="2"/>
  <c r="A821" i="2"/>
  <c r="M820" i="2"/>
  <c r="L820" i="2"/>
  <c r="K820" i="2"/>
  <c r="J820" i="2"/>
  <c r="I820" i="2"/>
  <c r="G820" i="2"/>
  <c r="A820" i="2"/>
  <c r="M819" i="2"/>
  <c r="L819" i="2"/>
  <c r="K819" i="2"/>
  <c r="J819" i="2"/>
  <c r="I819" i="2"/>
  <c r="G819" i="2"/>
  <c r="A819" i="2"/>
  <c r="M818" i="2"/>
  <c r="L818" i="2"/>
  <c r="K818" i="2"/>
  <c r="J818" i="2"/>
  <c r="I818" i="2"/>
  <c r="G818" i="2"/>
  <c r="A818" i="2"/>
  <c r="M817" i="2"/>
  <c r="L817" i="2"/>
  <c r="K817" i="2"/>
  <c r="J817" i="2"/>
  <c r="I817" i="2"/>
  <c r="G817" i="2"/>
  <c r="A817" i="2"/>
  <c r="M816" i="2"/>
  <c r="L816" i="2"/>
  <c r="K816" i="2"/>
  <c r="J816" i="2"/>
  <c r="I816" i="2"/>
  <c r="G816" i="2"/>
  <c r="A816" i="2"/>
  <c r="M814" i="2"/>
  <c r="L814" i="2"/>
  <c r="K814" i="2"/>
  <c r="J814" i="2"/>
  <c r="I814" i="2"/>
  <c r="G814" i="2"/>
  <c r="A814" i="2"/>
  <c r="M813" i="2"/>
  <c r="L813" i="2"/>
  <c r="K813" i="2"/>
  <c r="J813" i="2"/>
  <c r="I813" i="2"/>
  <c r="G813" i="2"/>
  <c r="A813" i="2"/>
  <c r="M812" i="2"/>
  <c r="L812" i="2"/>
  <c r="K812" i="2"/>
  <c r="J812" i="2"/>
  <c r="I812" i="2"/>
  <c r="G812" i="2"/>
  <c r="A812" i="2"/>
  <c r="M811" i="2"/>
  <c r="L811" i="2"/>
  <c r="K811" i="2"/>
  <c r="J811" i="2"/>
  <c r="I811" i="2"/>
  <c r="G811" i="2"/>
  <c r="A811" i="2"/>
  <c r="M810" i="2"/>
  <c r="L810" i="2"/>
  <c r="K810" i="2"/>
  <c r="J810" i="2"/>
  <c r="I810" i="2"/>
  <c r="G810" i="2"/>
  <c r="A810" i="2"/>
  <c r="M809" i="2"/>
  <c r="L809" i="2"/>
  <c r="K809" i="2"/>
  <c r="J809" i="2"/>
  <c r="I809" i="2"/>
  <c r="G809" i="2"/>
  <c r="A809" i="2"/>
  <c r="M808" i="2"/>
  <c r="L808" i="2"/>
  <c r="K808" i="2"/>
  <c r="J808" i="2"/>
  <c r="I808" i="2"/>
  <c r="G808" i="2"/>
  <c r="A808" i="2"/>
  <c r="M807" i="2"/>
  <c r="L807" i="2"/>
  <c r="K807" i="2"/>
  <c r="J807" i="2"/>
  <c r="I807" i="2"/>
  <c r="G807" i="2"/>
  <c r="A807" i="2"/>
  <c r="M806" i="2"/>
  <c r="L806" i="2"/>
  <c r="K806" i="2"/>
  <c r="J806" i="2"/>
  <c r="I806" i="2"/>
  <c r="G806" i="2"/>
  <c r="A806" i="2"/>
  <c r="M805" i="2"/>
  <c r="L805" i="2"/>
  <c r="K805" i="2"/>
  <c r="J805" i="2"/>
  <c r="I805" i="2"/>
  <c r="G805" i="2"/>
  <c r="A805" i="2"/>
  <c r="M804" i="2"/>
  <c r="L804" i="2"/>
  <c r="K804" i="2"/>
  <c r="J804" i="2"/>
  <c r="I804" i="2"/>
  <c r="G804" i="2"/>
  <c r="A804" i="2"/>
  <c r="M803" i="2"/>
  <c r="L803" i="2"/>
  <c r="K803" i="2"/>
  <c r="J803" i="2"/>
  <c r="I803" i="2"/>
  <c r="G803" i="2"/>
  <c r="A803" i="2"/>
  <c r="M802" i="2"/>
  <c r="L802" i="2"/>
  <c r="K802" i="2"/>
  <c r="J802" i="2"/>
  <c r="I802" i="2"/>
  <c r="G802" i="2"/>
  <c r="A802" i="2"/>
  <c r="M801" i="2"/>
  <c r="L801" i="2"/>
  <c r="K801" i="2"/>
  <c r="J801" i="2"/>
  <c r="I801" i="2"/>
  <c r="G801" i="2"/>
  <c r="A801" i="2"/>
  <c r="M800" i="2"/>
  <c r="L800" i="2"/>
  <c r="K800" i="2"/>
  <c r="J800" i="2"/>
  <c r="I800" i="2"/>
  <c r="G800" i="2"/>
  <c r="A800" i="2"/>
  <c r="M798" i="2"/>
  <c r="L798" i="2"/>
  <c r="K798" i="2"/>
  <c r="J798" i="2"/>
  <c r="I798" i="2"/>
  <c r="G798" i="2"/>
  <c r="A798" i="2"/>
  <c r="M797" i="2"/>
  <c r="L797" i="2"/>
  <c r="K797" i="2"/>
  <c r="J797" i="2"/>
  <c r="I797" i="2"/>
  <c r="G797" i="2"/>
  <c r="A797" i="2"/>
  <c r="M796" i="2"/>
  <c r="L796" i="2"/>
  <c r="K796" i="2"/>
  <c r="J796" i="2"/>
  <c r="I796" i="2"/>
  <c r="G796" i="2"/>
  <c r="A796" i="2"/>
  <c r="M795" i="2"/>
  <c r="L795" i="2"/>
  <c r="K795" i="2"/>
  <c r="J795" i="2"/>
  <c r="I795" i="2"/>
  <c r="G795" i="2"/>
  <c r="A795" i="2"/>
  <c r="M794" i="2"/>
  <c r="L794" i="2"/>
  <c r="K794" i="2"/>
  <c r="J794" i="2"/>
  <c r="I794" i="2"/>
  <c r="G794" i="2"/>
  <c r="A794" i="2"/>
  <c r="M793" i="2"/>
  <c r="L793" i="2"/>
  <c r="K793" i="2"/>
  <c r="J793" i="2"/>
  <c r="I793" i="2"/>
  <c r="G793" i="2"/>
  <c r="A793" i="2"/>
  <c r="M792" i="2"/>
  <c r="L792" i="2"/>
  <c r="K792" i="2"/>
  <c r="J792" i="2"/>
  <c r="I792" i="2"/>
  <c r="G792" i="2"/>
  <c r="A792" i="2"/>
  <c r="M791" i="2"/>
  <c r="L791" i="2"/>
  <c r="K791" i="2"/>
  <c r="J791" i="2"/>
  <c r="I791" i="2"/>
  <c r="G791" i="2"/>
  <c r="A791" i="2"/>
  <c r="M790" i="2"/>
  <c r="L790" i="2"/>
  <c r="K790" i="2"/>
  <c r="J790" i="2"/>
  <c r="I790" i="2"/>
  <c r="G790" i="2"/>
  <c r="A790" i="2"/>
  <c r="M789" i="2"/>
  <c r="L789" i="2"/>
  <c r="K789" i="2"/>
  <c r="J789" i="2"/>
  <c r="I789" i="2"/>
  <c r="G789" i="2"/>
  <c r="A789" i="2"/>
  <c r="M788" i="2"/>
  <c r="L788" i="2"/>
  <c r="K788" i="2"/>
  <c r="J788" i="2"/>
  <c r="I788" i="2"/>
  <c r="G788" i="2"/>
  <c r="A788" i="2"/>
  <c r="M786" i="2"/>
  <c r="L786" i="2"/>
  <c r="K786" i="2"/>
  <c r="J786" i="2"/>
  <c r="I786" i="2"/>
  <c r="G786" i="2"/>
  <c r="A786" i="2"/>
  <c r="M785" i="2"/>
  <c r="L785" i="2"/>
  <c r="K785" i="2"/>
  <c r="J785" i="2"/>
  <c r="I785" i="2"/>
  <c r="G785" i="2"/>
  <c r="A785" i="2"/>
  <c r="M784" i="2"/>
  <c r="L784" i="2"/>
  <c r="K784" i="2"/>
  <c r="J784" i="2"/>
  <c r="I784" i="2"/>
  <c r="G784" i="2"/>
  <c r="A784" i="2"/>
  <c r="M783" i="2"/>
  <c r="L783" i="2"/>
  <c r="K783" i="2"/>
  <c r="J783" i="2"/>
  <c r="I783" i="2"/>
  <c r="G783" i="2"/>
  <c r="A783" i="2"/>
  <c r="M782" i="2"/>
  <c r="L782" i="2"/>
  <c r="K782" i="2"/>
  <c r="J782" i="2"/>
  <c r="I782" i="2"/>
  <c r="G782" i="2"/>
  <c r="A782" i="2"/>
  <c r="M781" i="2"/>
  <c r="L781" i="2"/>
  <c r="K781" i="2"/>
  <c r="J781" i="2"/>
  <c r="I781" i="2"/>
  <c r="G781" i="2"/>
  <c r="A781" i="2"/>
  <c r="M780" i="2"/>
  <c r="L780" i="2"/>
  <c r="K780" i="2"/>
  <c r="J780" i="2"/>
  <c r="I780" i="2"/>
  <c r="G780" i="2"/>
  <c r="A780" i="2"/>
  <c r="M779" i="2"/>
  <c r="L779" i="2"/>
  <c r="K779" i="2"/>
  <c r="J779" i="2"/>
  <c r="I779" i="2"/>
  <c r="G779" i="2"/>
  <c r="A779" i="2"/>
  <c r="M778" i="2"/>
  <c r="L778" i="2"/>
  <c r="K778" i="2"/>
  <c r="J778" i="2"/>
  <c r="I778" i="2"/>
  <c r="G778" i="2"/>
  <c r="A778" i="2"/>
  <c r="M777" i="2"/>
  <c r="L777" i="2"/>
  <c r="K777" i="2"/>
  <c r="J777" i="2"/>
  <c r="I777" i="2"/>
  <c r="G777" i="2"/>
  <c r="A777" i="2"/>
  <c r="M776" i="2"/>
  <c r="L776" i="2"/>
  <c r="K776" i="2"/>
  <c r="J776" i="2"/>
  <c r="I776" i="2"/>
  <c r="G776" i="2"/>
  <c r="A776" i="2"/>
  <c r="M775" i="2"/>
  <c r="L775" i="2"/>
  <c r="K775" i="2"/>
  <c r="J775" i="2"/>
  <c r="I775" i="2"/>
  <c r="G775" i="2"/>
  <c r="A775" i="2"/>
  <c r="M774" i="2"/>
  <c r="L774" i="2"/>
  <c r="K774" i="2"/>
  <c r="J774" i="2"/>
  <c r="I774" i="2"/>
  <c r="G774" i="2"/>
  <c r="A774" i="2"/>
  <c r="M773" i="2"/>
  <c r="L773" i="2"/>
  <c r="K773" i="2"/>
  <c r="J773" i="2"/>
  <c r="I773" i="2"/>
  <c r="G773" i="2"/>
  <c r="A773" i="2"/>
  <c r="M772" i="2"/>
  <c r="L772" i="2"/>
  <c r="K772" i="2"/>
  <c r="J772" i="2"/>
  <c r="I772" i="2"/>
  <c r="G772" i="2"/>
  <c r="A772" i="2"/>
  <c r="M771" i="2"/>
  <c r="L771" i="2"/>
  <c r="K771" i="2"/>
  <c r="J771" i="2"/>
  <c r="I771" i="2"/>
  <c r="G771" i="2"/>
  <c r="A771" i="2"/>
  <c r="M770" i="2"/>
  <c r="L770" i="2"/>
  <c r="K770" i="2"/>
  <c r="J770" i="2"/>
  <c r="I770" i="2"/>
  <c r="G770" i="2"/>
  <c r="A770" i="2"/>
  <c r="M769" i="2"/>
  <c r="L769" i="2"/>
  <c r="K769" i="2"/>
  <c r="J769" i="2"/>
  <c r="I769" i="2"/>
  <c r="G769" i="2"/>
  <c r="A769" i="2"/>
  <c r="M768" i="2"/>
  <c r="L768" i="2"/>
  <c r="K768" i="2"/>
  <c r="J768" i="2"/>
  <c r="I768" i="2"/>
  <c r="G768" i="2"/>
  <c r="A768" i="2"/>
  <c r="M767" i="2"/>
  <c r="L767" i="2"/>
  <c r="K767" i="2"/>
  <c r="J767" i="2"/>
  <c r="I767" i="2"/>
  <c r="G767" i="2"/>
  <c r="A767" i="2"/>
  <c r="M766" i="2"/>
  <c r="L766" i="2"/>
  <c r="K766" i="2"/>
  <c r="J766" i="2"/>
  <c r="I766" i="2"/>
  <c r="G766" i="2"/>
  <c r="A766" i="2"/>
  <c r="M765" i="2"/>
  <c r="L765" i="2"/>
  <c r="K765" i="2"/>
  <c r="J765" i="2"/>
  <c r="I765" i="2"/>
  <c r="G765" i="2"/>
  <c r="A765" i="2"/>
  <c r="M764" i="2"/>
  <c r="L764" i="2"/>
  <c r="K764" i="2"/>
  <c r="J764" i="2"/>
  <c r="I764" i="2"/>
  <c r="G764" i="2"/>
  <c r="A764" i="2"/>
  <c r="M763" i="2"/>
  <c r="L763" i="2"/>
  <c r="K763" i="2"/>
  <c r="J763" i="2"/>
  <c r="I763" i="2"/>
  <c r="G763" i="2"/>
  <c r="A763" i="2"/>
  <c r="M762" i="2"/>
  <c r="L762" i="2"/>
  <c r="K762" i="2"/>
  <c r="J762" i="2"/>
  <c r="I762" i="2"/>
  <c r="G762" i="2"/>
  <c r="A762" i="2"/>
  <c r="M761" i="2"/>
  <c r="L761" i="2"/>
  <c r="K761" i="2"/>
  <c r="J761" i="2"/>
  <c r="I761" i="2"/>
  <c r="G761" i="2"/>
  <c r="A761" i="2"/>
  <c r="M760" i="2"/>
  <c r="L760" i="2"/>
  <c r="K760" i="2"/>
  <c r="J760" i="2"/>
  <c r="I760" i="2"/>
  <c r="G760" i="2"/>
  <c r="A760" i="2"/>
  <c r="M759" i="2"/>
  <c r="L759" i="2"/>
  <c r="K759" i="2"/>
  <c r="J759" i="2"/>
  <c r="I759" i="2"/>
  <c r="G759" i="2"/>
  <c r="A759" i="2"/>
  <c r="M758" i="2"/>
  <c r="L758" i="2"/>
  <c r="K758" i="2"/>
  <c r="J758" i="2"/>
  <c r="I758" i="2"/>
  <c r="G758" i="2"/>
  <c r="A758" i="2"/>
  <c r="M757" i="2"/>
  <c r="L757" i="2"/>
  <c r="K757" i="2"/>
  <c r="J757" i="2"/>
  <c r="I757" i="2"/>
  <c r="G757" i="2"/>
  <c r="A757" i="2"/>
  <c r="M756" i="2"/>
  <c r="L756" i="2"/>
  <c r="K756" i="2"/>
  <c r="J756" i="2"/>
  <c r="I756" i="2"/>
  <c r="G756" i="2"/>
  <c r="A756" i="2"/>
  <c r="M755" i="2"/>
  <c r="L755" i="2"/>
  <c r="K755" i="2"/>
  <c r="J755" i="2"/>
  <c r="I755" i="2"/>
  <c r="G755" i="2"/>
  <c r="A755" i="2"/>
  <c r="M754" i="2"/>
  <c r="L754" i="2"/>
  <c r="K754" i="2"/>
  <c r="J754" i="2"/>
  <c r="I754" i="2"/>
  <c r="G754" i="2"/>
  <c r="A754" i="2"/>
  <c r="M753" i="2"/>
  <c r="L753" i="2"/>
  <c r="K753" i="2"/>
  <c r="J753" i="2"/>
  <c r="I753" i="2"/>
  <c r="G753" i="2"/>
  <c r="A753" i="2"/>
  <c r="M752" i="2"/>
  <c r="L752" i="2"/>
  <c r="K752" i="2"/>
  <c r="J752" i="2"/>
  <c r="I752" i="2"/>
  <c r="G752" i="2"/>
  <c r="A752" i="2"/>
  <c r="M751" i="2"/>
  <c r="L751" i="2"/>
  <c r="K751" i="2"/>
  <c r="J751" i="2"/>
  <c r="I751" i="2"/>
  <c r="G751" i="2"/>
  <c r="A751" i="2"/>
  <c r="M750" i="2"/>
  <c r="L750" i="2"/>
  <c r="K750" i="2"/>
  <c r="J750" i="2"/>
  <c r="I750" i="2"/>
  <c r="G750" i="2"/>
  <c r="A750" i="2"/>
  <c r="M749" i="2"/>
  <c r="L749" i="2"/>
  <c r="K749" i="2"/>
  <c r="J749" i="2"/>
  <c r="I749" i="2"/>
  <c r="G749" i="2"/>
  <c r="A749" i="2"/>
  <c r="M747" i="2"/>
  <c r="L747" i="2"/>
  <c r="K747" i="2"/>
  <c r="J747" i="2"/>
  <c r="I747" i="2"/>
  <c r="G747" i="2"/>
  <c r="A747" i="2"/>
  <c r="M746" i="2"/>
  <c r="L746" i="2"/>
  <c r="K746" i="2"/>
  <c r="J746" i="2"/>
  <c r="I746" i="2"/>
  <c r="G746" i="2"/>
  <c r="A746" i="2"/>
  <c r="M745" i="2"/>
  <c r="L745" i="2"/>
  <c r="K745" i="2"/>
  <c r="J745" i="2"/>
  <c r="I745" i="2"/>
  <c r="G745" i="2"/>
  <c r="A745" i="2"/>
  <c r="M744" i="2"/>
  <c r="L744" i="2"/>
  <c r="K744" i="2"/>
  <c r="J744" i="2"/>
  <c r="I744" i="2"/>
  <c r="G744" i="2"/>
  <c r="A744" i="2"/>
  <c r="M743" i="2"/>
  <c r="L743" i="2"/>
  <c r="K743" i="2"/>
  <c r="J743" i="2"/>
  <c r="I743" i="2"/>
  <c r="G743" i="2"/>
  <c r="A743" i="2"/>
  <c r="M742" i="2"/>
  <c r="L742" i="2"/>
  <c r="K742" i="2"/>
  <c r="J742" i="2"/>
  <c r="I742" i="2"/>
  <c r="G742" i="2"/>
  <c r="A742" i="2"/>
  <c r="M741" i="2"/>
  <c r="L741" i="2"/>
  <c r="K741" i="2"/>
  <c r="J741" i="2"/>
  <c r="I741" i="2"/>
  <c r="G741" i="2"/>
  <c r="A741" i="2"/>
  <c r="M740" i="2"/>
  <c r="L740" i="2"/>
  <c r="K740" i="2"/>
  <c r="J740" i="2"/>
  <c r="I740" i="2"/>
  <c r="G740" i="2"/>
  <c r="A740" i="2"/>
  <c r="M739" i="2"/>
  <c r="L739" i="2"/>
  <c r="K739" i="2"/>
  <c r="J739" i="2"/>
  <c r="I739" i="2"/>
  <c r="G739" i="2"/>
  <c r="A739" i="2"/>
  <c r="M738" i="2"/>
  <c r="L738" i="2"/>
  <c r="K738" i="2"/>
  <c r="J738" i="2"/>
  <c r="I738" i="2"/>
  <c r="G738" i="2"/>
  <c r="A738" i="2"/>
  <c r="M737" i="2"/>
  <c r="L737" i="2"/>
  <c r="K737" i="2"/>
  <c r="J737" i="2"/>
  <c r="I737" i="2"/>
  <c r="G737" i="2"/>
  <c r="A737" i="2"/>
  <c r="M736" i="2"/>
  <c r="L736" i="2"/>
  <c r="K736" i="2"/>
  <c r="J736" i="2"/>
  <c r="I736" i="2"/>
  <c r="G736" i="2"/>
  <c r="A736" i="2"/>
  <c r="M735" i="2"/>
  <c r="L735" i="2"/>
  <c r="K735" i="2"/>
  <c r="J735" i="2"/>
  <c r="I735" i="2"/>
  <c r="G735" i="2"/>
  <c r="A735" i="2"/>
  <c r="M734" i="2"/>
  <c r="L734" i="2"/>
  <c r="K734" i="2"/>
  <c r="J734" i="2"/>
  <c r="I734" i="2"/>
  <c r="G734" i="2"/>
  <c r="A734" i="2"/>
  <c r="M733" i="2"/>
  <c r="L733" i="2"/>
  <c r="K733" i="2"/>
  <c r="J733" i="2"/>
  <c r="I733" i="2"/>
  <c r="G733" i="2"/>
  <c r="A733" i="2"/>
  <c r="M732" i="2"/>
  <c r="L732" i="2"/>
  <c r="K732" i="2"/>
  <c r="J732" i="2"/>
  <c r="I732" i="2"/>
  <c r="G732" i="2"/>
  <c r="A732" i="2"/>
  <c r="M731" i="2"/>
  <c r="L731" i="2"/>
  <c r="K731" i="2"/>
  <c r="J731" i="2"/>
  <c r="I731" i="2"/>
  <c r="G731" i="2"/>
  <c r="A731" i="2"/>
  <c r="M730" i="2"/>
  <c r="L730" i="2"/>
  <c r="K730" i="2"/>
  <c r="J730" i="2"/>
  <c r="I730" i="2"/>
  <c r="G730" i="2"/>
  <c r="A730" i="2"/>
  <c r="M729" i="2"/>
  <c r="L729" i="2"/>
  <c r="K729" i="2"/>
  <c r="J729" i="2"/>
  <c r="I729" i="2"/>
  <c r="G729" i="2"/>
  <c r="A729" i="2"/>
  <c r="M728" i="2"/>
  <c r="L728" i="2"/>
  <c r="K728" i="2"/>
  <c r="J728" i="2"/>
  <c r="I728" i="2"/>
  <c r="G728" i="2"/>
  <c r="A728" i="2"/>
  <c r="M727" i="2"/>
  <c r="L727" i="2"/>
  <c r="K727" i="2"/>
  <c r="J727" i="2"/>
  <c r="I727" i="2"/>
  <c r="G727" i="2"/>
  <c r="A727" i="2"/>
  <c r="M726" i="2"/>
  <c r="L726" i="2"/>
  <c r="K726" i="2"/>
  <c r="J726" i="2"/>
  <c r="I726" i="2"/>
  <c r="G726" i="2"/>
  <c r="A726" i="2"/>
  <c r="M725" i="2"/>
  <c r="L725" i="2"/>
  <c r="K725" i="2"/>
  <c r="J725" i="2"/>
  <c r="I725" i="2"/>
  <c r="G725" i="2"/>
  <c r="A725" i="2"/>
  <c r="M724" i="2"/>
  <c r="L724" i="2"/>
  <c r="K724" i="2"/>
  <c r="J724" i="2"/>
  <c r="I724" i="2"/>
  <c r="G724" i="2"/>
  <c r="A724" i="2"/>
  <c r="M723" i="2"/>
  <c r="L723" i="2"/>
  <c r="K723" i="2"/>
  <c r="J723" i="2"/>
  <c r="I723" i="2"/>
  <c r="G723" i="2"/>
  <c r="A723" i="2"/>
  <c r="M722" i="2"/>
  <c r="L722" i="2"/>
  <c r="K722" i="2"/>
  <c r="J722" i="2"/>
  <c r="I722" i="2"/>
  <c r="G722" i="2"/>
  <c r="A722" i="2"/>
  <c r="M721" i="2"/>
  <c r="L721" i="2"/>
  <c r="K721" i="2"/>
  <c r="J721" i="2"/>
  <c r="I721" i="2"/>
  <c r="G721" i="2"/>
  <c r="A721" i="2"/>
  <c r="M720" i="2"/>
  <c r="L720" i="2"/>
  <c r="K720" i="2"/>
  <c r="J720" i="2"/>
  <c r="I720" i="2"/>
  <c r="G720" i="2"/>
  <c r="A720" i="2"/>
  <c r="M719" i="2"/>
  <c r="L719" i="2"/>
  <c r="K719" i="2"/>
  <c r="J719" i="2"/>
  <c r="I719" i="2"/>
  <c r="G719" i="2"/>
  <c r="A719" i="2"/>
  <c r="M718" i="2"/>
  <c r="L718" i="2"/>
  <c r="K718" i="2"/>
  <c r="J718" i="2"/>
  <c r="I718" i="2"/>
  <c r="G718" i="2"/>
  <c r="A718" i="2"/>
  <c r="M717" i="2"/>
  <c r="L717" i="2"/>
  <c r="K717" i="2"/>
  <c r="J717" i="2"/>
  <c r="I717" i="2"/>
  <c r="G717" i="2"/>
  <c r="A717" i="2"/>
  <c r="M716" i="2"/>
  <c r="L716" i="2"/>
  <c r="K716" i="2"/>
  <c r="J716" i="2"/>
  <c r="I716" i="2"/>
  <c r="G716" i="2"/>
  <c r="A716" i="2"/>
  <c r="M715" i="2"/>
  <c r="L715" i="2"/>
  <c r="K715" i="2"/>
  <c r="J715" i="2"/>
  <c r="I715" i="2"/>
  <c r="G715" i="2"/>
  <c r="A715" i="2"/>
  <c r="M714" i="2"/>
  <c r="L714" i="2"/>
  <c r="K714" i="2"/>
  <c r="J714" i="2"/>
  <c r="I714" i="2"/>
  <c r="G714" i="2"/>
  <c r="A714" i="2"/>
  <c r="M713" i="2"/>
  <c r="L713" i="2"/>
  <c r="K713" i="2"/>
  <c r="J713" i="2"/>
  <c r="I713" i="2"/>
  <c r="G713" i="2"/>
  <c r="A713" i="2"/>
  <c r="M712" i="2"/>
  <c r="L712" i="2"/>
  <c r="K712" i="2"/>
  <c r="J712" i="2"/>
  <c r="I712" i="2"/>
  <c r="G712" i="2"/>
  <c r="A712" i="2"/>
  <c r="M711" i="2"/>
  <c r="L711" i="2"/>
  <c r="K711" i="2"/>
  <c r="J711" i="2"/>
  <c r="I711" i="2"/>
  <c r="G711" i="2"/>
  <c r="A711" i="2"/>
  <c r="M710" i="2"/>
  <c r="L710" i="2"/>
  <c r="K710" i="2"/>
  <c r="J710" i="2"/>
  <c r="I710" i="2"/>
  <c r="G710" i="2"/>
  <c r="A710" i="2"/>
  <c r="M709" i="2"/>
  <c r="L709" i="2"/>
  <c r="K709" i="2"/>
  <c r="J709" i="2"/>
  <c r="I709" i="2"/>
  <c r="G709" i="2"/>
  <c r="A709" i="2"/>
  <c r="M708" i="2"/>
  <c r="L708" i="2"/>
  <c r="K708" i="2"/>
  <c r="J708" i="2"/>
  <c r="I708" i="2"/>
  <c r="G708" i="2"/>
  <c r="A708" i="2"/>
  <c r="M707" i="2"/>
  <c r="L707" i="2"/>
  <c r="K707" i="2"/>
  <c r="J707" i="2"/>
  <c r="I707" i="2"/>
  <c r="G707" i="2"/>
  <c r="A707" i="2"/>
  <c r="M706" i="2"/>
  <c r="L706" i="2"/>
  <c r="K706" i="2"/>
  <c r="J706" i="2"/>
  <c r="I706" i="2"/>
  <c r="G706" i="2"/>
  <c r="A706" i="2"/>
  <c r="M705" i="2"/>
  <c r="L705" i="2"/>
  <c r="K705" i="2"/>
  <c r="J705" i="2"/>
  <c r="I705" i="2"/>
  <c r="G705" i="2"/>
  <c r="A705" i="2"/>
  <c r="M704" i="2"/>
  <c r="L704" i="2"/>
  <c r="K704" i="2"/>
  <c r="J704" i="2"/>
  <c r="I704" i="2"/>
  <c r="G704" i="2"/>
  <c r="A704" i="2"/>
  <c r="M703" i="2"/>
  <c r="L703" i="2"/>
  <c r="K703" i="2"/>
  <c r="J703" i="2"/>
  <c r="I703" i="2"/>
  <c r="G703" i="2"/>
  <c r="A703" i="2"/>
  <c r="M702" i="2"/>
  <c r="L702" i="2"/>
  <c r="K702" i="2"/>
  <c r="J702" i="2"/>
  <c r="I702" i="2"/>
  <c r="G702" i="2"/>
  <c r="A702" i="2"/>
  <c r="M701" i="2"/>
  <c r="L701" i="2"/>
  <c r="K701" i="2"/>
  <c r="J701" i="2"/>
  <c r="I701" i="2"/>
  <c r="G701" i="2"/>
  <c r="A701" i="2"/>
  <c r="M700" i="2"/>
  <c r="L700" i="2"/>
  <c r="K700" i="2"/>
  <c r="J700" i="2"/>
  <c r="I700" i="2"/>
  <c r="G700" i="2"/>
  <c r="A700" i="2"/>
  <c r="M699" i="2"/>
  <c r="L699" i="2"/>
  <c r="K699" i="2"/>
  <c r="J699" i="2"/>
  <c r="I699" i="2"/>
  <c r="G699" i="2"/>
  <c r="A699" i="2"/>
  <c r="M698" i="2"/>
  <c r="L698" i="2"/>
  <c r="K698" i="2"/>
  <c r="J698" i="2"/>
  <c r="I698" i="2"/>
  <c r="G698" i="2"/>
  <c r="A698" i="2"/>
  <c r="M697" i="2"/>
  <c r="L697" i="2"/>
  <c r="K697" i="2"/>
  <c r="J697" i="2"/>
  <c r="I697" i="2"/>
  <c r="G697" i="2"/>
  <c r="A697" i="2"/>
  <c r="M696" i="2"/>
  <c r="L696" i="2"/>
  <c r="K696" i="2"/>
  <c r="J696" i="2"/>
  <c r="I696" i="2"/>
  <c r="G696" i="2"/>
  <c r="A696" i="2"/>
  <c r="M695" i="2"/>
  <c r="L695" i="2"/>
  <c r="K695" i="2"/>
  <c r="J695" i="2"/>
  <c r="I695" i="2"/>
  <c r="G695" i="2"/>
  <c r="A695" i="2"/>
  <c r="M693" i="2"/>
  <c r="L693" i="2"/>
  <c r="K693" i="2"/>
  <c r="J693" i="2"/>
  <c r="I693" i="2"/>
  <c r="G693" i="2"/>
  <c r="A693" i="2"/>
  <c r="M692" i="2"/>
  <c r="L692" i="2"/>
  <c r="K692" i="2"/>
  <c r="J692" i="2"/>
  <c r="I692" i="2"/>
  <c r="G692" i="2"/>
  <c r="A692" i="2"/>
  <c r="M691" i="2"/>
  <c r="L691" i="2"/>
  <c r="K691" i="2"/>
  <c r="J691" i="2"/>
  <c r="I691" i="2"/>
  <c r="G691" i="2"/>
  <c r="A691" i="2"/>
  <c r="M690" i="2"/>
  <c r="L690" i="2"/>
  <c r="K690" i="2"/>
  <c r="J690" i="2"/>
  <c r="I690" i="2"/>
  <c r="G690" i="2"/>
  <c r="A690" i="2"/>
  <c r="M689" i="2"/>
  <c r="L689" i="2"/>
  <c r="K689" i="2"/>
  <c r="J689" i="2"/>
  <c r="I689" i="2"/>
  <c r="G689" i="2"/>
  <c r="A689" i="2"/>
  <c r="M688" i="2"/>
  <c r="L688" i="2"/>
  <c r="K688" i="2"/>
  <c r="J688" i="2"/>
  <c r="I688" i="2"/>
  <c r="G688" i="2"/>
  <c r="A688" i="2"/>
  <c r="M687" i="2"/>
  <c r="L687" i="2"/>
  <c r="K687" i="2"/>
  <c r="J687" i="2"/>
  <c r="I687" i="2"/>
  <c r="G687" i="2"/>
  <c r="A687" i="2"/>
  <c r="M686" i="2"/>
  <c r="L686" i="2"/>
  <c r="K686" i="2"/>
  <c r="J686" i="2"/>
  <c r="I686" i="2"/>
  <c r="G686" i="2"/>
  <c r="A686" i="2"/>
  <c r="M685" i="2"/>
  <c r="L685" i="2"/>
  <c r="K685" i="2"/>
  <c r="J685" i="2"/>
  <c r="I685" i="2"/>
  <c r="G685" i="2"/>
  <c r="A685" i="2"/>
  <c r="M684" i="2"/>
  <c r="L684" i="2"/>
  <c r="K684" i="2"/>
  <c r="J684" i="2"/>
  <c r="I684" i="2"/>
  <c r="G684" i="2"/>
  <c r="A684" i="2"/>
  <c r="M683" i="2"/>
  <c r="L683" i="2"/>
  <c r="K683" i="2"/>
  <c r="J683" i="2"/>
  <c r="I683" i="2"/>
  <c r="G683" i="2"/>
  <c r="A683" i="2"/>
  <c r="M682" i="2"/>
  <c r="L682" i="2"/>
  <c r="K682" i="2"/>
  <c r="J682" i="2"/>
  <c r="I682" i="2"/>
  <c r="G682" i="2"/>
  <c r="A682" i="2"/>
  <c r="M681" i="2"/>
  <c r="L681" i="2"/>
  <c r="K681" i="2"/>
  <c r="J681" i="2"/>
  <c r="I681" i="2"/>
  <c r="G681" i="2"/>
  <c r="A681" i="2"/>
  <c r="M680" i="2"/>
  <c r="L680" i="2"/>
  <c r="K680" i="2"/>
  <c r="J680" i="2"/>
  <c r="I680" i="2"/>
  <c r="G680" i="2"/>
  <c r="A680" i="2"/>
  <c r="M678" i="2"/>
  <c r="L678" i="2"/>
  <c r="K678" i="2"/>
  <c r="J678" i="2"/>
  <c r="I678" i="2"/>
  <c r="G678" i="2"/>
  <c r="A678" i="2"/>
  <c r="M677" i="2"/>
  <c r="L677" i="2"/>
  <c r="K677" i="2"/>
  <c r="J677" i="2"/>
  <c r="I677" i="2"/>
  <c r="G677" i="2"/>
  <c r="A677" i="2"/>
  <c r="M676" i="2"/>
  <c r="L676" i="2"/>
  <c r="K676" i="2"/>
  <c r="J676" i="2"/>
  <c r="I676" i="2"/>
  <c r="G676" i="2"/>
  <c r="A676" i="2"/>
  <c r="M675" i="2"/>
  <c r="L675" i="2"/>
  <c r="K675" i="2"/>
  <c r="J675" i="2"/>
  <c r="I675" i="2"/>
  <c r="G675" i="2"/>
  <c r="A675" i="2"/>
  <c r="M674" i="2"/>
  <c r="L674" i="2"/>
  <c r="K674" i="2"/>
  <c r="J674" i="2"/>
  <c r="I674" i="2"/>
  <c r="G674" i="2"/>
  <c r="A674" i="2"/>
  <c r="M673" i="2"/>
  <c r="L673" i="2"/>
  <c r="K673" i="2"/>
  <c r="J673" i="2"/>
  <c r="I673" i="2"/>
  <c r="G673" i="2"/>
  <c r="A673" i="2"/>
  <c r="M672" i="2"/>
  <c r="L672" i="2"/>
  <c r="K672" i="2"/>
  <c r="J672" i="2"/>
  <c r="I672" i="2"/>
  <c r="G672" i="2"/>
  <c r="A672" i="2"/>
  <c r="M671" i="2"/>
  <c r="L671" i="2"/>
  <c r="K671" i="2"/>
  <c r="J671" i="2"/>
  <c r="I671" i="2"/>
  <c r="G671" i="2"/>
  <c r="A671" i="2"/>
  <c r="M670" i="2"/>
  <c r="L670" i="2"/>
  <c r="K670" i="2"/>
  <c r="J670" i="2"/>
  <c r="I670" i="2"/>
  <c r="G670" i="2"/>
  <c r="A670" i="2"/>
  <c r="M669" i="2"/>
  <c r="L669" i="2"/>
  <c r="K669" i="2"/>
  <c r="J669" i="2"/>
  <c r="I669" i="2"/>
  <c r="G669" i="2"/>
  <c r="A669" i="2"/>
  <c r="M668" i="2"/>
  <c r="L668" i="2"/>
  <c r="K668" i="2"/>
  <c r="J668" i="2"/>
  <c r="I668" i="2"/>
  <c r="G668" i="2"/>
  <c r="A668" i="2"/>
  <c r="M667" i="2"/>
  <c r="L667" i="2"/>
  <c r="K667" i="2"/>
  <c r="J667" i="2"/>
  <c r="I667" i="2"/>
  <c r="G667" i="2"/>
  <c r="A667" i="2"/>
  <c r="M666" i="2"/>
  <c r="L666" i="2"/>
  <c r="K666" i="2"/>
  <c r="J666" i="2"/>
  <c r="I666" i="2"/>
  <c r="G666" i="2"/>
  <c r="A666" i="2"/>
  <c r="M665" i="2"/>
  <c r="L665" i="2"/>
  <c r="K665" i="2"/>
  <c r="J665" i="2"/>
  <c r="I665" i="2"/>
  <c r="G665" i="2"/>
  <c r="A665" i="2"/>
  <c r="M664" i="2"/>
  <c r="L664" i="2"/>
  <c r="K664" i="2"/>
  <c r="J664" i="2"/>
  <c r="I664" i="2"/>
  <c r="G664" i="2"/>
  <c r="A664" i="2"/>
  <c r="M663" i="2"/>
  <c r="L663" i="2"/>
  <c r="K663" i="2"/>
  <c r="J663" i="2"/>
  <c r="I663" i="2"/>
  <c r="G663" i="2"/>
  <c r="A663" i="2"/>
  <c r="M662" i="2"/>
  <c r="L662" i="2"/>
  <c r="K662" i="2"/>
  <c r="J662" i="2"/>
  <c r="I662" i="2"/>
  <c r="G662" i="2"/>
  <c r="A662" i="2"/>
  <c r="M661" i="2"/>
  <c r="L661" i="2"/>
  <c r="K661" i="2"/>
  <c r="J661" i="2"/>
  <c r="I661" i="2"/>
  <c r="G661" i="2"/>
  <c r="A661" i="2"/>
  <c r="M660" i="2"/>
  <c r="L660" i="2"/>
  <c r="K660" i="2"/>
  <c r="J660" i="2"/>
  <c r="I660" i="2"/>
  <c r="G660" i="2"/>
  <c r="A660" i="2"/>
  <c r="M659" i="2"/>
  <c r="L659" i="2"/>
  <c r="K659" i="2"/>
  <c r="J659" i="2"/>
  <c r="I659" i="2"/>
  <c r="G659" i="2"/>
  <c r="A659" i="2"/>
  <c r="M658" i="2"/>
  <c r="L658" i="2"/>
  <c r="K658" i="2"/>
  <c r="J658" i="2"/>
  <c r="I658" i="2"/>
  <c r="G658" i="2"/>
  <c r="A658" i="2"/>
  <c r="M657" i="2"/>
  <c r="L657" i="2"/>
  <c r="K657" i="2"/>
  <c r="J657" i="2"/>
  <c r="I657" i="2"/>
  <c r="G657" i="2"/>
  <c r="A657" i="2"/>
  <c r="M656" i="2"/>
  <c r="L656" i="2"/>
  <c r="K656" i="2"/>
  <c r="J656" i="2"/>
  <c r="I656" i="2"/>
  <c r="G656" i="2"/>
  <c r="A656" i="2"/>
  <c r="M655" i="2"/>
  <c r="L655" i="2"/>
  <c r="K655" i="2"/>
  <c r="J655" i="2"/>
  <c r="I655" i="2"/>
  <c r="G655" i="2"/>
  <c r="A655" i="2"/>
  <c r="M654" i="2"/>
  <c r="L654" i="2"/>
  <c r="K654" i="2"/>
  <c r="J654" i="2"/>
  <c r="I654" i="2"/>
  <c r="G654" i="2"/>
  <c r="A654" i="2"/>
  <c r="M653" i="2"/>
  <c r="L653" i="2"/>
  <c r="K653" i="2"/>
  <c r="J653" i="2"/>
  <c r="I653" i="2"/>
  <c r="G653" i="2"/>
  <c r="A653" i="2"/>
  <c r="M652" i="2"/>
  <c r="L652" i="2"/>
  <c r="K652" i="2"/>
  <c r="J652" i="2"/>
  <c r="I652" i="2"/>
  <c r="G652" i="2"/>
  <c r="A652" i="2"/>
  <c r="M651" i="2"/>
  <c r="L651" i="2"/>
  <c r="K651" i="2"/>
  <c r="J651" i="2"/>
  <c r="I651" i="2"/>
  <c r="G651" i="2"/>
  <c r="A651" i="2"/>
  <c r="M650" i="2"/>
  <c r="L650" i="2"/>
  <c r="K650" i="2"/>
  <c r="J650" i="2"/>
  <c r="I650" i="2"/>
  <c r="G650" i="2"/>
  <c r="A650" i="2"/>
  <c r="M649" i="2"/>
  <c r="L649" i="2"/>
  <c r="K649" i="2"/>
  <c r="J649" i="2"/>
  <c r="I649" i="2"/>
  <c r="G649" i="2"/>
  <c r="A649" i="2"/>
  <c r="M648" i="2"/>
  <c r="L648" i="2"/>
  <c r="K648" i="2"/>
  <c r="J648" i="2"/>
  <c r="I648" i="2"/>
  <c r="G648" i="2"/>
  <c r="A648" i="2"/>
  <c r="M647" i="2"/>
  <c r="L647" i="2"/>
  <c r="K647" i="2"/>
  <c r="J647" i="2"/>
  <c r="I647" i="2"/>
  <c r="G647" i="2"/>
  <c r="A647" i="2"/>
  <c r="M646" i="2"/>
  <c r="L646" i="2"/>
  <c r="K646" i="2"/>
  <c r="J646" i="2"/>
  <c r="I646" i="2"/>
  <c r="G646" i="2"/>
  <c r="A646" i="2"/>
  <c r="M645" i="2"/>
  <c r="L645" i="2"/>
  <c r="K645" i="2"/>
  <c r="J645" i="2"/>
  <c r="I645" i="2"/>
  <c r="G645" i="2"/>
  <c r="A645" i="2"/>
  <c r="M644" i="2"/>
  <c r="L644" i="2"/>
  <c r="K644" i="2"/>
  <c r="J644" i="2"/>
  <c r="I644" i="2"/>
  <c r="G644" i="2"/>
  <c r="A644" i="2"/>
  <c r="M643" i="2"/>
  <c r="L643" i="2"/>
  <c r="K643" i="2"/>
  <c r="J643" i="2"/>
  <c r="I643" i="2"/>
  <c r="G643" i="2"/>
  <c r="A643" i="2"/>
  <c r="M642" i="2"/>
  <c r="L642" i="2"/>
  <c r="K642" i="2"/>
  <c r="J642" i="2"/>
  <c r="I642" i="2"/>
  <c r="G642" i="2"/>
  <c r="A642" i="2"/>
  <c r="M641" i="2"/>
  <c r="L641" i="2"/>
  <c r="K641" i="2"/>
  <c r="J641" i="2"/>
  <c r="I641" i="2"/>
  <c r="G641" i="2"/>
  <c r="A641" i="2"/>
  <c r="M640" i="2"/>
  <c r="L640" i="2"/>
  <c r="K640" i="2"/>
  <c r="J640" i="2"/>
  <c r="I640" i="2"/>
  <c r="G640" i="2"/>
  <c r="A640" i="2"/>
  <c r="M639" i="2"/>
  <c r="L639" i="2"/>
  <c r="K639" i="2"/>
  <c r="J639" i="2"/>
  <c r="I639" i="2"/>
  <c r="G639" i="2"/>
  <c r="A639" i="2"/>
  <c r="M638" i="2"/>
  <c r="L638" i="2"/>
  <c r="K638" i="2"/>
  <c r="J638" i="2"/>
  <c r="I638" i="2"/>
  <c r="G638" i="2"/>
  <c r="A638" i="2"/>
  <c r="M637" i="2"/>
  <c r="L637" i="2"/>
  <c r="K637" i="2"/>
  <c r="J637" i="2"/>
  <c r="I637" i="2"/>
  <c r="G637" i="2"/>
  <c r="A637" i="2"/>
  <c r="M636" i="2"/>
  <c r="L636" i="2"/>
  <c r="K636" i="2"/>
  <c r="J636" i="2"/>
  <c r="I636" i="2"/>
  <c r="G636" i="2"/>
  <c r="A636" i="2"/>
  <c r="M635" i="2"/>
  <c r="L635" i="2"/>
  <c r="K635" i="2"/>
  <c r="J635" i="2"/>
  <c r="I635" i="2"/>
  <c r="G635" i="2"/>
  <c r="A635" i="2"/>
  <c r="M634" i="2"/>
  <c r="L634" i="2"/>
  <c r="K634" i="2"/>
  <c r="J634" i="2"/>
  <c r="I634" i="2"/>
  <c r="G634" i="2"/>
  <c r="A634" i="2"/>
  <c r="M633" i="2"/>
  <c r="L633" i="2"/>
  <c r="K633" i="2"/>
  <c r="J633" i="2"/>
  <c r="I633" i="2"/>
  <c r="G633" i="2"/>
  <c r="A633" i="2"/>
  <c r="M632" i="2"/>
  <c r="L632" i="2"/>
  <c r="K632" i="2"/>
  <c r="J632" i="2"/>
  <c r="I632" i="2"/>
  <c r="G632" i="2"/>
  <c r="A632" i="2"/>
  <c r="M631" i="2"/>
  <c r="L631" i="2"/>
  <c r="K631" i="2"/>
  <c r="J631" i="2"/>
  <c r="I631" i="2"/>
  <c r="G631" i="2"/>
  <c r="A631" i="2"/>
  <c r="M630" i="2"/>
  <c r="L630" i="2"/>
  <c r="K630" i="2"/>
  <c r="J630" i="2"/>
  <c r="I630" i="2"/>
  <c r="G630" i="2"/>
  <c r="A630" i="2"/>
  <c r="M629" i="2"/>
  <c r="L629" i="2"/>
  <c r="K629" i="2"/>
  <c r="J629" i="2"/>
  <c r="I629" i="2"/>
  <c r="G629" i="2"/>
  <c r="A629" i="2"/>
  <c r="M628" i="2"/>
  <c r="L628" i="2"/>
  <c r="K628" i="2"/>
  <c r="J628" i="2"/>
  <c r="I628" i="2"/>
  <c r="G628" i="2"/>
  <c r="A628" i="2"/>
  <c r="M627" i="2"/>
  <c r="L627" i="2"/>
  <c r="K627" i="2"/>
  <c r="J627" i="2"/>
  <c r="I627" i="2"/>
  <c r="G627" i="2"/>
  <c r="A627" i="2"/>
  <c r="M626" i="2"/>
  <c r="L626" i="2"/>
  <c r="K626" i="2"/>
  <c r="J626" i="2"/>
  <c r="I626" i="2"/>
  <c r="G626" i="2"/>
  <c r="A626" i="2"/>
  <c r="M625" i="2"/>
  <c r="L625" i="2"/>
  <c r="K625" i="2"/>
  <c r="J625" i="2"/>
  <c r="I625" i="2"/>
  <c r="G625" i="2"/>
  <c r="A625" i="2"/>
  <c r="M623" i="2"/>
  <c r="L623" i="2"/>
  <c r="K623" i="2"/>
  <c r="J623" i="2"/>
  <c r="I623" i="2"/>
  <c r="G623" i="2"/>
  <c r="A623" i="2"/>
  <c r="M622" i="2"/>
  <c r="L622" i="2"/>
  <c r="K622" i="2"/>
  <c r="J622" i="2"/>
  <c r="I622" i="2"/>
  <c r="G622" i="2"/>
  <c r="A622" i="2"/>
  <c r="M621" i="2"/>
  <c r="L621" i="2"/>
  <c r="K621" i="2"/>
  <c r="J621" i="2"/>
  <c r="I621" i="2"/>
  <c r="G621" i="2"/>
  <c r="A621" i="2"/>
  <c r="M620" i="2"/>
  <c r="L620" i="2"/>
  <c r="K620" i="2"/>
  <c r="J620" i="2"/>
  <c r="I620" i="2"/>
  <c r="G620" i="2"/>
  <c r="A620" i="2"/>
  <c r="M619" i="2"/>
  <c r="L619" i="2"/>
  <c r="K619" i="2"/>
  <c r="J619" i="2"/>
  <c r="I619" i="2"/>
  <c r="G619" i="2"/>
  <c r="A619" i="2"/>
  <c r="M618" i="2"/>
  <c r="L618" i="2"/>
  <c r="K618" i="2"/>
  <c r="J618" i="2"/>
  <c r="I618" i="2"/>
  <c r="G618" i="2"/>
  <c r="A618" i="2"/>
  <c r="M617" i="2"/>
  <c r="L617" i="2"/>
  <c r="K617" i="2"/>
  <c r="J617" i="2"/>
  <c r="I617" i="2"/>
  <c r="G617" i="2"/>
  <c r="A617" i="2"/>
  <c r="M616" i="2"/>
  <c r="L616" i="2"/>
  <c r="K616" i="2"/>
  <c r="J616" i="2"/>
  <c r="I616" i="2"/>
  <c r="G616" i="2"/>
  <c r="A616" i="2"/>
  <c r="M615" i="2"/>
  <c r="L615" i="2"/>
  <c r="K615" i="2"/>
  <c r="J615" i="2"/>
  <c r="I615" i="2"/>
  <c r="G615" i="2"/>
  <c r="A615" i="2"/>
  <c r="M614" i="2"/>
  <c r="L614" i="2"/>
  <c r="K614" i="2"/>
  <c r="J614" i="2"/>
  <c r="I614" i="2"/>
  <c r="G614" i="2"/>
  <c r="A614" i="2"/>
  <c r="M613" i="2"/>
  <c r="L613" i="2"/>
  <c r="K613" i="2"/>
  <c r="J613" i="2"/>
  <c r="I613" i="2"/>
  <c r="G613" i="2"/>
  <c r="A613" i="2"/>
  <c r="M612" i="2"/>
  <c r="L612" i="2"/>
  <c r="K612" i="2"/>
  <c r="J612" i="2"/>
  <c r="I612" i="2"/>
  <c r="G612" i="2"/>
  <c r="A612" i="2"/>
  <c r="M611" i="2"/>
  <c r="L611" i="2"/>
  <c r="K611" i="2"/>
  <c r="J611" i="2"/>
  <c r="I611" i="2"/>
  <c r="G611" i="2"/>
  <c r="A611" i="2"/>
  <c r="M610" i="2"/>
  <c r="L610" i="2"/>
  <c r="K610" i="2"/>
  <c r="J610" i="2"/>
  <c r="I610" i="2"/>
  <c r="G610" i="2"/>
  <c r="A610" i="2"/>
  <c r="M609" i="2"/>
  <c r="L609" i="2"/>
  <c r="K609" i="2"/>
  <c r="J609" i="2"/>
  <c r="I609" i="2"/>
  <c r="G609" i="2"/>
  <c r="A609" i="2"/>
  <c r="M608" i="2"/>
  <c r="L608" i="2"/>
  <c r="K608" i="2"/>
  <c r="J608" i="2"/>
  <c r="I608" i="2"/>
  <c r="G608" i="2"/>
  <c r="A608" i="2"/>
  <c r="M607" i="2"/>
  <c r="L607" i="2"/>
  <c r="K607" i="2"/>
  <c r="J607" i="2"/>
  <c r="I607" i="2"/>
  <c r="G607" i="2"/>
  <c r="A607" i="2"/>
  <c r="M606" i="2"/>
  <c r="L606" i="2"/>
  <c r="K606" i="2"/>
  <c r="J606" i="2"/>
  <c r="I606" i="2"/>
  <c r="G606" i="2"/>
  <c r="A606" i="2"/>
  <c r="M604" i="2"/>
  <c r="L604" i="2"/>
  <c r="K604" i="2"/>
  <c r="J604" i="2"/>
  <c r="I604" i="2"/>
  <c r="G604" i="2"/>
  <c r="A604" i="2"/>
  <c r="M603" i="2"/>
  <c r="L603" i="2"/>
  <c r="K603" i="2"/>
  <c r="J603" i="2"/>
  <c r="I603" i="2"/>
  <c r="G603" i="2"/>
  <c r="A603" i="2"/>
  <c r="M602" i="2"/>
  <c r="L602" i="2"/>
  <c r="K602" i="2"/>
  <c r="J602" i="2"/>
  <c r="I602" i="2"/>
  <c r="G602" i="2"/>
  <c r="A602" i="2"/>
  <c r="M601" i="2"/>
  <c r="L601" i="2"/>
  <c r="K601" i="2"/>
  <c r="J601" i="2"/>
  <c r="I601" i="2"/>
  <c r="G601" i="2"/>
  <c r="A601" i="2"/>
  <c r="M600" i="2"/>
  <c r="L600" i="2"/>
  <c r="K600" i="2"/>
  <c r="J600" i="2"/>
  <c r="I600" i="2"/>
  <c r="G600" i="2"/>
  <c r="A600" i="2"/>
  <c r="M599" i="2"/>
  <c r="L599" i="2"/>
  <c r="K599" i="2"/>
  <c r="J599" i="2"/>
  <c r="I599" i="2"/>
  <c r="G599" i="2"/>
  <c r="A599" i="2"/>
  <c r="M598" i="2"/>
  <c r="L598" i="2"/>
  <c r="K598" i="2"/>
  <c r="J598" i="2"/>
  <c r="I598" i="2"/>
  <c r="G598" i="2"/>
  <c r="A598" i="2"/>
  <c r="M597" i="2"/>
  <c r="L597" i="2"/>
  <c r="K597" i="2"/>
  <c r="J597" i="2"/>
  <c r="I597" i="2"/>
  <c r="G597" i="2"/>
  <c r="A597" i="2"/>
  <c r="M596" i="2"/>
  <c r="L596" i="2"/>
  <c r="K596" i="2"/>
  <c r="J596" i="2"/>
  <c r="I596" i="2"/>
  <c r="G596" i="2"/>
  <c r="A596" i="2"/>
  <c r="M595" i="2"/>
  <c r="L595" i="2"/>
  <c r="K595" i="2"/>
  <c r="J595" i="2"/>
  <c r="I595" i="2"/>
  <c r="G595" i="2"/>
  <c r="A595" i="2"/>
  <c r="M594" i="2"/>
  <c r="L594" i="2"/>
  <c r="K594" i="2"/>
  <c r="J594" i="2"/>
  <c r="I594" i="2"/>
  <c r="G594" i="2"/>
  <c r="A594" i="2"/>
  <c r="M593" i="2"/>
  <c r="L593" i="2"/>
  <c r="K593" i="2"/>
  <c r="J593" i="2"/>
  <c r="I593" i="2"/>
  <c r="G593" i="2"/>
  <c r="A593" i="2"/>
  <c r="M592" i="2"/>
  <c r="L592" i="2"/>
  <c r="K592" i="2"/>
  <c r="J592" i="2"/>
  <c r="I592" i="2"/>
  <c r="G592" i="2"/>
  <c r="A592" i="2"/>
  <c r="M591" i="2"/>
  <c r="L591" i="2"/>
  <c r="K591" i="2"/>
  <c r="J591" i="2"/>
  <c r="I591" i="2"/>
  <c r="G591" i="2"/>
  <c r="A591" i="2"/>
  <c r="M590" i="2"/>
  <c r="L590" i="2"/>
  <c r="K590" i="2"/>
  <c r="J590" i="2"/>
  <c r="I590" i="2"/>
  <c r="G590" i="2"/>
  <c r="A590" i="2"/>
  <c r="M589" i="2"/>
  <c r="L589" i="2"/>
  <c r="K589" i="2"/>
  <c r="J589" i="2"/>
  <c r="I589" i="2"/>
  <c r="G589" i="2"/>
  <c r="A589" i="2"/>
  <c r="M588" i="2"/>
  <c r="L588" i="2"/>
  <c r="K588" i="2"/>
  <c r="J588" i="2"/>
  <c r="I588" i="2"/>
  <c r="G588" i="2"/>
  <c r="A588" i="2"/>
  <c r="M587" i="2"/>
  <c r="L587" i="2"/>
  <c r="K587" i="2"/>
  <c r="J587" i="2"/>
  <c r="I587" i="2"/>
  <c r="G587" i="2"/>
  <c r="A587" i="2"/>
  <c r="M586" i="2"/>
  <c r="L586" i="2"/>
  <c r="K586" i="2"/>
  <c r="J586" i="2"/>
  <c r="I586" i="2"/>
  <c r="G586" i="2"/>
  <c r="A586" i="2"/>
  <c r="M585" i="2"/>
  <c r="L585" i="2"/>
  <c r="K585" i="2"/>
  <c r="J585" i="2"/>
  <c r="I585" i="2"/>
  <c r="G585" i="2"/>
  <c r="A585" i="2"/>
  <c r="M584" i="2"/>
  <c r="L584" i="2"/>
  <c r="K584" i="2"/>
  <c r="J584" i="2"/>
  <c r="I584" i="2"/>
  <c r="G584" i="2"/>
  <c r="A584" i="2"/>
  <c r="M583" i="2"/>
  <c r="L583" i="2"/>
  <c r="K583" i="2"/>
  <c r="J583" i="2"/>
  <c r="I583" i="2"/>
  <c r="G583" i="2"/>
  <c r="A583" i="2"/>
  <c r="M582" i="2"/>
  <c r="L582" i="2"/>
  <c r="K582" i="2"/>
  <c r="J582" i="2"/>
  <c r="I582" i="2"/>
  <c r="G582" i="2"/>
  <c r="A582" i="2"/>
  <c r="M581" i="2"/>
  <c r="L581" i="2"/>
  <c r="K581" i="2"/>
  <c r="J581" i="2"/>
  <c r="I581" i="2"/>
  <c r="G581" i="2"/>
  <c r="A581" i="2"/>
  <c r="M580" i="2"/>
  <c r="L580" i="2"/>
  <c r="K580" i="2"/>
  <c r="J580" i="2"/>
  <c r="I580" i="2"/>
  <c r="G580" i="2"/>
  <c r="A580" i="2"/>
  <c r="M579" i="2"/>
  <c r="L579" i="2"/>
  <c r="K579" i="2"/>
  <c r="J579" i="2"/>
  <c r="I579" i="2"/>
  <c r="G579" i="2"/>
  <c r="A579" i="2"/>
  <c r="M578" i="2"/>
  <c r="L578" i="2"/>
  <c r="K578" i="2"/>
  <c r="J578" i="2"/>
  <c r="I578" i="2"/>
  <c r="G578" i="2"/>
  <c r="A578" i="2"/>
  <c r="M577" i="2"/>
  <c r="L577" i="2"/>
  <c r="K577" i="2"/>
  <c r="J577" i="2"/>
  <c r="I577" i="2"/>
  <c r="G577" i="2"/>
  <c r="A577" i="2"/>
  <c r="M576" i="2"/>
  <c r="L576" i="2"/>
  <c r="K576" i="2"/>
  <c r="J576" i="2"/>
  <c r="I576" i="2"/>
  <c r="G576" i="2"/>
  <c r="A576" i="2"/>
  <c r="M575" i="2"/>
  <c r="L575" i="2"/>
  <c r="K575" i="2"/>
  <c r="J575" i="2"/>
  <c r="I575" i="2"/>
  <c r="G575" i="2"/>
  <c r="A575" i="2"/>
  <c r="M574" i="2"/>
  <c r="L574" i="2"/>
  <c r="K574" i="2"/>
  <c r="J574" i="2"/>
  <c r="I574" i="2"/>
  <c r="G574" i="2"/>
  <c r="A574" i="2"/>
  <c r="M573" i="2"/>
  <c r="L573" i="2"/>
  <c r="K573" i="2"/>
  <c r="J573" i="2"/>
  <c r="I573" i="2"/>
  <c r="G573" i="2"/>
  <c r="A573" i="2"/>
  <c r="M572" i="2"/>
  <c r="L572" i="2"/>
  <c r="K572" i="2"/>
  <c r="J572" i="2"/>
  <c r="I572" i="2"/>
  <c r="G572" i="2"/>
  <c r="A572" i="2"/>
  <c r="M571" i="2"/>
  <c r="L571" i="2"/>
  <c r="K571" i="2"/>
  <c r="J571" i="2"/>
  <c r="I571" i="2"/>
  <c r="G571" i="2"/>
  <c r="A571" i="2"/>
  <c r="M570" i="2"/>
  <c r="L570" i="2"/>
  <c r="K570" i="2"/>
  <c r="J570" i="2"/>
  <c r="I570" i="2"/>
  <c r="G570" i="2"/>
  <c r="A570" i="2"/>
  <c r="M569" i="2"/>
  <c r="L569" i="2"/>
  <c r="K569" i="2"/>
  <c r="J569" i="2"/>
  <c r="I569" i="2"/>
  <c r="G569" i="2"/>
  <c r="A569" i="2"/>
  <c r="M568" i="2"/>
  <c r="L568" i="2"/>
  <c r="K568" i="2"/>
  <c r="J568" i="2"/>
  <c r="I568" i="2"/>
  <c r="G568" i="2"/>
  <c r="A568" i="2"/>
  <c r="M567" i="2"/>
  <c r="L567" i="2"/>
  <c r="K567" i="2"/>
  <c r="J567" i="2"/>
  <c r="I567" i="2"/>
  <c r="G567" i="2"/>
  <c r="A567" i="2"/>
  <c r="M566" i="2"/>
  <c r="L566" i="2"/>
  <c r="K566" i="2"/>
  <c r="J566" i="2"/>
  <c r="I566" i="2"/>
  <c r="G566" i="2"/>
  <c r="A566" i="2"/>
  <c r="M565" i="2"/>
  <c r="L565" i="2"/>
  <c r="K565" i="2"/>
  <c r="J565" i="2"/>
  <c r="I565" i="2"/>
  <c r="G565" i="2"/>
  <c r="A565" i="2"/>
  <c r="M564" i="2"/>
  <c r="L564" i="2"/>
  <c r="K564" i="2"/>
  <c r="J564" i="2"/>
  <c r="I564" i="2"/>
  <c r="G564" i="2"/>
  <c r="A564" i="2"/>
  <c r="M563" i="2"/>
  <c r="L563" i="2"/>
  <c r="K563" i="2"/>
  <c r="J563" i="2"/>
  <c r="I563" i="2"/>
  <c r="G563" i="2"/>
  <c r="A563" i="2"/>
  <c r="M562" i="2"/>
  <c r="L562" i="2"/>
  <c r="K562" i="2"/>
  <c r="J562" i="2"/>
  <c r="I562" i="2"/>
  <c r="G562" i="2"/>
  <c r="A562" i="2"/>
  <c r="M561" i="2"/>
  <c r="L561" i="2"/>
  <c r="K561" i="2"/>
  <c r="J561" i="2"/>
  <c r="I561" i="2"/>
  <c r="G561" i="2"/>
  <c r="A561" i="2"/>
  <c r="M560" i="2"/>
  <c r="L560" i="2"/>
  <c r="K560" i="2"/>
  <c r="J560" i="2"/>
  <c r="I560" i="2"/>
  <c r="G560" i="2"/>
  <c r="A560" i="2"/>
  <c r="M559" i="2"/>
  <c r="L559" i="2"/>
  <c r="K559" i="2"/>
  <c r="J559" i="2"/>
  <c r="I559" i="2"/>
  <c r="G559" i="2"/>
  <c r="A559" i="2"/>
  <c r="M558" i="2"/>
  <c r="L558" i="2"/>
  <c r="K558" i="2"/>
  <c r="J558" i="2"/>
  <c r="I558" i="2"/>
  <c r="G558" i="2"/>
  <c r="A558" i="2"/>
  <c r="M557" i="2"/>
  <c r="L557" i="2"/>
  <c r="K557" i="2"/>
  <c r="J557" i="2"/>
  <c r="I557" i="2"/>
  <c r="G557" i="2"/>
  <c r="A557" i="2"/>
  <c r="M556" i="2"/>
  <c r="L556" i="2"/>
  <c r="K556" i="2"/>
  <c r="J556" i="2"/>
  <c r="I556" i="2"/>
  <c r="G556" i="2"/>
  <c r="A556" i="2"/>
  <c r="M555" i="2"/>
  <c r="L555" i="2"/>
  <c r="K555" i="2"/>
  <c r="J555" i="2"/>
  <c r="I555" i="2"/>
  <c r="G555" i="2"/>
  <c r="A555" i="2"/>
  <c r="M554" i="2"/>
  <c r="L554" i="2"/>
  <c r="K554" i="2"/>
  <c r="J554" i="2"/>
  <c r="I554" i="2"/>
  <c r="G554" i="2"/>
  <c r="A554" i="2"/>
  <c r="M553" i="2"/>
  <c r="L553" i="2"/>
  <c r="K553" i="2"/>
  <c r="J553" i="2"/>
  <c r="I553" i="2"/>
  <c r="G553" i="2"/>
  <c r="A553" i="2"/>
  <c r="M552" i="2"/>
  <c r="L552" i="2"/>
  <c r="K552" i="2"/>
  <c r="J552" i="2"/>
  <c r="I552" i="2"/>
  <c r="G552" i="2"/>
  <c r="A552" i="2"/>
  <c r="M551" i="2"/>
  <c r="L551" i="2"/>
  <c r="K551" i="2"/>
  <c r="J551" i="2"/>
  <c r="I551" i="2"/>
  <c r="G551" i="2"/>
  <c r="A551" i="2"/>
  <c r="M550" i="2"/>
  <c r="L550" i="2"/>
  <c r="K550" i="2"/>
  <c r="J550" i="2"/>
  <c r="I550" i="2"/>
  <c r="G550" i="2"/>
  <c r="A550" i="2"/>
  <c r="M549" i="2"/>
  <c r="L549" i="2"/>
  <c r="K549" i="2"/>
  <c r="J549" i="2"/>
  <c r="I549" i="2"/>
  <c r="G549" i="2"/>
  <c r="A549" i="2"/>
  <c r="M548" i="2"/>
  <c r="L548" i="2"/>
  <c r="K548" i="2"/>
  <c r="J548" i="2"/>
  <c r="I548" i="2"/>
  <c r="G548" i="2"/>
  <c r="A548" i="2"/>
  <c r="M547" i="2"/>
  <c r="L547" i="2"/>
  <c r="K547" i="2"/>
  <c r="J547" i="2"/>
  <c r="I547" i="2"/>
  <c r="G547" i="2"/>
  <c r="A547" i="2"/>
  <c r="M546" i="2"/>
  <c r="L546" i="2"/>
  <c r="K546" i="2"/>
  <c r="J546" i="2"/>
  <c r="I546" i="2"/>
  <c r="G546" i="2"/>
  <c r="A546" i="2"/>
  <c r="M545" i="2"/>
  <c r="L545" i="2"/>
  <c r="K545" i="2"/>
  <c r="J545" i="2"/>
  <c r="I545" i="2"/>
  <c r="G545" i="2"/>
  <c r="A545" i="2"/>
  <c r="M544" i="2"/>
  <c r="L544" i="2"/>
  <c r="K544" i="2"/>
  <c r="J544" i="2"/>
  <c r="I544" i="2"/>
  <c r="G544" i="2"/>
  <c r="A544" i="2"/>
  <c r="M543" i="2"/>
  <c r="L543" i="2"/>
  <c r="K543" i="2"/>
  <c r="J543" i="2"/>
  <c r="I543" i="2"/>
  <c r="G543" i="2"/>
  <c r="A543" i="2"/>
  <c r="M542" i="2"/>
  <c r="L542" i="2"/>
  <c r="K542" i="2"/>
  <c r="J542" i="2"/>
  <c r="I542" i="2"/>
  <c r="G542" i="2"/>
  <c r="A542" i="2"/>
  <c r="M541" i="2"/>
  <c r="L541" i="2"/>
  <c r="K541" i="2"/>
  <c r="J541" i="2"/>
  <c r="I541" i="2"/>
  <c r="G541" i="2"/>
  <c r="A541" i="2"/>
  <c r="M540" i="2"/>
  <c r="L540" i="2"/>
  <c r="K540" i="2"/>
  <c r="J540" i="2"/>
  <c r="I540" i="2"/>
  <c r="G540" i="2"/>
  <c r="A540" i="2"/>
  <c r="M539" i="2"/>
  <c r="L539" i="2"/>
  <c r="K539" i="2"/>
  <c r="J539" i="2"/>
  <c r="I539" i="2"/>
  <c r="G539" i="2"/>
  <c r="A539" i="2"/>
  <c r="M538" i="2"/>
  <c r="L538" i="2"/>
  <c r="K538" i="2"/>
  <c r="J538" i="2"/>
  <c r="I538" i="2"/>
  <c r="G538" i="2"/>
  <c r="A538" i="2"/>
  <c r="M537" i="2"/>
  <c r="L537" i="2"/>
  <c r="K537" i="2"/>
  <c r="J537" i="2"/>
  <c r="I537" i="2"/>
  <c r="G537" i="2"/>
  <c r="A537" i="2"/>
  <c r="M536" i="2"/>
  <c r="L536" i="2"/>
  <c r="K536" i="2"/>
  <c r="J536" i="2"/>
  <c r="I536" i="2"/>
  <c r="G536" i="2"/>
  <c r="A536" i="2"/>
  <c r="M535" i="2"/>
  <c r="L535" i="2"/>
  <c r="K535" i="2"/>
  <c r="J535" i="2"/>
  <c r="I535" i="2"/>
  <c r="G535" i="2"/>
  <c r="A535" i="2"/>
  <c r="M534" i="2"/>
  <c r="L534" i="2"/>
  <c r="K534" i="2"/>
  <c r="J534" i="2"/>
  <c r="I534" i="2"/>
  <c r="G534" i="2"/>
  <c r="A534" i="2"/>
  <c r="M533" i="2"/>
  <c r="L533" i="2"/>
  <c r="K533" i="2"/>
  <c r="J533" i="2"/>
  <c r="I533" i="2"/>
  <c r="G533" i="2"/>
  <c r="A533" i="2"/>
  <c r="M531" i="2"/>
  <c r="L531" i="2"/>
  <c r="K531" i="2"/>
  <c r="J531" i="2"/>
  <c r="I531" i="2"/>
  <c r="G531" i="2"/>
  <c r="A531" i="2"/>
  <c r="M530" i="2"/>
  <c r="L530" i="2"/>
  <c r="K530" i="2"/>
  <c r="J530" i="2"/>
  <c r="I530" i="2"/>
  <c r="G530" i="2"/>
  <c r="A530" i="2"/>
  <c r="M529" i="2"/>
  <c r="L529" i="2"/>
  <c r="K529" i="2"/>
  <c r="J529" i="2"/>
  <c r="I529" i="2"/>
  <c r="G529" i="2"/>
  <c r="A529" i="2"/>
  <c r="M528" i="2"/>
  <c r="L528" i="2"/>
  <c r="K528" i="2"/>
  <c r="J528" i="2"/>
  <c r="I528" i="2"/>
  <c r="G528" i="2"/>
  <c r="A528" i="2"/>
  <c r="M526" i="2"/>
  <c r="L526" i="2"/>
  <c r="K526" i="2"/>
  <c r="J526" i="2"/>
  <c r="I526" i="2"/>
  <c r="G526" i="2"/>
  <c r="A526" i="2"/>
  <c r="M525" i="2"/>
  <c r="L525" i="2"/>
  <c r="K525" i="2"/>
  <c r="J525" i="2"/>
  <c r="I525" i="2"/>
  <c r="G525" i="2"/>
  <c r="A525" i="2"/>
  <c r="M524" i="2"/>
  <c r="L524" i="2"/>
  <c r="K524" i="2"/>
  <c r="J524" i="2"/>
  <c r="I524" i="2"/>
  <c r="G524" i="2"/>
  <c r="A524" i="2"/>
  <c r="M523" i="2"/>
  <c r="L523" i="2"/>
  <c r="K523" i="2"/>
  <c r="J523" i="2"/>
  <c r="I523" i="2"/>
  <c r="G523" i="2"/>
  <c r="A523" i="2"/>
  <c r="M522" i="2"/>
  <c r="L522" i="2"/>
  <c r="K522" i="2"/>
  <c r="J522" i="2"/>
  <c r="I522" i="2"/>
  <c r="G522" i="2"/>
  <c r="A522" i="2"/>
  <c r="M521" i="2"/>
  <c r="L521" i="2"/>
  <c r="K521" i="2"/>
  <c r="J521" i="2"/>
  <c r="I521" i="2"/>
  <c r="G521" i="2"/>
  <c r="A521" i="2"/>
  <c r="M520" i="2"/>
  <c r="L520" i="2"/>
  <c r="K520" i="2"/>
  <c r="J520" i="2"/>
  <c r="I520" i="2"/>
  <c r="G520" i="2"/>
  <c r="A520" i="2"/>
  <c r="M519" i="2"/>
  <c r="L519" i="2"/>
  <c r="K519" i="2"/>
  <c r="J519" i="2"/>
  <c r="I519" i="2"/>
  <c r="G519" i="2"/>
  <c r="A519" i="2"/>
  <c r="M518" i="2"/>
  <c r="L518" i="2"/>
  <c r="K518" i="2"/>
  <c r="J518" i="2"/>
  <c r="I518" i="2"/>
  <c r="G518" i="2"/>
  <c r="A518" i="2"/>
  <c r="M517" i="2"/>
  <c r="L517" i="2"/>
  <c r="K517" i="2"/>
  <c r="J517" i="2"/>
  <c r="I517" i="2"/>
  <c r="G517" i="2"/>
  <c r="A517" i="2"/>
  <c r="M516" i="2"/>
  <c r="L516" i="2"/>
  <c r="K516" i="2"/>
  <c r="J516" i="2"/>
  <c r="I516" i="2"/>
  <c r="G516" i="2"/>
  <c r="A516" i="2"/>
  <c r="M515" i="2"/>
  <c r="L515" i="2"/>
  <c r="K515" i="2"/>
  <c r="J515" i="2"/>
  <c r="I515" i="2"/>
  <c r="G515" i="2"/>
  <c r="A515" i="2"/>
  <c r="M514" i="2"/>
  <c r="L514" i="2"/>
  <c r="K514" i="2"/>
  <c r="J514" i="2"/>
  <c r="I514" i="2"/>
  <c r="G514" i="2"/>
  <c r="A514" i="2"/>
  <c r="M513" i="2"/>
  <c r="L513" i="2"/>
  <c r="K513" i="2"/>
  <c r="J513" i="2"/>
  <c r="I513" i="2"/>
  <c r="G513" i="2"/>
  <c r="A513" i="2"/>
  <c r="M512" i="2"/>
  <c r="L512" i="2"/>
  <c r="K512" i="2"/>
  <c r="J512" i="2"/>
  <c r="I512" i="2"/>
  <c r="G512" i="2"/>
  <c r="A512" i="2"/>
  <c r="M511" i="2"/>
  <c r="L511" i="2"/>
  <c r="K511" i="2"/>
  <c r="J511" i="2"/>
  <c r="I511" i="2"/>
  <c r="G511" i="2"/>
  <c r="A511" i="2"/>
  <c r="M510" i="2"/>
  <c r="L510" i="2"/>
  <c r="K510" i="2"/>
  <c r="J510" i="2"/>
  <c r="I510" i="2"/>
  <c r="G510" i="2"/>
  <c r="A510" i="2"/>
  <c r="M509" i="2"/>
  <c r="L509" i="2"/>
  <c r="K509" i="2"/>
  <c r="J509" i="2"/>
  <c r="I509" i="2"/>
  <c r="G509" i="2"/>
  <c r="A509" i="2"/>
  <c r="M508" i="2"/>
  <c r="L508" i="2"/>
  <c r="K508" i="2"/>
  <c r="J508" i="2"/>
  <c r="I508" i="2"/>
  <c r="G508" i="2"/>
  <c r="A508" i="2"/>
  <c r="M507" i="2"/>
  <c r="L507" i="2"/>
  <c r="K507" i="2"/>
  <c r="J507" i="2"/>
  <c r="I507" i="2"/>
  <c r="G507" i="2"/>
  <c r="A507" i="2"/>
  <c r="M506" i="2"/>
  <c r="L506" i="2"/>
  <c r="K506" i="2"/>
  <c r="J506" i="2"/>
  <c r="I506" i="2"/>
  <c r="G506" i="2"/>
  <c r="A506" i="2"/>
  <c r="M505" i="2"/>
  <c r="L505" i="2"/>
  <c r="K505" i="2"/>
  <c r="J505" i="2"/>
  <c r="I505" i="2"/>
  <c r="G505" i="2"/>
  <c r="A505" i="2"/>
  <c r="M504" i="2"/>
  <c r="L504" i="2"/>
  <c r="K504" i="2"/>
  <c r="J504" i="2"/>
  <c r="I504" i="2"/>
  <c r="G504" i="2"/>
  <c r="A504" i="2"/>
  <c r="M503" i="2"/>
  <c r="L503" i="2"/>
  <c r="K503" i="2"/>
  <c r="J503" i="2"/>
  <c r="I503" i="2"/>
  <c r="G503" i="2"/>
  <c r="A503" i="2"/>
  <c r="M502" i="2"/>
  <c r="L502" i="2"/>
  <c r="K502" i="2"/>
  <c r="J502" i="2"/>
  <c r="I502" i="2"/>
  <c r="G502" i="2"/>
  <c r="A502" i="2"/>
  <c r="M501" i="2"/>
  <c r="L501" i="2"/>
  <c r="K501" i="2"/>
  <c r="J501" i="2"/>
  <c r="I501" i="2"/>
  <c r="G501" i="2"/>
  <c r="A501" i="2"/>
  <c r="M500" i="2"/>
  <c r="L500" i="2"/>
  <c r="K500" i="2"/>
  <c r="J500" i="2"/>
  <c r="I500" i="2"/>
  <c r="G500" i="2"/>
  <c r="A500" i="2"/>
  <c r="M499" i="2"/>
  <c r="L499" i="2"/>
  <c r="K499" i="2"/>
  <c r="J499" i="2"/>
  <c r="I499" i="2"/>
  <c r="G499" i="2"/>
  <c r="A499" i="2"/>
  <c r="M498" i="2"/>
  <c r="L498" i="2"/>
  <c r="K498" i="2"/>
  <c r="J498" i="2"/>
  <c r="I498" i="2"/>
  <c r="G498" i="2"/>
  <c r="A498" i="2"/>
  <c r="M497" i="2"/>
  <c r="L497" i="2"/>
  <c r="K497" i="2"/>
  <c r="J497" i="2"/>
  <c r="I497" i="2"/>
  <c r="G497" i="2"/>
  <c r="A497" i="2"/>
  <c r="M496" i="2"/>
  <c r="L496" i="2"/>
  <c r="K496" i="2"/>
  <c r="J496" i="2"/>
  <c r="I496" i="2"/>
  <c r="G496" i="2"/>
  <c r="A496" i="2"/>
  <c r="M495" i="2"/>
  <c r="L495" i="2"/>
  <c r="K495" i="2"/>
  <c r="J495" i="2"/>
  <c r="I495" i="2"/>
  <c r="G495" i="2"/>
  <c r="A495" i="2"/>
  <c r="M494" i="2"/>
  <c r="L494" i="2"/>
  <c r="K494" i="2"/>
  <c r="J494" i="2"/>
  <c r="I494" i="2"/>
  <c r="G494" i="2"/>
  <c r="A494" i="2"/>
  <c r="M493" i="2"/>
  <c r="L493" i="2"/>
  <c r="K493" i="2"/>
  <c r="J493" i="2"/>
  <c r="I493" i="2"/>
  <c r="G493" i="2"/>
  <c r="A493" i="2"/>
  <c r="M492" i="2"/>
  <c r="L492" i="2"/>
  <c r="K492" i="2"/>
  <c r="J492" i="2"/>
  <c r="I492" i="2"/>
  <c r="G492" i="2"/>
  <c r="A492" i="2"/>
  <c r="M491" i="2"/>
  <c r="L491" i="2"/>
  <c r="K491" i="2"/>
  <c r="J491" i="2"/>
  <c r="I491" i="2"/>
  <c r="G491" i="2"/>
  <c r="A491" i="2"/>
  <c r="M490" i="2"/>
  <c r="L490" i="2"/>
  <c r="K490" i="2"/>
  <c r="J490" i="2"/>
  <c r="I490" i="2"/>
  <c r="G490" i="2"/>
  <c r="A490" i="2"/>
  <c r="M489" i="2"/>
  <c r="L489" i="2"/>
  <c r="K489" i="2"/>
  <c r="J489" i="2"/>
  <c r="I489" i="2"/>
  <c r="G489" i="2"/>
  <c r="A489" i="2"/>
  <c r="M488" i="2"/>
  <c r="L488" i="2"/>
  <c r="K488" i="2"/>
  <c r="J488" i="2"/>
  <c r="I488" i="2"/>
  <c r="G488" i="2"/>
  <c r="A488" i="2"/>
  <c r="M487" i="2"/>
  <c r="L487" i="2"/>
  <c r="K487" i="2"/>
  <c r="J487" i="2"/>
  <c r="I487" i="2"/>
  <c r="G487" i="2"/>
  <c r="A487" i="2"/>
  <c r="M486" i="2"/>
  <c r="L486" i="2"/>
  <c r="K486" i="2"/>
  <c r="J486" i="2"/>
  <c r="I486" i="2"/>
  <c r="G486" i="2"/>
  <c r="A486" i="2"/>
  <c r="M485" i="2"/>
  <c r="L485" i="2"/>
  <c r="K485" i="2"/>
  <c r="J485" i="2"/>
  <c r="I485" i="2"/>
  <c r="G485" i="2"/>
  <c r="A485" i="2"/>
  <c r="M484" i="2"/>
  <c r="L484" i="2"/>
  <c r="K484" i="2"/>
  <c r="J484" i="2"/>
  <c r="I484" i="2"/>
  <c r="G484" i="2"/>
  <c r="A484" i="2"/>
  <c r="M483" i="2"/>
  <c r="L483" i="2"/>
  <c r="K483" i="2"/>
  <c r="J483" i="2"/>
  <c r="I483" i="2"/>
  <c r="G483" i="2"/>
  <c r="A483" i="2"/>
  <c r="M482" i="2"/>
  <c r="L482" i="2"/>
  <c r="K482" i="2"/>
  <c r="J482" i="2"/>
  <c r="I482" i="2"/>
  <c r="G482" i="2"/>
  <c r="A482" i="2"/>
  <c r="M481" i="2"/>
  <c r="L481" i="2"/>
  <c r="K481" i="2"/>
  <c r="J481" i="2"/>
  <c r="I481" i="2"/>
  <c r="G481" i="2"/>
  <c r="A481" i="2"/>
  <c r="M480" i="2"/>
  <c r="L480" i="2"/>
  <c r="K480" i="2"/>
  <c r="J480" i="2"/>
  <c r="I480" i="2"/>
  <c r="G480" i="2"/>
  <c r="A480" i="2"/>
  <c r="M479" i="2"/>
  <c r="L479" i="2"/>
  <c r="K479" i="2"/>
  <c r="J479" i="2"/>
  <c r="I479" i="2"/>
  <c r="G479" i="2"/>
  <c r="A479" i="2"/>
  <c r="M478" i="2"/>
  <c r="L478" i="2"/>
  <c r="K478" i="2"/>
  <c r="J478" i="2"/>
  <c r="I478" i="2"/>
  <c r="G478" i="2"/>
  <c r="A478" i="2"/>
  <c r="M477" i="2"/>
  <c r="L477" i="2"/>
  <c r="K477" i="2"/>
  <c r="J477" i="2"/>
  <c r="I477" i="2"/>
  <c r="G477" i="2"/>
  <c r="A477" i="2"/>
  <c r="M476" i="2"/>
  <c r="L476" i="2"/>
  <c r="K476" i="2"/>
  <c r="J476" i="2"/>
  <c r="I476" i="2"/>
  <c r="G476" i="2"/>
  <c r="A476" i="2"/>
  <c r="M475" i="2"/>
  <c r="L475" i="2"/>
  <c r="K475" i="2"/>
  <c r="J475" i="2"/>
  <c r="I475" i="2"/>
  <c r="G475" i="2"/>
  <c r="A475" i="2"/>
  <c r="M474" i="2"/>
  <c r="L474" i="2"/>
  <c r="K474" i="2"/>
  <c r="J474" i="2"/>
  <c r="I474" i="2"/>
  <c r="G474" i="2"/>
  <c r="A474" i="2"/>
  <c r="M473" i="2"/>
  <c r="L473" i="2"/>
  <c r="K473" i="2"/>
  <c r="J473" i="2"/>
  <c r="I473" i="2"/>
  <c r="G473" i="2"/>
  <c r="A473" i="2"/>
  <c r="M472" i="2"/>
  <c r="L472" i="2"/>
  <c r="K472" i="2"/>
  <c r="J472" i="2"/>
  <c r="I472" i="2"/>
  <c r="G472" i="2"/>
  <c r="A472" i="2"/>
  <c r="M471" i="2"/>
  <c r="L471" i="2"/>
  <c r="K471" i="2"/>
  <c r="J471" i="2"/>
  <c r="I471" i="2"/>
  <c r="G471" i="2"/>
  <c r="A471" i="2"/>
  <c r="M470" i="2"/>
  <c r="L470" i="2"/>
  <c r="K470" i="2"/>
  <c r="J470" i="2"/>
  <c r="I470" i="2"/>
  <c r="G470" i="2"/>
  <c r="A470" i="2"/>
  <c r="M469" i="2"/>
  <c r="L469" i="2"/>
  <c r="K469" i="2"/>
  <c r="J469" i="2"/>
  <c r="I469" i="2"/>
  <c r="G469" i="2"/>
  <c r="A469" i="2"/>
  <c r="M468" i="2"/>
  <c r="L468" i="2"/>
  <c r="K468" i="2"/>
  <c r="J468" i="2"/>
  <c r="I468" i="2"/>
  <c r="G468" i="2"/>
  <c r="A468" i="2"/>
  <c r="M467" i="2"/>
  <c r="L467" i="2"/>
  <c r="K467" i="2"/>
  <c r="J467" i="2"/>
  <c r="I467" i="2"/>
  <c r="G467" i="2"/>
  <c r="A467" i="2"/>
  <c r="M466" i="2"/>
  <c r="L466" i="2"/>
  <c r="K466" i="2"/>
  <c r="J466" i="2"/>
  <c r="I466" i="2"/>
  <c r="G466" i="2"/>
  <c r="A466" i="2"/>
  <c r="M465" i="2"/>
  <c r="L465" i="2"/>
  <c r="K465" i="2"/>
  <c r="J465" i="2"/>
  <c r="I465" i="2"/>
  <c r="G465" i="2"/>
  <c r="A465" i="2"/>
  <c r="M464" i="2"/>
  <c r="L464" i="2"/>
  <c r="K464" i="2"/>
  <c r="J464" i="2"/>
  <c r="I464" i="2"/>
  <c r="G464" i="2"/>
  <c r="A464" i="2"/>
  <c r="M463" i="2"/>
  <c r="L463" i="2"/>
  <c r="K463" i="2"/>
  <c r="J463" i="2"/>
  <c r="I463" i="2"/>
  <c r="G463" i="2"/>
  <c r="A463" i="2"/>
  <c r="M462" i="2"/>
  <c r="L462" i="2"/>
  <c r="K462" i="2"/>
  <c r="J462" i="2"/>
  <c r="I462" i="2"/>
  <c r="G462" i="2"/>
  <c r="A462" i="2"/>
  <c r="M461" i="2"/>
  <c r="L461" i="2"/>
  <c r="K461" i="2"/>
  <c r="J461" i="2"/>
  <c r="I461" i="2"/>
  <c r="G461" i="2"/>
  <c r="A461" i="2"/>
  <c r="M460" i="2"/>
  <c r="L460" i="2"/>
  <c r="K460" i="2"/>
  <c r="J460" i="2"/>
  <c r="I460" i="2"/>
  <c r="G460" i="2"/>
  <c r="A460" i="2"/>
  <c r="M459" i="2"/>
  <c r="L459" i="2"/>
  <c r="K459" i="2"/>
  <c r="J459" i="2"/>
  <c r="I459" i="2"/>
  <c r="G459" i="2"/>
  <c r="A459" i="2"/>
  <c r="M458" i="2"/>
  <c r="L458" i="2"/>
  <c r="K458" i="2"/>
  <c r="J458" i="2"/>
  <c r="I458" i="2"/>
  <c r="G458" i="2"/>
  <c r="A458" i="2"/>
  <c r="M457" i="2"/>
  <c r="L457" i="2"/>
  <c r="K457" i="2"/>
  <c r="J457" i="2"/>
  <c r="I457" i="2"/>
  <c r="G457" i="2"/>
  <c r="A457" i="2"/>
  <c r="M456" i="2"/>
  <c r="L456" i="2"/>
  <c r="K456" i="2"/>
  <c r="J456" i="2"/>
  <c r="I456" i="2"/>
  <c r="G456" i="2"/>
  <c r="A456" i="2"/>
  <c r="M455" i="2"/>
  <c r="L455" i="2"/>
  <c r="K455" i="2"/>
  <c r="J455" i="2"/>
  <c r="I455" i="2"/>
  <c r="G455" i="2"/>
  <c r="A455" i="2"/>
  <c r="M454" i="2"/>
  <c r="L454" i="2"/>
  <c r="K454" i="2"/>
  <c r="J454" i="2"/>
  <c r="I454" i="2"/>
  <c r="G454" i="2"/>
  <c r="A454" i="2"/>
  <c r="M453" i="2"/>
  <c r="L453" i="2"/>
  <c r="K453" i="2"/>
  <c r="J453" i="2"/>
  <c r="I453" i="2"/>
  <c r="G453" i="2"/>
  <c r="A453" i="2"/>
  <c r="M452" i="2"/>
  <c r="L452" i="2"/>
  <c r="K452" i="2"/>
  <c r="J452" i="2"/>
  <c r="I452" i="2"/>
  <c r="G452" i="2"/>
  <c r="A452" i="2"/>
  <c r="M451" i="2"/>
  <c r="L451" i="2"/>
  <c r="K451" i="2"/>
  <c r="J451" i="2"/>
  <c r="I451" i="2"/>
  <c r="G451" i="2"/>
  <c r="A451" i="2"/>
  <c r="M450" i="2"/>
  <c r="L450" i="2"/>
  <c r="K450" i="2"/>
  <c r="J450" i="2"/>
  <c r="I450" i="2"/>
  <c r="G450" i="2"/>
  <c r="A450" i="2"/>
  <c r="M449" i="2"/>
  <c r="L449" i="2"/>
  <c r="K449" i="2"/>
  <c r="J449" i="2"/>
  <c r="I449" i="2"/>
  <c r="G449" i="2"/>
  <c r="A449" i="2"/>
  <c r="M448" i="2"/>
  <c r="L448" i="2"/>
  <c r="K448" i="2"/>
  <c r="J448" i="2"/>
  <c r="I448" i="2"/>
  <c r="G448" i="2"/>
  <c r="A448" i="2"/>
  <c r="M447" i="2"/>
  <c r="L447" i="2"/>
  <c r="K447" i="2"/>
  <c r="J447" i="2"/>
  <c r="I447" i="2"/>
  <c r="G447" i="2"/>
  <c r="A447" i="2"/>
  <c r="M446" i="2"/>
  <c r="L446" i="2"/>
  <c r="K446" i="2"/>
  <c r="J446" i="2"/>
  <c r="I446" i="2"/>
  <c r="G446" i="2"/>
  <c r="A446" i="2"/>
  <c r="M445" i="2"/>
  <c r="L445" i="2"/>
  <c r="K445" i="2"/>
  <c r="J445" i="2"/>
  <c r="I445" i="2"/>
  <c r="G445" i="2"/>
  <c r="A445" i="2"/>
  <c r="M444" i="2"/>
  <c r="L444" i="2"/>
  <c r="K444" i="2"/>
  <c r="J444" i="2"/>
  <c r="I444" i="2"/>
  <c r="G444" i="2"/>
  <c r="A444" i="2"/>
  <c r="M443" i="2"/>
  <c r="L443" i="2"/>
  <c r="K443" i="2"/>
  <c r="J443" i="2"/>
  <c r="I443" i="2"/>
  <c r="G443" i="2"/>
  <c r="A443" i="2"/>
  <c r="M442" i="2"/>
  <c r="L442" i="2"/>
  <c r="K442" i="2"/>
  <c r="J442" i="2"/>
  <c r="I442" i="2"/>
  <c r="G442" i="2"/>
  <c r="A442" i="2"/>
  <c r="M441" i="2"/>
  <c r="L441" i="2"/>
  <c r="K441" i="2"/>
  <c r="J441" i="2"/>
  <c r="I441" i="2"/>
  <c r="G441" i="2"/>
  <c r="A441" i="2"/>
  <c r="M440" i="2"/>
  <c r="L440" i="2"/>
  <c r="K440" i="2"/>
  <c r="J440" i="2"/>
  <c r="I440" i="2"/>
  <c r="G440" i="2"/>
  <c r="A440" i="2"/>
  <c r="M439" i="2"/>
  <c r="L439" i="2"/>
  <c r="K439" i="2"/>
  <c r="J439" i="2"/>
  <c r="I439" i="2"/>
  <c r="G439" i="2"/>
  <c r="A439" i="2"/>
  <c r="M438" i="2"/>
  <c r="L438" i="2"/>
  <c r="K438" i="2"/>
  <c r="J438" i="2"/>
  <c r="I438" i="2"/>
  <c r="G438" i="2"/>
  <c r="A438" i="2"/>
  <c r="M437" i="2"/>
  <c r="L437" i="2"/>
  <c r="K437" i="2"/>
  <c r="J437" i="2"/>
  <c r="I437" i="2"/>
  <c r="G437" i="2"/>
  <c r="A437" i="2"/>
  <c r="M436" i="2"/>
  <c r="L436" i="2"/>
  <c r="K436" i="2"/>
  <c r="J436" i="2"/>
  <c r="I436" i="2"/>
  <c r="G436" i="2"/>
  <c r="A436" i="2"/>
  <c r="M435" i="2"/>
  <c r="L435" i="2"/>
  <c r="K435" i="2"/>
  <c r="J435" i="2"/>
  <c r="I435" i="2"/>
  <c r="G435" i="2"/>
  <c r="A435" i="2"/>
  <c r="M434" i="2"/>
  <c r="L434" i="2"/>
  <c r="K434" i="2"/>
  <c r="J434" i="2"/>
  <c r="I434" i="2"/>
  <c r="G434" i="2"/>
  <c r="A434" i="2"/>
  <c r="M433" i="2"/>
  <c r="L433" i="2"/>
  <c r="K433" i="2"/>
  <c r="J433" i="2"/>
  <c r="I433" i="2"/>
  <c r="G433" i="2"/>
  <c r="A433" i="2"/>
  <c r="M432" i="2"/>
  <c r="L432" i="2"/>
  <c r="K432" i="2"/>
  <c r="J432" i="2"/>
  <c r="I432" i="2"/>
  <c r="G432" i="2"/>
  <c r="A432" i="2"/>
  <c r="M431" i="2"/>
  <c r="L431" i="2"/>
  <c r="K431" i="2"/>
  <c r="J431" i="2"/>
  <c r="I431" i="2"/>
  <c r="G431" i="2"/>
  <c r="A431" i="2"/>
  <c r="M430" i="2"/>
  <c r="L430" i="2"/>
  <c r="K430" i="2"/>
  <c r="J430" i="2"/>
  <c r="I430" i="2"/>
  <c r="G430" i="2"/>
  <c r="A430" i="2"/>
  <c r="M429" i="2"/>
  <c r="L429" i="2"/>
  <c r="K429" i="2"/>
  <c r="J429" i="2"/>
  <c r="I429" i="2"/>
  <c r="G429" i="2"/>
  <c r="A429" i="2"/>
  <c r="M428" i="2"/>
  <c r="L428" i="2"/>
  <c r="K428" i="2"/>
  <c r="J428" i="2"/>
  <c r="I428" i="2"/>
  <c r="G428" i="2"/>
  <c r="A428" i="2"/>
  <c r="M427" i="2"/>
  <c r="L427" i="2"/>
  <c r="K427" i="2"/>
  <c r="J427" i="2"/>
  <c r="I427" i="2"/>
  <c r="G427" i="2"/>
  <c r="A427" i="2"/>
  <c r="M426" i="2"/>
  <c r="L426" i="2"/>
  <c r="K426" i="2"/>
  <c r="J426" i="2"/>
  <c r="I426" i="2"/>
  <c r="G426" i="2"/>
  <c r="A426" i="2"/>
  <c r="M425" i="2"/>
  <c r="L425" i="2"/>
  <c r="K425" i="2"/>
  <c r="J425" i="2"/>
  <c r="I425" i="2"/>
  <c r="G425" i="2"/>
  <c r="A425" i="2"/>
  <c r="M424" i="2"/>
  <c r="L424" i="2"/>
  <c r="K424" i="2"/>
  <c r="J424" i="2"/>
  <c r="I424" i="2"/>
  <c r="G424" i="2"/>
  <c r="A424" i="2"/>
  <c r="M423" i="2"/>
  <c r="L423" i="2"/>
  <c r="K423" i="2"/>
  <c r="J423" i="2"/>
  <c r="I423" i="2"/>
  <c r="G423" i="2"/>
  <c r="A423" i="2"/>
  <c r="M422" i="2"/>
  <c r="L422" i="2"/>
  <c r="K422" i="2"/>
  <c r="J422" i="2"/>
  <c r="I422" i="2"/>
  <c r="G422" i="2"/>
  <c r="A422" i="2"/>
  <c r="M421" i="2"/>
  <c r="L421" i="2"/>
  <c r="K421" i="2"/>
  <c r="J421" i="2"/>
  <c r="I421" i="2"/>
  <c r="G421" i="2"/>
  <c r="A421" i="2"/>
  <c r="M420" i="2"/>
  <c r="L420" i="2"/>
  <c r="K420" i="2"/>
  <c r="J420" i="2"/>
  <c r="I420" i="2"/>
  <c r="G420" i="2"/>
  <c r="A420" i="2"/>
  <c r="M419" i="2"/>
  <c r="L419" i="2"/>
  <c r="K419" i="2"/>
  <c r="J419" i="2"/>
  <c r="I419" i="2"/>
  <c r="G419" i="2"/>
  <c r="A419" i="2"/>
  <c r="M418" i="2"/>
  <c r="L418" i="2"/>
  <c r="K418" i="2"/>
  <c r="J418" i="2"/>
  <c r="I418" i="2"/>
  <c r="G418" i="2"/>
  <c r="A418" i="2"/>
  <c r="M417" i="2"/>
  <c r="L417" i="2"/>
  <c r="K417" i="2"/>
  <c r="J417" i="2"/>
  <c r="I417" i="2"/>
  <c r="G417" i="2"/>
  <c r="A417" i="2"/>
  <c r="M416" i="2"/>
  <c r="L416" i="2"/>
  <c r="K416" i="2"/>
  <c r="J416" i="2"/>
  <c r="I416" i="2"/>
  <c r="G416" i="2"/>
  <c r="A416" i="2"/>
  <c r="M415" i="2"/>
  <c r="L415" i="2"/>
  <c r="K415" i="2"/>
  <c r="J415" i="2"/>
  <c r="I415" i="2"/>
  <c r="G415" i="2"/>
  <c r="A415" i="2"/>
  <c r="M414" i="2"/>
  <c r="L414" i="2"/>
  <c r="K414" i="2"/>
  <c r="J414" i="2"/>
  <c r="I414" i="2"/>
  <c r="G414" i="2"/>
  <c r="A414" i="2"/>
  <c r="M413" i="2"/>
  <c r="L413" i="2"/>
  <c r="K413" i="2"/>
  <c r="J413" i="2"/>
  <c r="I413" i="2"/>
  <c r="G413" i="2"/>
  <c r="A413" i="2"/>
  <c r="M412" i="2"/>
  <c r="L412" i="2"/>
  <c r="K412" i="2"/>
  <c r="J412" i="2"/>
  <c r="I412" i="2"/>
  <c r="G412" i="2"/>
  <c r="A412" i="2"/>
  <c r="M411" i="2"/>
  <c r="L411" i="2"/>
  <c r="K411" i="2"/>
  <c r="J411" i="2"/>
  <c r="I411" i="2"/>
  <c r="G411" i="2"/>
  <c r="A411" i="2"/>
  <c r="M410" i="2"/>
  <c r="L410" i="2"/>
  <c r="K410" i="2"/>
  <c r="J410" i="2"/>
  <c r="I410" i="2"/>
  <c r="G410" i="2"/>
  <c r="A410" i="2"/>
  <c r="M409" i="2"/>
  <c r="L409" i="2"/>
  <c r="K409" i="2"/>
  <c r="J409" i="2"/>
  <c r="I409" i="2"/>
  <c r="G409" i="2"/>
  <c r="A409" i="2"/>
  <c r="M408" i="2"/>
  <c r="L408" i="2"/>
  <c r="K408" i="2"/>
  <c r="J408" i="2"/>
  <c r="I408" i="2"/>
  <c r="G408" i="2"/>
  <c r="A408" i="2"/>
  <c r="M407" i="2"/>
  <c r="L407" i="2"/>
  <c r="K407" i="2"/>
  <c r="J407" i="2"/>
  <c r="I407" i="2"/>
  <c r="G407" i="2"/>
  <c r="A407" i="2"/>
  <c r="M406" i="2"/>
  <c r="L406" i="2"/>
  <c r="K406" i="2"/>
  <c r="J406" i="2"/>
  <c r="I406" i="2"/>
  <c r="G406" i="2"/>
  <c r="A406" i="2"/>
  <c r="M405" i="2"/>
  <c r="L405" i="2"/>
  <c r="K405" i="2"/>
  <c r="J405" i="2"/>
  <c r="I405" i="2"/>
  <c r="G405" i="2"/>
  <c r="A405" i="2"/>
  <c r="M404" i="2"/>
  <c r="L404" i="2"/>
  <c r="K404" i="2"/>
  <c r="J404" i="2"/>
  <c r="I404" i="2"/>
  <c r="G404" i="2"/>
  <c r="A404" i="2"/>
  <c r="M403" i="2"/>
  <c r="L403" i="2"/>
  <c r="K403" i="2"/>
  <c r="J403" i="2"/>
  <c r="I403" i="2"/>
  <c r="G403" i="2"/>
  <c r="A403" i="2"/>
  <c r="M402" i="2"/>
  <c r="L402" i="2"/>
  <c r="K402" i="2"/>
  <c r="J402" i="2"/>
  <c r="I402" i="2"/>
  <c r="G402" i="2"/>
  <c r="A402" i="2"/>
  <c r="M401" i="2"/>
  <c r="L401" i="2"/>
  <c r="K401" i="2"/>
  <c r="J401" i="2"/>
  <c r="I401" i="2"/>
  <c r="G401" i="2"/>
  <c r="A401" i="2"/>
  <c r="M400" i="2"/>
  <c r="L400" i="2"/>
  <c r="K400" i="2"/>
  <c r="J400" i="2"/>
  <c r="I400" i="2"/>
  <c r="G400" i="2"/>
  <c r="A400" i="2"/>
  <c r="M399" i="2"/>
  <c r="L399" i="2"/>
  <c r="K399" i="2"/>
  <c r="J399" i="2"/>
  <c r="I399" i="2"/>
  <c r="G399" i="2"/>
  <c r="A399" i="2"/>
  <c r="M398" i="2"/>
  <c r="L398" i="2"/>
  <c r="K398" i="2"/>
  <c r="J398" i="2"/>
  <c r="I398" i="2"/>
  <c r="G398" i="2"/>
  <c r="A398" i="2"/>
  <c r="M397" i="2"/>
  <c r="L397" i="2"/>
  <c r="K397" i="2"/>
  <c r="J397" i="2"/>
  <c r="I397" i="2"/>
  <c r="G397" i="2"/>
  <c r="A397" i="2"/>
  <c r="M396" i="2"/>
  <c r="L396" i="2"/>
  <c r="K396" i="2"/>
  <c r="J396" i="2"/>
  <c r="I396" i="2"/>
  <c r="G396" i="2"/>
  <c r="A396" i="2"/>
  <c r="M395" i="2"/>
  <c r="L395" i="2"/>
  <c r="K395" i="2"/>
  <c r="J395" i="2"/>
  <c r="I395" i="2"/>
  <c r="G395" i="2"/>
  <c r="A395" i="2"/>
  <c r="M394" i="2"/>
  <c r="L394" i="2"/>
  <c r="K394" i="2"/>
  <c r="J394" i="2"/>
  <c r="I394" i="2"/>
  <c r="G394" i="2"/>
  <c r="A394" i="2"/>
  <c r="M393" i="2"/>
  <c r="L393" i="2"/>
  <c r="K393" i="2"/>
  <c r="J393" i="2"/>
  <c r="I393" i="2"/>
  <c r="G393" i="2"/>
  <c r="A393" i="2"/>
  <c r="M392" i="2"/>
  <c r="L392" i="2"/>
  <c r="K392" i="2"/>
  <c r="J392" i="2"/>
  <c r="I392" i="2"/>
  <c r="G392" i="2"/>
  <c r="A392" i="2"/>
  <c r="M391" i="2"/>
  <c r="L391" i="2"/>
  <c r="K391" i="2"/>
  <c r="J391" i="2"/>
  <c r="I391" i="2"/>
  <c r="G391" i="2"/>
  <c r="A391" i="2"/>
  <c r="M390" i="2"/>
  <c r="L390" i="2"/>
  <c r="K390" i="2"/>
  <c r="J390" i="2"/>
  <c r="I390" i="2"/>
  <c r="G390" i="2"/>
  <c r="A390" i="2"/>
  <c r="M389" i="2"/>
  <c r="L389" i="2"/>
  <c r="K389" i="2"/>
  <c r="J389" i="2"/>
  <c r="I389" i="2"/>
  <c r="G389" i="2"/>
  <c r="A389" i="2"/>
  <c r="M388" i="2"/>
  <c r="L388" i="2"/>
  <c r="K388" i="2"/>
  <c r="J388" i="2"/>
  <c r="I388" i="2"/>
  <c r="G388" i="2"/>
  <c r="A388" i="2"/>
  <c r="M387" i="2"/>
  <c r="L387" i="2"/>
  <c r="K387" i="2"/>
  <c r="J387" i="2"/>
  <c r="I387" i="2"/>
  <c r="G387" i="2"/>
  <c r="A387" i="2"/>
  <c r="M386" i="2"/>
  <c r="L386" i="2"/>
  <c r="K386" i="2"/>
  <c r="J386" i="2"/>
  <c r="I386" i="2"/>
  <c r="G386" i="2"/>
  <c r="A386" i="2"/>
  <c r="M385" i="2"/>
  <c r="L385" i="2"/>
  <c r="K385" i="2"/>
  <c r="J385" i="2"/>
  <c r="I385" i="2"/>
  <c r="G385" i="2"/>
  <c r="A385" i="2"/>
  <c r="M384" i="2"/>
  <c r="L384" i="2"/>
  <c r="K384" i="2"/>
  <c r="J384" i="2"/>
  <c r="I384" i="2"/>
  <c r="G384" i="2"/>
  <c r="A384" i="2"/>
  <c r="M383" i="2"/>
  <c r="L383" i="2"/>
  <c r="K383" i="2"/>
  <c r="J383" i="2"/>
  <c r="I383" i="2"/>
  <c r="G383" i="2"/>
  <c r="A383" i="2"/>
  <c r="M382" i="2"/>
  <c r="L382" i="2"/>
  <c r="K382" i="2"/>
  <c r="J382" i="2"/>
  <c r="I382" i="2"/>
  <c r="G382" i="2"/>
  <c r="A382" i="2"/>
  <c r="M381" i="2"/>
  <c r="L381" i="2"/>
  <c r="K381" i="2"/>
  <c r="J381" i="2"/>
  <c r="I381" i="2"/>
  <c r="G381" i="2"/>
  <c r="A381" i="2"/>
  <c r="M380" i="2"/>
  <c r="L380" i="2"/>
  <c r="K380" i="2"/>
  <c r="J380" i="2"/>
  <c r="I380" i="2"/>
  <c r="G380" i="2"/>
  <c r="A380" i="2"/>
  <c r="M379" i="2"/>
  <c r="L379" i="2"/>
  <c r="K379" i="2"/>
  <c r="J379" i="2"/>
  <c r="I379" i="2"/>
  <c r="G379" i="2"/>
  <c r="A379" i="2"/>
  <c r="M378" i="2"/>
  <c r="L378" i="2"/>
  <c r="K378" i="2"/>
  <c r="J378" i="2"/>
  <c r="I378" i="2"/>
  <c r="G378" i="2"/>
  <c r="A378" i="2"/>
  <c r="M377" i="2"/>
  <c r="L377" i="2"/>
  <c r="K377" i="2"/>
  <c r="J377" i="2"/>
  <c r="I377" i="2"/>
  <c r="G377" i="2"/>
  <c r="A377" i="2"/>
  <c r="M376" i="2"/>
  <c r="L376" i="2"/>
  <c r="K376" i="2"/>
  <c r="J376" i="2"/>
  <c r="I376" i="2"/>
  <c r="G376" i="2"/>
  <c r="A376" i="2"/>
  <c r="M375" i="2"/>
  <c r="L375" i="2"/>
  <c r="K375" i="2"/>
  <c r="J375" i="2"/>
  <c r="I375" i="2"/>
  <c r="G375" i="2"/>
  <c r="A375" i="2"/>
  <c r="M374" i="2"/>
  <c r="L374" i="2"/>
  <c r="K374" i="2"/>
  <c r="J374" i="2"/>
  <c r="I374" i="2"/>
  <c r="G374" i="2"/>
  <c r="A374" i="2"/>
  <c r="M373" i="2"/>
  <c r="L373" i="2"/>
  <c r="K373" i="2"/>
  <c r="J373" i="2"/>
  <c r="I373" i="2"/>
  <c r="G373" i="2"/>
  <c r="A373" i="2"/>
  <c r="M372" i="2"/>
  <c r="L372" i="2"/>
  <c r="K372" i="2"/>
  <c r="J372" i="2"/>
  <c r="I372" i="2"/>
  <c r="G372" i="2"/>
  <c r="A372" i="2"/>
  <c r="M371" i="2"/>
  <c r="L371" i="2"/>
  <c r="K371" i="2"/>
  <c r="J371" i="2"/>
  <c r="I371" i="2"/>
  <c r="G371" i="2"/>
  <c r="A371" i="2"/>
  <c r="M370" i="2"/>
  <c r="L370" i="2"/>
  <c r="K370" i="2"/>
  <c r="J370" i="2"/>
  <c r="I370" i="2"/>
  <c r="G370" i="2"/>
  <c r="A370" i="2"/>
  <c r="M369" i="2"/>
  <c r="L369" i="2"/>
  <c r="K369" i="2"/>
  <c r="J369" i="2"/>
  <c r="I369" i="2"/>
  <c r="G369" i="2"/>
  <c r="A369" i="2"/>
  <c r="M368" i="2"/>
  <c r="L368" i="2"/>
  <c r="K368" i="2"/>
  <c r="J368" i="2"/>
  <c r="I368" i="2"/>
  <c r="G368" i="2"/>
  <c r="A368" i="2"/>
  <c r="M367" i="2"/>
  <c r="L367" i="2"/>
  <c r="K367" i="2"/>
  <c r="J367" i="2"/>
  <c r="I367" i="2"/>
  <c r="G367" i="2"/>
  <c r="A367" i="2"/>
  <c r="M366" i="2"/>
  <c r="L366" i="2"/>
  <c r="K366" i="2"/>
  <c r="J366" i="2"/>
  <c r="I366" i="2"/>
  <c r="G366" i="2"/>
  <c r="A366" i="2"/>
  <c r="M365" i="2"/>
  <c r="L365" i="2"/>
  <c r="K365" i="2"/>
  <c r="J365" i="2"/>
  <c r="I365" i="2"/>
  <c r="G365" i="2"/>
  <c r="A365" i="2"/>
  <c r="M364" i="2"/>
  <c r="L364" i="2"/>
  <c r="K364" i="2"/>
  <c r="J364" i="2"/>
  <c r="I364" i="2"/>
  <c r="G364" i="2"/>
  <c r="A364" i="2"/>
  <c r="M362" i="2"/>
  <c r="L362" i="2"/>
  <c r="K362" i="2"/>
  <c r="J362" i="2"/>
  <c r="I362" i="2"/>
  <c r="G362" i="2"/>
  <c r="A362" i="2"/>
  <c r="M360" i="2"/>
  <c r="L360" i="2"/>
  <c r="K360" i="2"/>
  <c r="J360" i="2"/>
  <c r="I360" i="2"/>
  <c r="G360" i="2"/>
  <c r="A360" i="2"/>
  <c r="M359" i="2"/>
  <c r="L359" i="2"/>
  <c r="K359" i="2"/>
  <c r="J359" i="2"/>
  <c r="I359" i="2"/>
  <c r="G359" i="2"/>
  <c r="A359" i="2"/>
  <c r="M358" i="2"/>
  <c r="L358" i="2"/>
  <c r="K358" i="2"/>
  <c r="J358" i="2"/>
  <c r="I358" i="2"/>
  <c r="G358" i="2"/>
  <c r="A358" i="2"/>
  <c r="M357" i="2"/>
  <c r="L357" i="2"/>
  <c r="K357" i="2"/>
  <c r="J357" i="2"/>
  <c r="I357" i="2"/>
  <c r="G357" i="2"/>
  <c r="A357" i="2"/>
  <c r="M356" i="2"/>
  <c r="L356" i="2"/>
  <c r="K356" i="2"/>
  <c r="J356" i="2"/>
  <c r="I356" i="2"/>
  <c r="G356" i="2"/>
  <c r="A356" i="2"/>
  <c r="M355" i="2"/>
  <c r="L355" i="2"/>
  <c r="K355" i="2"/>
  <c r="J355" i="2"/>
  <c r="I355" i="2"/>
  <c r="G355" i="2"/>
  <c r="A355" i="2"/>
  <c r="M354" i="2"/>
  <c r="L354" i="2"/>
  <c r="K354" i="2"/>
  <c r="J354" i="2"/>
  <c r="I354" i="2"/>
  <c r="G354" i="2"/>
  <c r="A354" i="2"/>
  <c r="M353" i="2"/>
  <c r="L353" i="2"/>
  <c r="K353" i="2"/>
  <c r="J353" i="2"/>
  <c r="I353" i="2"/>
  <c r="G353" i="2"/>
  <c r="A353" i="2"/>
  <c r="M352" i="2"/>
  <c r="L352" i="2"/>
  <c r="K352" i="2"/>
  <c r="J352" i="2"/>
  <c r="I352" i="2"/>
  <c r="G352" i="2"/>
  <c r="A352" i="2"/>
  <c r="M351" i="2"/>
  <c r="L351" i="2"/>
  <c r="K351" i="2"/>
  <c r="J351" i="2"/>
  <c r="I351" i="2"/>
  <c r="G351" i="2"/>
  <c r="A351" i="2"/>
  <c r="M350" i="2"/>
  <c r="L350" i="2"/>
  <c r="K350" i="2"/>
  <c r="J350" i="2"/>
  <c r="I350" i="2"/>
  <c r="G350" i="2"/>
  <c r="A350" i="2"/>
  <c r="M349" i="2"/>
  <c r="L349" i="2"/>
  <c r="K349" i="2"/>
  <c r="J349" i="2"/>
  <c r="I349" i="2"/>
  <c r="G349" i="2"/>
  <c r="A349" i="2"/>
  <c r="M348" i="2"/>
  <c r="L348" i="2"/>
  <c r="K348" i="2"/>
  <c r="J348" i="2"/>
  <c r="I348" i="2"/>
  <c r="G348" i="2"/>
  <c r="A348" i="2"/>
  <c r="M347" i="2"/>
  <c r="L347" i="2"/>
  <c r="K347" i="2"/>
  <c r="J347" i="2"/>
  <c r="I347" i="2"/>
  <c r="G347" i="2"/>
  <c r="A347" i="2"/>
  <c r="M346" i="2"/>
  <c r="L346" i="2"/>
  <c r="K346" i="2"/>
  <c r="J346" i="2"/>
  <c r="I346" i="2"/>
  <c r="G346" i="2"/>
  <c r="A346" i="2"/>
  <c r="M345" i="2"/>
  <c r="L345" i="2"/>
  <c r="K345" i="2"/>
  <c r="J345" i="2"/>
  <c r="I345" i="2"/>
  <c r="G345" i="2"/>
  <c r="A345" i="2"/>
  <c r="M344" i="2"/>
  <c r="L344" i="2"/>
  <c r="K344" i="2"/>
  <c r="J344" i="2"/>
  <c r="I344" i="2"/>
  <c r="G344" i="2"/>
  <c r="A344" i="2"/>
  <c r="M343" i="2"/>
  <c r="L343" i="2"/>
  <c r="K343" i="2"/>
  <c r="J343" i="2"/>
  <c r="I343" i="2"/>
  <c r="G343" i="2"/>
  <c r="A343" i="2"/>
  <c r="M342" i="2"/>
  <c r="L342" i="2"/>
  <c r="K342" i="2"/>
  <c r="J342" i="2"/>
  <c r="I342" i="2"/>
  <c r="G342" i="2"/>
  <c r="A342" i="2"/>
  <c r="M341" i="2"/>
  <c r="L341" i="2"/>
  <c r="K341" i="2"/>
  <c r="J341" i="2"/>
  <c r="I341" i="2"/>
  <c r="G341" i="2"/>
  <c r="A341" i="2"/>
  <c r="M340" i="2"/>
  <c r="L340" i="2"/>
  <c r="K340" i="2"/>
  <c r="J340" i="2"/>
  <c r="I340" i="2"/>
  <c r="G340" i="2"/>
  <c r="A340" i="2"/>
  <c r="M339" i="2"/>
  <c r="L339" i="2"/>
  <c r="K339" i="2"/>
  <c r="J339" i="2"/>
  <c r="I339" i="2"/>
  <c r="G339" i="2"/>
  <c r="A339" i="2"/>
  <c r="M338" i="2"/>
  <c r="L338" i="2"/>
  <c r="K338" i="2"/>
  <c r="J338" i="2"/>
  <c r="I338" i="2"/>
  <c r="G338" i="2"/>
  <c r="A338" i="2"/>
  <c r="M337" i="2"/>
  <c r="L337" i="2"/>
  <c r="K337" i="2"/>
  <c r="J337" i="2"/>
  <c r="I337" i="2"/>
  <c r="G337" i="2"/>
  <c r="A337" i="2"/>
  <c r="M336" i="2"/>
  <c r="L336" i="2"/>
  <c r="K336" i="2"/>
  <c r="J336" i="2"/>
  <c r="I336" i="2"/>
  <c r="G336" i="2"/>
  <c r="A336" i="2"/>
  <c r="M335" i="2"/>
  <c r="L335" i="2"/>
  <c r="K335" i="2"/>
  <c r="J335" i="2"/>
  <c r="I335" i="2"/>
  <c r="G335" i="2"/>
  <c r="A335" i="2"/>
  <c r="M334" i="2"/>
  <c r="L334" i="2"/>
  <c r="K334" i="2"/>
  <c r="J334" i="2"/>
  <c r="I334" i="2"/>
  <c r="G334" i="2"/>
  <c r="A334" i="2"/>
  <c r="M333" i="2"/>
  <c r="L333" i="2"/>
  <c r="K333" i="2"/>
  <c r="J333" i="2"/>
  <c r="I333" i="2"/>
  <c r="G333" i="2"/>
  <c r="A333" i="2"/>
  <c r="M332" i="2"/>
  <c r="L332" i="2"/>
  <c r="K332" i="2"/>
  <c r="J332" i="2"/>
  <c r="I332" i="2"/>
  <c r="G332" i="2"/>
  <c r="A332" i="2"/>
  <c r="M331" i="2"/>
  <c r="L331" i="2"/>
  <c r="K331" i="2"/>
  <c r="J331" i="2"/>
  <c r="I331" i="2"/>
  <c r="G331" i="2"/>
  <c r="A331" i="2"/>
  <c r="M330" i="2"/>
  <c r="L330" i="2"/>
  <c r="K330" i="2"/>
  <c r="J330" i="2"/>
  <c r="I330" i="2"/>
  <c r="G330" i="2"/>
  <c r="A330" i="2"/>
  <c r="M329" i="2"/>
  <c r="L329" i="2"/>
  <c r="K329" i="2"/>
  <c r="J329" i="2"/>
  <c r="I329" i="2"/>
  <c r="G329" i="2"/>
  <c r="A329" i="2"/>
  <c r="M328" i="2"/>
  <c r="L328" i="2"/>
  <c r="K328" i="2"/>
  <c r="J328" i="2"/>
  <c r="I328" i="2"/>
  <c r="G328" i="2"/>
  <c r="A328" i="2"/>
  <c r="M327" i="2"/>
  <c r="L327" i="2"/>
  <c r="K327" i="2"/>
  <c r="J327" i="2"/>
  <c r="I327" i="2"/>
  <c r="G327" i="2"/>
  <c r="A327" i="2"/>
  <c r="M326" i="2"/>
  <c r="L326" i="2"/>
  <c r="K326" i="2"/>
  <c r="J326" i="2"/>
  <c r="I326" i="2"/>
  <c r="G326" i="2"/>
  <c r="A326" i="2"/>
  <c r="M325" i="2"/>
  <c r="L325" i="2"/>
  <c r="K325" i="2"/>
  <c r="J325" i="2"/>
  <c r="I325" i="2"/>
  <c r="G325" i="2"/>
  <c r="A325" i="2"/>
  <c r="M324" i="2"/>
  <c r="L324" i="2"/>
  <c r="K324" i="2"/>
  <c r="J324" i="2"/>
  <c r="I324" i="2"/>
  <c r="G324" i="2"/>
  <c r="A324" i="2"/>
  <c r="M323" i="2"/>
  <c r="L323" i="2"/>
  <c r="K323" i="2"/>
  <c r="J323" i="2"/>
  <c r="I323" i="2"/>
  <c r="G323" i="2"/>
  <c r="A323" i="2"/>
  <c r="M322" i="2"/>
  <c r="L322" i="2"/>
  <c r="K322" i="2"/>
  <c r="J322" i="2"/>
  <c r="I322" i="2"/>
  <c r="G322" i="2"/>
  <c r="A322" i="2"/>
  <c r="M321" i="2"/>
  <c r="L321" i="2"/>
  <c r="K321" i="2"/>
  <c r="J321" i="2"/>
  <c r="I321" i="2"/>
  <c r="G321" i="2"/>
  <c r="A321" i="2"/>
  <c r="M320" i="2"/>
  <c r="L320" i="2"/>
  <c r="K320" i="2"/>
  <c r="J320" i="2"/>
  <c r="I320" i="2"/>
  <c r="G320" i="2"/>
  <c r="A320" i="2"/>
  <c r="M319" i="2"/>
  <c r="L319" i="2"/>
  <c r="K319" i="2"/>
  <c r="J319" i="2"/>
  <c r="I319" i="2"/>
  <c r="G319" i="2"/>
  <c r="A319" i="2"/>
  <c r="M318" i="2"/>
  <c r="L318" i="2"/>
  <c r="K318" i="2"/>
  <c r="J318" i="2"/>
  <c r="I318" i="2"/>
  <c r="G318" i="2"/>
  <c r="A318" i="2"/>
  <c r="M317" i="2"/>
  <c r="L317" i="2"/>
  <c r="K317" i="2"/>
  <c r="J317" i="2"/>
  <c r="I317" i="2"/>
  <c r="G317" i="2"/>
  <c r="A317" i="2"/>
  <c r="M316" i="2"/>
  <c r="L316" i="2"/>
  <c r="K316" i="2"/>
  <c r="J316" i="2"/>
  <c r="I316" i="2"/>
  <c r="G316" i="2"/>
  <c r="A316" i="2"/>
  <c r="M315" i="2"/>
  <c r="L315" i="2"/>
  <c r="K315" i="2"/>
  <c r="J315" i="2"/>
  <c r="I315" i="2"/>
  <c r="G315" i="2"/>
  <c r="A315" i="2"/>
  <c r="M314" i="2"/>
  <c r="L314" i="2"/>
  <c r="K314" i="2"/>
  <c r="J314" i="2"/>
  <c r="I314" i="2"/>
  <c r="G314" i="2"/>
  <c r="A314" i="2"/>
  <c r="M313" i="2"/>
  <c r="L313" i="2"/>
  <c r="K313" i="2"/>
  <c r="J313" i="2"/>
  <c r="I313" i="2"/>
  <c r="G313" i="2"/>
  <c r="A313" i="2"/>
  <c r="M312" i="2"/>
  <c r="L312" i="2"/>
  <c r="K312" i="2"/>
  <c r="J312" i="2"/>
  <c r="I312" i="2"/>
  <c r="G312" i="2"/>
  <c r="A312" i="2"/>
  <c r="M311" i="2"/>
  <c r="L311" i="2"/>
  <c r="K311" i="2"/>
  <c r="J311" i="2"/>
  <c r="I311" i="2"/>
  <c r="G311" i="2"/>
  <c r="A311" i="2"/>
  <c r="M310" i="2"/>
  <c r="L310" i="2"/>
  <c r="K310" i="2"/>
  <c r="J310" i="2"/>
  <c r="I310" i="2"/>
  <c r="G310" i="2"/>
  <c r="A310" i="2"/>
  <c r="M309" i="2"/>
  <c r="L309" i="2"/>
  <c r="K309" i="2"/>
  <c r="J309" i="2"/>
  <c r="I309" i="2"/>
  <c r="G309" i="2"/>
  <c r="A309" i="2"/>
  <c r="M308" i="2"/>
  <c r="L308" i="2"/>
  <c r="K308" i="2"/>
  <c r="J308" i="2"/>
  <c r="I308" i="2"/>
  <c r="G308" i="2"/>
  <c r="A308" i="2"/>
  <c r="M307" i="2"/>
  <c r="L307" i="2"/>
  <c r="K307" i="2"/>
  <c r="J307" i="2"/>
  <c r="I307" i="2"/>
  <c r="G307" i="2"/>
  <c r="A307" i="2"/>
  <c r="M306" i="2"/>
  <c r="L306" i="2"/>
  <c r="K306" i="2"/>
  <c r="J306" i="2"/>
  <c r="I306" i="2"/>
  <c r="G306" i="2"/>
  <c r="A306" i="2"/>
  <c r="M305" i="2"/>
  <c r="L305" i="2"/>
  <c r="K305" i="2"/>
  <c r="J305" i="2"/>
  <c r="I305" i="2"/>
  <c r="G305" i="2"/>
  <c r="A305" i="2"/>
  <c r="M304" i="2"/>
  <c r="L304" i="2"/>
  <c r="K304" i="2"/>
  <c r="J304" i="2"/>
  <c r="I304" i="2"/>
  <c r="G304" i="2"/>
  <c r="A304" i="2"/>
  <c r="M303" i="2"/>
  <c r="L303" i="2"/>
  <c r="K303" i="2"/>
  <c r="J303" i="2"/>
  <c r="I303" i="2"/>
  <c r="G303" i="2"/>
  <c r="A303" i="2"/>
  <c r="M302" i="2"/>
  <c r="L302" i="2"/>
  <c r="K302" i="2"/>
  <c r="J302" i="2"/>
  <c r="I302" i="2"/>
  <c r="G302" i="2"/>
  <c r="A302" i="2"/>
  <c r="M301" i="2"/>
  <c r="L301" i="2"/>
  <c r="K301" i="2"/>
  <c r="J301" i="2"/>
  <c r="I301" i="2"/>
  <c r="G301" i="2"/>
  <c r="A301" i="2"/>
  <c r="M300" i="2"/>
  <c r="L300" i="2"/>
  <c r="K300" i="2"/>
  <c r="J300" i="2"/>
  <c r="I300" i="2"/>
  <c r="G300" i="2"/>
  <c r="A300" i="2"/>
  <c r="M299" i="2"/>
  <c r="L299" i="2"/>
  <c r="K299" i="2"/>
  <c r="J299" i="2"/>
  <c r="I299" i="2"/>
  <c r="G299" i="2"/>
  <c r="A299" i="2"/>
  <c r="M298" i="2"/>
  <c r="L298" i="2"/>
  <c r="K298" i="2"/>
  <c r="J298" i="2"/>
  <c r="I298" i="2"/>
  <c r="G298" i="2"/>
  <c r="A298" i="2"/>
  <c r="M297" i="2"/>
  <c r="L297" i="2"/>
  <c r="K297" i="2"/>
  <c r="J297" i="2"/>
  <c r="I297" i="2"/>
  <c r="G297" i="2"/>
  <c r="A297" i="2"/>
  <c r="M296" i="2"/>
  <c r="L296" i="2"/>
  <c r="K296" i="2"/>
  <c r="J296" i="2"/>
  <c r="I296" i="2"/>
  <c r="G296" i="2"/>
  <c r="A296" i="2"/>
  <c r="M295" i="2"/>
  <c r="L295" i="2"/>
  <c r="K295" i="2"/>
  <c r="J295" i="2"/>
  <c r="I295" i="2"/>
  <c r="G295" i="2"/>
  <c r="A295" i="2"/>
  <c r="M294" i="2"/>
  <c r="L294" i="2"/>
  <c r="K294" i="2"/>
  <c r="J294" i="2"/>
  <c r="I294" i="2"/>
  <c r="G294" i="2"/>
  <c r="A294" i="2"/>
  <c r="M293" i="2"/>
  <c r="L293" i="2"/>
  <c r="K293" i="2"/>
  <c r="J293" i="2"/>
  <c r="I293" i="2"/>
  <c r="G293" i="2"/>
  <c r="A293" i="2"/>
  <c r="M292" i="2"/>
  <c r="L292" i="2"/>
  <c r="K292" i="2"/>
  <c r="J292" i="2"/>
  <c r="I292" i="2"/>
  <c r="G292" i="2"/>
  <c r="A292" i="2"/>
  <c r="M291" i="2"/>
  <c r="L291" i="2"/>
  <c r="K291" i="2"/>
  <c r="J291" i="2"/>
  <c r="I291" i="2"/>
  <c r="G291" i="2"/>
  <c r="A291" i="2"/>
  <c r="M290" i="2"/>
  <c r="L290" i="2"/>
  <c r="K290" i="2"/>
  <c r="J290" i="2"/>
  <c r="I290" i="2"/>
  <c r="G290" i="2"/>
  <c r="A290" i="2"/>
  <c r="M289" i="2"/>
  <c r="L289" i="2"/>
  <c r="K289" i="2"/>
  <c r="J289" i="2"/>
  <c r="I289" i="2"/>
  <c r="G289" i="2"/>
  <c r="A289" i="2"/>
  <c r="M288" i="2"/>
  <c r="L288" i="2"/>
  <c r="K288" i="2"/>
  <c r="J288" i="2"/>
  <c r="I288" i="2"/>
  <c r="G288" i="2"/>
  <c r="A288" i="2"/>
  <c r="M287" i="2"/>
  <c r="L287" i="2"/>
  <c r="K287" i="2"/>
  <c r="J287" i="2"/>
  <c r="I287" i="2"/>
  <c r="G287" i="2"/>
  <c r="A287" i="2"/>
  <c r="M286" i="2"/>
  <c r="L286" i="2"/>
  <c r="K286" i="2"/>
  <c r="J286" i="2"/>
  <c r="I286" i="2"/>
  <c r="G286" i="2"/>
  <c r="A286" i="2"/>
  <c r="M285" i="2"/>
  <c r="L285" i="2"/>
  <c r="K285" i="2"/>
  <c r="J285" i="2"/>
  <c r="I285" i="2"/>
  <c r="G285" i="2"/>
  <c r="A285" i="2"/>
  <c r="M284" i="2"/>
  <c r="L284" i="2"/>
  <c r="K284" i="2"/>
  <c r="J284" i="2"/>
  <c r="I284" i="2"/>
  <c r="G284" i="2"/>
  <c r="A284" i="2"/>
  <c r="M283" i="2"/>
  <c r="L283" i="2"/>
  <c r="K283" i="2"/>
  <c r="J283" i="2"/>
  <c r="I283" i="2"/>
  <c r="G283" i="2"/>
  <c r="A283" i="2"/>
  <c r="M282" i="2"/>
  <c r="L282" i="2"/>
  <c r="K282" i="2"/>
  <c r="J282" i="2"/>
  <c r="I282" i="2"/>
  <c r="G282" i="2"/>
  <c r="A282" i="2"/>
  <c r="M281" i="2"/>
  <c r="L281" i="2"/>
  <c r="K281" i="2"/>
  <c r="J281" i="2"/>
  <c r="I281" i="2"/>
  <c r="G281" i="2"/>
  <c r="A281" i="2"/>
  <c r="M280" i="2"/>
  <c r="L280" i="2"/>
  <c r="K280" i="2"/>
  <c r="J280" i="2"/>
  <c r="I280" i="2"/>
  <c r="G280" i="2"/>
  <c r="A280" i="2"/>
  <c r="M279" i="2"/>
  <c r="L279" i="2"/>
  <c r="K279" i="2"/>
  <c r="J279" i="2"/>
  <c r="I279" i="2"/>
  <c r="G279" i="2"/>
  <c r="A279" i="2"/>
  <c r="M278" i="2"/>
  <c r="L278" i="2"/>
  <c r="K278" i="2"/>
  <c r="J278" i="2"/>
  <c r="I278" i="2"/>
  <c r="G278" i="2"/>
  <c r="A278" i="2"/>
  <c r="M277" i="2"/>
  <c r="L277" i="2"/>
  <c r="K277" i="2"/>
  <c r="J277" i="2"/>
  <c r="I277" i="2"/>
  <c r="G277" i="2"/>
  <c r="A277" i="2"/>
  <c r="M276" i="2"/>
  <c r="L276" i="2"/>
  <c r="K276" i="2"/>
  <c r="J276" i="2"/>
  <c r="I276" i="2"/>
  <c r="G276" i="2"/>
  <c r="A276" i="2"/>
  <c r="M275" i="2"/>
  <c r="L275" i="2"/>
  <c r="K275" i="2"/>
  <c r="J275" i="2"/>
  <c r="I275" i="2"/>
  <c r="G275" i="2"/>
  <c r="A275" i="2"/>
  <c r="M274" i="2"/>
  <c r="L274" i="2"/>
  <c r="K274" i="2"/>
  <c r="J274" i="2"/>
  <c r="I274" i="2"/>
  <c r="G274" i="2"/>
  <c r="A274" i="2"/>
  <c r="M273" i="2"/>
  <c r="L273" i="2"/>
  <c r="K273" i="2"/>
  <c r="J273" i="2"/>
  <c r="I273" i="2"/>
  <c r="G273" i="2"/>
  <c r="A273" i="2"/>
  <c r="M272" i="2"/>
  <c r="L272" i="2"/>
  <c r="K272" i="2"/>
  <c r="J272" i="2"/>
  <c r="I272" i="2"/>
  <c r="G272" i="2"/>
  <c r="A272" i="2"/>
  <c r="M271" i="2"/>
  <c r="L271" i="2"/>
  <c r="K271" i="2"/>
  <c r="J271" i="2"/>
  <c r="I271" i="2"/>
  <c r="G271" i="2"/>
  <c r="A271" i="2"/>
  <c r="M270" i="2"/>
  <c r="L270" i="2"/>
  <c r="K270" i="2"/>
  <c r="J270" i="2"/>
  <c r="I270" i="2"/>
  <c r="G270" i="2"/>
  <c r="A270" i="2"/>
  <c r="M269" i="2"/>
  <c r="L269" i="2"/>
  <c r="K269" i="2"/>
  <c r="J269" i="2"/>
  <c r="I269" i="2"/>
  <c r="G269" i="2"/>
  <c r="A269" i="2"/>
  <c r="M268" i="2"/>
  <c r="L268" i="2"/>
  <c r="K268" i="2"/>
  <c r="J268" i="2"/>
  <c r="I268" i="2"/>
  <c r="G268" i="2"/>
  <c r="A268" i="2"/>
  <c r="M267" i="2"/>
  <c r="L267" i="2"/>
  <c r="K267" i="2"/>
  <c r="J267" i="2"/>
  <c r="I267" i="2"/>
  <c r="G267" i="2"/>
  <c r="A267" i="2"/>
  <c r="M266" i="2"/>
  <c r="L266" i="2"/>
  <c r="K266" i="2"/>
  <c r="J266" i="2"/>
  <c r="I266" i="2"/>
  <c r="G266" i="2"/>
  <c r="A266" i="2"/>
  <c r="M265" i="2"/>
  <c r="L265" i="2"/>
  <c r="K265" i="2"/>
  <c r="J265" i="2"/>
  <c r="I265" i="2"/>
  <c r="G265" i="2"/>
  <c r="A265" i="2"/>
  <c r="M264" i="2"/>
  <c r="L264" i="2"/>
  <c r="K264" i="2"/>
  <c r="J264" i="2"/>
  <c r="I264" i="2"/>
  <c r="G264" i="2"/>
  <c r="A264" i="2"/>
  <c r="M262" i="2"/>
  <c r="L262" i="2"/>
  <c r="K262" i="2"/>
  <c r="J262" i="2"/>
  <c r="I262" i="2"/>
  <c r="G262" i="2"/>
  <c r="A262" i="2"/>
  <c r="M261" i="2"/>
  <c r="L261" i="2"/>
  <c r="K261" i="2"/>
  <c r="J261" i="2"/>
  <c r="I261" i="2"/>
  <c r="G261" i="2"/>
  <c r="A261" i="2"/>
  <c r="M260" i="2"/>
  <c r="L260" i="2"/>
  <c r="K260" i="2"/>
  <c r="J260" i="2"/>
  <c r="I260" i="2"/>
  <c r="G260" i="2"/>
  <c r="A260" i="2"/>
  <c r="M259" i="2"/>
  <c r="L259" i="2"/>
  <c r="K259" i="2"/>
  <c r="J259" i="2"/>
  <c r="I259" i="2"/>
  <c r="G259" i="2"/>
  <c r="A259" i="2"/>
  <c r="M258" i="2"/>
  <c r="L258" i="2"/>
  <c r="K258" i="2"/>
  <c r="J258" i="2"/>
  <c r="I258" i="2"/>
  <c r="G258" i="2"/>
  <c r="A258" i="2"/>
  <c r="M257" i="2"/>
  <c r="L257" i="2"/>
  <c r="K257" i="2"/>
  <c r="J257" i="2"/>
  <c r="I257" i="2"/>
  <c r="G257" i="2"/>
  <c r="A257" i="2"/>
  <c r="M256" i="2"/>
  <c r="L256" i="2"/>
  <c r="K256" i="2"/>
  <c r="J256" i="2"/>
  <c r="I256" i="2"/>
  <c r="G256" i="2"/>
  <c r="A256" i="2"/>
  <c r="M255" i="2"/>
  <c r="L255" i="2"/>
  <c r="K255" i="2"/>
  <c r="J255" i="2"/>
  <c r="I255" i="2"/>
  <c r="G255" i="2"/>
  <c r="A255" i="2"/>
  <c r="M254" i="2"/>
  <c r="L254" i="2"/>
  <c r="K254" i="2"/>
  <c r="J254" i="2"/>
  <c r="I254" i="2"/>
  <c r="G254" i="2"/>
  <c r="A254" i="2"/>
  <c r="M253" i="2"/>
  <c r="L253" i="2"/>
  <c r="K253" i="2"/>
  <c r="J253" i="2"/>
  <c r="I253" i="2"/>
  <c r="G253" i="2"/>
  <c r="A253" i="2"/>
  <c r="M251" i="2"/>
  <c r="L251" i="2"/>
  <c r="K251" i="2"/>
  <c r="J251" i="2"/>
  <c r="I251" i="2"/>
  <c r="G251" i="2"/>
  <c r="A251" i="2"/>
  <c r="M249" i="2"/>
  <c r="L249" i="2"/>
  <c r="K249" i="2"/>
  <c r="J249" i="2"/>
  <c r="I249" i="2"/>
  <c r="G249" i="2"/>
  <c r="A249" i="2"/>
  <c r="M248" i="2"/>
  <c r="L248" i="2"/>
  <c r="K248" i="2"/>
  <c r="J248" i="2"/>
  <c r="I248" i="2"/>
  <c r="G248" i="2"/>
  <c r="A248" i="2"/>
  <c r="M247" i="2"/>
  <c r="L247" i="2"/>
  <c r="K247" i="2"/>
  <c r="J247" i="2"/>
  <c r="I247" i="2"/>
  <c r="G247" i="2"/>
  <c r="A247" i="2"/>
  <c r="M246" i="2"/>
  <c r="L246" i="2"/>
  <c r="K246" i="2"/>
  <c r="J246" i="2"/>
  <c r="I246" i="2"/>
  <c r="G246" i="2"/>
  <c r="A246" i="2"/>
  <c r="M245" i="2"/>
  <c r="L245" i="2"/>
  <c r="K245" i="2"/>
  <c r="J245" i="2"/>
  <c r="I245" i="2"/>
  <c r="G245" i="2"/>
  <c r="A245" i="2"/>
  <c r="M244" i="2"/>
  <c r="L244" i="2"/>
  <c r="K244" i="2"/>
  <c r="J244" i="2"/>
  <c r="I244" i="2"/>
  <c r="G244" i="2"/>
  <c r="A244" i="2"/>
  <c r="M243" i="2"/>
  <c r="L243" i="2"/>
  <c r="K243" i="2"/>
  <c r="J243" i="2"/>
  <c r="I243" i="2"/>
  <c r="G243" i="2"/>
  <c r="A243" i="2"/>
  <c r="M242" i="2"/>
  <c r="L242" i="2"/>
  <c r="K242" i="2"/>
  <c r="J242" i="2"/>
  <c r="I242" i="2"/>
  <c r="G242" i="2"/>
  <c r="A242" i="2"/>
  <c r="M241" i="2"/>
  <c r="L241" i="2"/>
  <c r="K241" i="2"/>
  <c r="J241" i="2"/>
  <c r="I241" i="2"/>
  <c r="G241" i="2"/>
  <c r="A241" i="2"/>
  <c r="M240" i="2"/>
  <c r="L240" i="2"/>
  <c r="K240" i="2"/>
  <c r="J240" i="2"/>
  <c r="I240" i="2"/>
  <c r="G240" i="2"/>
  <c r="A240" i="2"/>
  <c r="M239" i="2"/>
  <c r="L239" i="2"/>
  <c r="K239" i="2"/>
  <c r="J239" i="2"/>
  <c r="I239" i="2"/>
  <c r="G239" i="2"/>
  <c r="A239" i="2"/>
  <c r="M238" i="2"/>
  <c r="L238" i="2"/>
  <c r="K238" i="2"/>
  <c r="J238" i="2"/>
  <c r="I238" i="2"/>
  <c r="G238" i="2"/>
  <c r="A238" i="2"/>
  <c r="M237" i="2"/>
  <c r="L237" i="2"/>
  <c r="K237" i="2"/>
  <c r="J237" i="2"/>
  <c r="I237" i="2"/>
  <c r="G237" i="2"/>
  <c r="A237" i="2"/>
  <c r="M236" i="2"/>
  <c r="L236" i="2"/>
  <c r="K236" i="2"/>
  <c r="J236" i="2"/>
  <c r="I236" i="2"/>
  <c r="G236" i="2"/>
  <c r="A236" i="2"/>
  <c r="M235" i="2"/>
  <c r="L235" i="2"/>
  <c r="K235" i="2"/>
  <c r="J235" i="2"/>
  <c r="I235" i="2"/>
  <c r="G235" i="2"/>
  <c r="A235" i="2"/>
  <c r="M234" i="2"/>
  <c r="L234" i="2"/>
  <c r="K234" i="2"/>
  <c r="J234" i="2"/>
  <c r="I234" i="2"/>
  <c r="G234" i="2"/>
  <c r="A234" i="2"/>
  <c r="M233" i="2"/>
  <c r="L233" i="2"/>
  <c r="K233" i="2"/>
  <c r="J233" i="2"/>
  <c r="I233" i="2"/>
  <c r="G233" i="2"/>
  <c r="A233" i="2"/>
  <c r="M232" i="2"/>
  <c r="L232" i="2"/>
  <c r="K232" i="2"/>
  <c r="J232" i="2"/>
  <c r="I232" i="2"/>
  <c r="G232" i="2"/>
  <c r="A232" i="2"/>
  <c r="M231" i="2"/>
  <c r="L231" i="2"/>
  <c r="K231" i="2"/>
  <c r="J231" i="2"/>
  <c r="I231" i="2"/>
  <c r="G231" i="2"/>
  <c r="A231" i="2"/>
  <c r="M230" i="2"/>
  <c r="L230" i="2"/>
  <c r="K230" i="2"/>
  <c r="J230" i="2"/>
  <c r="I230" i="2"/>
  <c r="G230" i="2"/>
  <c r="A230" i="2"/>
  <c r="M229" i="2"/>
  <c r="L229" i="2"/>
  <c r="K229" i="2"/>
  <c r="J229" i="2"/>
  <c r="I229" i="2"/>
  <c r="G229" i="2"/>
  <c r="A229" i="2"/>
  <c r="M227" i="2"/>
  <c r="L227" i="2"/>
  <c r="K227" i="2"/>
  <c r="J227" i="2"/>
  <c r="I227" i="2"/>
  <c r="G227" i="2"/>
  <c r="A227" i="2"/>
  <c r="M226" i="2"/>
  <c r="L226" i="2"/>
  <c r="K226" i="2"/>
  <c r="J226" i="2"/>
  <c r="I226" i="2"/>
  <c r="G226" i="2"/>
  <c r="A226" i="2"/>
  <c r="M225" i="2"/>
  <c r="L225" i="2"/>
  <c r="K225" i="2"/>
  <c r="J225" i="2"/>
  <c r="I225" i="2"/>
  <c r="G225" i="2"/>
  <c r="A225" i="2"/>
  <c r="M224" i="2"/>
  <c r="L224" i="2"/>
  <c r="K224" i="2"/>
  <c r="J224" i="2"/>
  <c r="I224" i="2"/>
  <c r="G224" i="2"/>
  <c r="A224" i="2"/>
  <c r="M223" i="2"/>
  <c r="L223" i="2"/>
  <c r="K223" i="2"/>
  <c r="J223" i="2"/>
  <c r="I223" i="2"/>
  <c r="G223" i="2"/>
  <c r="A223" i="2"/>
  <c r="M222" i="2"/>
  <c r="L222" i="2"/>
  <c r="K222" i="2"/>
  <c r="J222" i="2"/>
  <c r="I222" i="2"/>
  <c r="G222" i="2"/>
  <c r="A222" i="2"/>
  <c r="M221" i="2"/>
  <c r="L221" i="2"/>
  <c r="K221" i="2"/>
  <c r="J221" i="2"/>
  <c r="I221" i="2"/>
  <c r="G221" i="2"/>
  <c r="A221" i="2"/>
  <c r="M220" i="2"/>
  <c r="L220" i="2"/>
  <c r="K220" i="2"/>
  <c r="J220" i="2"/>
  <c r="I220" i="2"/>
  <c r="G220" i="2"/>
  <c r="A220" i="2"/>
  <c r="M219" i="2"/>
  <c r="L219" i="2"/>
  <c r="K219" i="2"/>
  <c r="J219" i="2"/>
  <c r="I219" i="2"/>
  <c r="G219" i="2"/>
  <c r="A219" i="2"/>
  <c r="M217" i="2"/>
  <c r="L217" i="2"/>
  <c r="K217" i="2"/>
  <c r="J217" i="2"/>
  <c r="I217" i="2"/>
  <c r="G217" i="2"/>
  <c r="A217" i="2"/>
  <c r="M216" i="2"/>
  <c r="L216" i="2"/>
  <c r="K216" i="2"/>
  <c r="J216" i="2"/>
  <c r="I216" i="2"/>
  <c r="G216" i="2"/>
  <c r="A216" i="2"/>
  <c r="M215" i="2"/>
  <c r="L215" i="2"/>
  <c r="K215" i="2"/>
  <c r="J215" i="2"/>
  <c r="I215" i="2"/>
  <c r="G215" i="2"/>
  <c r="A215" i="2"/>
  <c r="M214" i="2"/>
  <c r="L214" i="2"/>
  <c r="K214" i="2"/>
  <c r="J214" i="2"/>
  <c r="I214" i="2"/>
  <c r="G214" i="2"/>
  <c r="A214" i="2"/>
  <c r="M213" i="2"/>
  <c r="L213" i="2"/>
  <c r="K213" i="2"/>
  <c r="J213" i="2"/>
  <c r="I213" i="2"/>
  <c r="G213" i="2"/>
  <c r="A213" i="2"/>
  <c r="M212" i="2"/>
  <c r="L212" i="2"/>
  <c r="K212" i="2"/>
  <c r="J212" i="2"/>
  <c r="I212" i="2"/>
  <c r="G212" i="2"/>
  <c r="A212" i="2"/>
  <c r="M211" i="2"/>
  <c r="L211" i="2"/>
  <c r="K211" i="2"/>
  <c r="J211" i="2"/>
  <c r="I211" i="2"/>
  <c r="G211" i="2"/>
  <c r="A211" i="2"/>
  <c r="M210" i="2"/>
  <c r="L210" i="2"/>
  <c r="K210" i="2"/>
  <c r="J210" i="2"/>
  <c r="I210" i="2"/>
  <c r="G210" i="2"/>
  <c r="A210" i="2"/>
  <c r="M209" i="2"/>
  <c r="L209" i="2"/>
  <c r="K209" i="2"/>
  <c r="J209" i="2"/>
  <c r="I209" i="2"/>
  <c r="G209" i="2"/>
  <c r="A209" i="2"/>
  <c r="M208" i="2"/>
  <c r="L208" i="2"/>
  <c r="K208" i="2"/>
  <c r="J208" i="2"/>
  <c r="I208" i="2"/>
  <c r="G208" i="2"/>
  <c r="A208" i="2"/>
  <c r="M207" i="2"/>
  <c r="L207" i="2"/>
  <c r="K207" i="2"/>
  <c r="J207" i="2"/>
  <c r="I207" i="2"/>
  <c r="G207" i="2"/>
  <c r="A207" i="2"/>
  <c r="M206" i="2"/>
  <c r="L206" i="2"/>
  <c r="K206" i="2"/>
  <c r="J206" i="2"/>
  <c r="I206" i="2"/>
  <c r="G206" i="2"/>
  <c r="A206" i="2"/>
  <c r="M205" i="2"/>
  <c r="L205" i="2"/>
  <c r="K205" i="2"/>
  <c r="J205" i="2"/>
  <c r="I205" i="2"/>
  <c r="G205" i="2"/>
  <c r="A205" i="2"/>
  <c r="M204" i="2"/>
  <c r="L204" i="2"/>
  <c r="K204" i="2"/>
  <c r="J204" i="2"/>
  <c r="I204" i="2"/>
  <c r="G204" i="2"/>
  <c r="A204" i="2"/>
  <c r="M203" i="2"/>
  <c r="L203" i="2"/>
  <c r="K203" i="2"/>
  <c r="J203" i="2"/>
  <c r="I203" i="2"/>
  <c r="G203" i="2"/>
  <c r="A203" i="2"/>
  <c r="M202" i="2"/>
  <c r="L202" i="2"/>
  <c r="K202" i="2"/>
  <c r="J202" i="2"/>
  <c r="I202" i="2"/>
  <c r="G202" i="2"/>
  <c r="A202" i="2"/>
  <c r="M201" i="2"/>
  <c r="L201" i="2"/>
  <c r="K201" i="2"/>
  <c r="J201" i="2"/>
  <c r="I201" i="2"/>
  <c r="G201" i="2"/>
  <c r="A201" i="2"/>
  <c r="M200" i="2"/>
  <c r="L200" i="2"/>
  <c r="K200" i="2"/>
  <c r="J200" i="2"/>
  <c r="I200" i="2"/>
  <c r="G200" i="2"/>
  <c r="A200" i="2"/>
  <c r="M199" i="2"/>
  <c r="L199" i="2"/>
  <c r="K199" i="2"/>
  <c r="J199" i="2"/>
  <c r="I199" i="2"/>
  <c r="G199" i="2"/>
  <c r="A199" i="2"/>
  <c r="M198" i="2"/>
  <c r="L198" i="2"/>
  <c r="K198" i="2"/>
  <c r="J198" i="2"/>
  <c r="I198" i="2"/>
  <c r="G198" i="2"/>
  <c r="A198" i="2"/>
  <c r="M197" i="2"/>
  <c r="L197" i="2"/>
  <c r="K197" i="2"/>
  <c r="J197" i="2"/>
  <c r="I197" i="2"/>
  <c r="G197" i="2"/>
  <c r="A197" i="2"/>
  <c r="M196" i="2"/>
  <c r="L196" i="2"/>
  <c r="K196" i="2"/>
  <c r="J196" i="2"/>
  <c r="I196" i="2"/>
  <c r="G196" i="2"/>
  <c r="A196" i="2"/>
  <c r="M195" i="2"/>
  <c r="L195" i="2"/>
  <c r="K195" i="2"/>
  <c r="J195" i="2"/>
  <c r="I195" i="2"/>
  <c r="G195" i="2"/>
  <c r="A195" i="2"/>
  <c r="M194" i="2"/>
  <c r="L194" i="2"/>
  <c r="K194" i="2"/>
  <c r="J194" i="2"/>
  <c r="I194" i="2"/>
  <c r="G194" i="2"/>
  <c r="A194" i="2"/>
  <c r="M193" i="2"/>
  <c r="L193" i="2"/>
  <c r="K193" i="2"/>
  <c r="J193" i="2"/>
  <c r="I193" i="2"/>
  <c r="G193" i="2"/>
  <c r="A193" i="2"/>
  <c r="M192" i="2"/>
  <c r="L192" i="2"/>
  <c r="K192" i="2"/>
  <c r="J192" i="2"/>
  <c r="I192" i="2"/>
  <c r="G192" i="2"/>
  <c r="A192" i="2"/>
  <c r="M191" i="2"/>
  <c r="L191" i="2"/>
  <c r="K191" i="2"/>
  <c r="J191" i="2"/>
  <c r="I191" i="2"/>
  <c r="G191" i="2"/>
  <c r="A191" i="2"/>
  <c r="M190" i="2"/>
  <c r="L190" i="2"/>
  <c r="K190" i="2"/>
  <c r="J190" i="2"/>
  <c r="I190" i="2"/>
  <c r="G190" i="2"/>
  <c r="A190" i="2"/>
  <c r="M189" i="2"/>
  <c r="L189" i="2"/>
  <c r="K189" i="2"/>
  <c r="J189" i="2"/>
  <c r="I189" i="2"/>
  <c r="G189" i="2"/>
  <c r="A189" i="2"/>
  <c r="M188" i="2"/>
  <c r="L188" i="2"/>
  <c r="K188" i="2"/>
  <c r="J188" i="2"/>
  <c r="I188" i="2"/>
  <c r="G188" i="2"/>
  <c r="A188" i="2"/>
  <c r="M187" i="2"/>
  <c r="L187" i="2"/>
  <c r="K187" i="2"/>
  <c r="J187" i="2"/>
  <c r="I187" i="2"/>
  <c r="G187" i="2"/>
  <c r="A187" i="2"/>
  <c r="M186" i="2"/>
  <c r="L186" i="2"/>
  <c r="K186" i="2"/>
  <c r="J186" i="2"/>
  <c r="I186" i="2"/>
  <c r="G186" i="2"/>
  <c r="A186" i="2"/>
  <c r="M185" i="2"/>
  <c r="L185" i="2"/>
  <c r="K185" i="2"/>
  <c r="J185" i="2"/>
  <c r="I185" i="2"/>
  <c r="G185" i="2"/>
  <c r="A185" i="2"/>
  <c r="M184" i="2"/>
  <c r="L184" i="2"/>
  <c r="K184" i="2"/>
  <c r="J184" i="2"/>
  <c r="I184" i="2"/>
  <c r="G184" i="2"/>
  <c r="A184" i="2"/>
  <c r="M183" i="2"/>
  <c r="L183" i="2"/>
  <c r="K183" i="2"/>
  <c r="J183" i="2"/>
  <c r="I183" i="2"/>
  <c r="G183" i="2"/>
  <c r="A183" i="2"/>
  <c r="M182" i="2"/>
  <c r="L182" i="2"/>
  <c r="K182" i="2"/>
  <c r="J182" i="2"/>
  <c r="I182" i="2"/>
  <c r="G182" i="2"/>
  <c r="A182" i="2"/>
  <c r="M181" i="2"/>
  <c r="L181" i="2"/>
  <c r="K181" i="2"/>
  <c r="J181" i="2"/>
  <c r="I181" i="2"/>
  <c r="G181" i="2"/>
  <c r="A181" i="2"/>
  <c r="M180" i="2"/>
  <c r="L180" i="2"/>
  <c r="K180" i="2"/>
  <c r="J180" i="2"/>
  <c r="I180" i="2"/>
  <c r="G180" i="2"/>
  <c r="A180" i="2"/>
  <c r="M179" i="2"/>
  <c r="L179" i="2"/>
  <c r="K179" i="2"/>
  <c r="J179" i="2"/>
  <c r="I179" i="2"/>
  <c r="G179" i="2"/>
  <c r="A179" i="2"/>
  <c r="M178" i="2"/>
  <c r="L178" i="2"/>
  <c r="K178" i="2"/>
  <c r="J178" i="2"/>
  <c r="I178" i="2"/>
  <c r="G178" i="2"/>
  <c r="A178" i="2"/>
  <c r="M177" i="2"/>
  <c r="L177" i="2"/>
  <c r="K177" i="2"/>
  <c r="J177" i="2"/>
  <c r="I177" i="2"/>
  <c r="G177" i="2"/>
  <c r="A177" i="2"/>
  <c r="M175" i="2"/>
  <c r="L175" i="2"/>
  <c r="K175" i="2"/>
  <c r="J175" i="2"/>
  <c r="I175" i="2"/>
  <c r="G175" i="2"/>
  <c r="A175" i="2"/>
  <c r="M174" i="2"/>
  <c r="L174" i="2"/>
  <c r="K174" i="2"/>
  <c r="J174" i="2"/>
  <c r="I174" i="2"/>
  <c r="G174" i="2"/>
  <c r="A174" i="2"/>
  <c r="M173" i="2"/>
  <c r="L173" i="2"/>
  <c r="K173" i="2"/>
  <c r="J173" i="2"/>
  <c r="I173" i="2"/>
  <c r="G173" i="2"/>
  <c r="A173" i="2"/>
  <c r="M172" i="2"/>
  <c r="L172" i="2"/>
  <c r="K172" i="2"/>
  <c r="J172" i="2"/>
  <c r="I172" i="2"/>
  <c r="G172" i="2"/>
  <c r="A172" i="2"/>
  <c r="M171" i="2"/>
  <c r="L171" i="2"/>
  <c r="K171" i="2"/>
  <c r="J171" i="2"/>
  <c r="I171" i="2"/>
  <c r="G171" i="2"/>
  <c r="A171" i="2"/>
  <c r="M170" i="2"/>
  <c r="L170" i="2"/>
  <c r="K170" i="2"/>
  <c r="J170" i="2"/>
  <c r="I170" i="2"/>
  <c r="G170" i="2"/>
  <c r="A170" i="2"/>
  <c r="M169" i="2"/>
  <c r="L169" i="2"/>
  <c r="K169" i="2"/>
  <c r="J169" i="2"/>
  <c r="I169" i="2"/>
  <c r="G169" i="2"/>
  <c r="A169" i="2"/>
  <c r="M168" i="2"/>
  <c r="L168" i="2"/>
  <c r="K168" i="2"/>
  <c r="J168" i="2"/>
  <c r="I168" i="2"/>
  <c r="G168" i="2"/>
  <c r="A168" i="2"/>
  <c r="M167" i="2"/>
  <c r="L167" i="2"/>
  <c r="K167" i="2"/>
  <c r="J167" i="2"/>
  <c r="I167" i="2"/>
  <c r="G167" i="2"/>
  <c r="A167" i="2"/>
  <c r="M166" i="2"/>
  <c r="L166" i="2"/>
  <c r="K166" i="2"/>
  <c r="J166" i="2"/>
  <c r="I166" i="2"/>
  <c r="G166" i="2"/>
  <c r="A166" i="2"/>
  <c r="M165" i="2"/>
  <c r="L165" i="2"/>
  <c r="K165" i="2"/>
  <c r="J165" i="2"/>
  <c r="I165" i="2"/>
  <c r="G165" i="2"/>
  <c r="A165" i="2"/>
  <c r="M164" i="2"/>
  <c r="L164" i="2"/>
  <c r="K164" i="2"/>
  <c r="J164" i="2"/>
  <c r="I164" i="2"/>
  <c r="G164" i="2"/>
  <c r="A164" i="2"/>
  <c r="M163" i="2"/>
  <c r="L163" i="2"/>
  <c r="K163" i="2"/>
  <c r="J163" i="2"/>
  <c r="I163" i="2"/>
  <c r="G163" i="2"/>
  <c r="A163" i="2"/>
  <c r="M162" i="2"/>
  <c r="L162" i="2"/>
  <c r="K162" i="2"/>
  <c r="J162" i="2"/>
  <c r="I162" i="2"/>
  <c r="G162" i="2"/>
  <c r="A162" i="2"/>
  <c r="M161" i="2"/>
  <c r="L161" i="2"/>
  <c r="K161" i="2"/>
  <c r="J161" i="2"/>
  <c r="I161" i="2"/>
  <c r="G161" i="2"/>
  <c r="A161" i="2"/>
  <c r="M160" i="2"/>
  <c r="L160" i="2"/>
  <c r="K160" i="2"/>
  <c r="J160" i="2"/>
  <c r="I160" i="2"/>
  <c r="G160" i="2"/>
  <c r="A160" i="2"/>
  <c r="M159" i="2"/>
  <c r="L159" i="2"/>
  <c r="K159" i="2"/>
  <c r="J159" i="2"/>
  <c r="I159" i="2"/>
  <c r="G159" i="2"/>
  <c r="A159" i="2"/>
  <c r="M158" i="2"/>
  <c r="L158" i="2"/>
  <c r="K158" i="2"/>
  <c r="J158" i="2"/>
  <c r="I158" i="2"/>
  <c r="G158" i="2"/>
  <c r="A158" i="2"/>
  <c r="M157" i="2"/>
  <c r="L157" i="2"/>
  <c r="K157" i="2"/>
  <c r="J157" i="2"/>
  <c r="I157" i="2"/>
  <c r="G157" i="2"/>
  <c r="A157" i="2"/>
  <c r="M156" i="2"/>
  <c r="L156" i="2"/>
  <c r="K156" i="2"/>
  <c r="J156" i="2"/>
  <c r="I156" i="2"/>
  <c r="G156" i="2"/>
  <c r="A156" i="2"/>
  <c r="M155" i="2"/>
  <c r="L155" i="2"/>
  <c r="K155" i="2"/>
  <c r="J155" i="2"/>
  <c r="I155" i="2"/>
  <c r="G155" i="2"/>
  <c r="A155" i="2"/>
  <c r="M154" i="2"/>
  <c r="L154" i="2"/>
  <c r="K154" i="2"/>
  <c r="J154" i="2"/>
  <c r="I154" i="2"/>
  <c r="G154" i="2"/>
  <c r="A154" i="2"/>
  <c r="M153" i="2"/>
  <c r="L153" i="2"/>
  <c r="K153" i="2"/>
  <c r="J153" i="2"/>
  <c r="I153" i="2"/>
  <c r="G153" i="2"/>
  <c r="A153" i="2"/>
  <c r="M152" i="2"/>
  <c r="L152" i="2"/>
  <c r="K152" i="2"/>
  <c r="J152" i="2"/>
  <c r="I152" i="2"/>
  <c r="G152" i="2"/>
  <c r="A152" i="2"/>
  <c r="M151" i="2"/>
  <c r="L151" i="2"/>
  <c r="K151" i="2"/>
  <c r="J151" i="2"/>
  <c r="I151" i="2"/>
  <c r="G151" i="2"/>
  <c r="A151" i="2"/>
  <c r="M150" i="2"/>
  <c r="L150" i="2"/>
  <c r="K150" i="2"/>
  <c r="J150" i="2"/>
  <c r="I150" i="2"/>
  <c r="G150" i="2"/>
  <c r="A150" i="2"/>
  <c r="M149" i="2"/>
  <c r="L149" i="2"/>
  <c r="K149" i="2"/>
  <c r="J149" i="2"/>
  <c r="I149" i="2"/>
  <c r="G149" i="2"/>
  <c r="A149" i="2"/>
  <c r="M148" i="2"/>
  <c r="L148" i="2"/>
  <c r="K148" i="2"/>
  <c r="J148" i="2"/>
  <c r="I148" i="2"/>
  <c r="G148" i="2"/>
  <c r="A148" i="2"/>
  <c r="M147" i="2"/>
  <c r="L147" i="2"/>
  <c r="K147" i="2"/>
  <c r="J147" i="2"/>
  <c r="I147" i="2"/>
  <c r="G147" i="2"/>
  <c r="A147" i="2"/>
  <c r="M146" i="2"/>
  <c r="L146" i="2"/>
  <c r="K146" i="2"/>
  <c r="J146" i="2"/>
  <c r="I146" i="2"/>
  <c r="G146" i="2"/>
  <c r="A146" i="2"/>
  <c r="M145" i="2"/>
  <c r="L145" i="2"/>
  <c r="K145" i="2"/>
  <c r="J145" i="2"/>
  <c r="I145" i="2"/>
  <c r="G145" i="2"/>
  <c r="A145" i="2"/>
  <c r="M144" i="2"/>
  <c r="L144" i="2"/>
  <c r="K144" i="2"/>
  <c r="J144" i="2"/>
  <c r="I144" i="2"/>
  <c r="G144" i="2"/>
  <c r="A144" i="2"/>
  <c r="M143" i="2"/>
  <c r="L143" i="2"/>
  <c r="K143" i="2"/>
  <c r="J143" i="2"/>
  <c r="I143" i="2"/>
  <c r="G143" i="2"/>
  <c r="A143" i="2"/>
  <c r="M142" i="2"/>
  <c r="L142" i="2"/>
  <c r="K142" i="2"/>
  <c r="J142" i="2"/>
  <c r="I142" i="2"/>
  <c r="G142" i="2"/>
  <c r="A142" i="2"/>
  <c r="M141" i="2"/>
  <c r="L141" i="2"/>
  <c r="K141" i="2"/>
  <c r="J141" i="2"/>
  <c r="I141" i="2"/>
  <c r="G141" i="2"/>
  <c r="A141" i="2"/>
  <c r="M140" i="2"/>
  <c r="L140" i="2"/>
  <c r="K140" i="2"/>
  <c r="J140" i="2"/>
  <c r="I140" i="2"/>
  <c r="G140" i="2"/>
  <c r="A140" i="2"/>
  <c r="M139" i="2"/>
  <c r="L139" i="2"/>
  <c r="K139" i="2"/>
  <c r="J139" i="2"/>
  <c r="I139" i="2"/>
  <c r="G139" i="2"/>
  <c r="A139" i="2"/>
  <c r="M138" i="2"/>
  <c r="L138" i="2"/>
  <c r="K138" i="2"/>
  <c r="J138" i="2"/>
  <c r="I138" i="2"/>
  <c r="G138" i="2"/>
  <c r="A138" i="2"/>
  <c r="M137" i="2"/>
  <c r="L137" i="2"/>
  <c r="K137" i="2"/>
  <c r="J137" i="2"/>
  <c r="I137" i="2"/>
  <c r="G137" i="2"/>
  <c r="A137" i="2"/>
  <c r="M136" i="2"/>
  <c r="L136" i="2"/>
  <c r="K136" i="2"/>
  <c r="J136" i="2"/>
  <c r="I136" i="2"/>
  <c r="G136" i="2"/>
  <c r="A136" i="2"/>
  <c r="M135" i="2"/>
  <c r="L135" i="2"/>
  <c r="K135" i="2"/>
  <c r="J135" i="2"/>
  <c r="I135" i="2"/>
  <c r="G135" i="2"/>
  <c r="A135" i="2"/>
  <c r="M134" i="2"/>
  <c r="L134" i="2"/>
  <c r="K134" i="2"/>
  <c r="J134" i="2"/>
  <c r="I134" i="2"/>
  <c r="G134" i="2"/>
  <c r="A134" i="2"/>
  <c r="M133" i="2"/>
  <c r="L133" i="2"/>
  <c r="K133" i="2"/>
  <c r="J133" i="2"/>
  <c r="I133" i="2"/>
  <c r="G133" i="2"/>
  <c r="A133" i="2"/>
  <c r="M132" i="2"/>
  <c r="L132" i="2"/>
  <c r="K132" i="2"/>
  <c r="J132" i="2"/>
  <c r="I132" i="2"/>
  <c r="G132" i="2"/>
  <c r="A132" i="2"/>
  <c r="M131" i="2"/>
  <c r="L131" i="2"/>
  <c r="K131" i="2"/>
  <c r="J131" i="2"/>
  <c r="I131" i="2"/>
  <c r="G131" i="2"/>
  <c r="A131" i="2"/>
  <c r="M130" i="2"/>
  <c r="L130" i="2"/>
  <c r="K130" i="2"/>
  <c r="J130" i="2"/>
  <c r="I130" i="2"/>
  <c r="G130" i="2"/>
  <c r="A130" i="2"/>
  <c r="M129" i="2"/>
  <c r="L129" i="2"/>
  <c r="K129" i="2"/>
  <c r="J129" i="2"/>
  <c r="I129" i="2"/>
  <c r="G129" i="2"/>
  <c r="A129" i="2"/>
  <c r="M128" i="2"/>
  <c r="L128" i="2"/>
  <c r="K128" i="2"/>
  <c r="J128" i="2"/>
  <c r="I128" i="2"/>
  <c r="G128" i="2"/>
  <c r="A128" i="2"/>
  <c r="M127" i="2"/>
  <c r="L127" i="2"/>
  <c r="K127" i="2"/>
  <c r="J127" i="2"/>
  <c r="I127" i="2"/>
  <c r="G127" i="2"/>
  <c r="A127" i="2"/>
  <c r="M126" i="2"/>
  <c r="L126" i="2"/>
  <c r="K126" i="2"/>
  <c r="J126" i="2"/>
  <c r="I126" i="2"/>
  <c r="G126" i="2"/>
  <c r="A126" i="2"/>
  <c r="M125" i="2"/>
  <c r="L125" i="2"/>
  <c r="K125" i="2"/>
  <c r="J125" i="2"/>
  <c r="I125" i="2"/>
  <c r="G125" i="2"/>
  <c r="A125" i="2"/>
  <c r="M124" i="2"/>
  <c r="L124" i="2"/>
  <c r="K124" i="2"/>
  <c r="J124" i="2"/>
  <c r="I124" i="2"/>
  <c r="G124" i="2"/>
  <c r="A124" i="2"/>
  <c r="M123" i="2"/>
  <c r="L123" i="2"/>
  <c r="K123" i="2"/>
  <c r="J123" i="2"/>
  <c r="I123" i="2"/>
  <c r="G123" i="2"/>
  <c r="A123" i="2"/>
  <c r="M122" i="2"/>
  <c r="L122" i="2"/>
  <c r="K122" i="2"/>
  <c r="J122" i="2"/>
  <c r="I122" i="2"/>
  <c r="G122" i="2"/>
  <c r="A122" i="2"/>
  <c r="M121" i="2"/>
  <c r="L121" i="2"/>
  <c r="K121" i="2"/>
  <c r="J121" i="2"/>
  <c r="I121" i="2"/>
  <c r="G121" i="2"/>
  <c r="A121" i="2"/>
  <c r="M120" i="2"/>
  <c r="L120" i="2"/>
  <c r="K120" i="2"/>
  <c r="J120" i="2"/>
  <c r="I120" i="2"/>
  <c r="G120" i="2"/>
  <c r="A120" i="2"/>
  <c r="M119" i="2"/>
  <c r="L119" i="2"/>
  <c r="K119" i="2"/>
  <c r="J119" i="2"/>
  <c r="I119" i="2"/>
  <c r="G119" i="2"/>
  <c r="A119" i="2"/>
  <c r="M118" i="2"/>
  <c r="L118" i="2"/>
  <c r="K118" i="2"/>
  <c r="J118" i="2"/>
  <c r="I118" i="2"/>
  <c r="G118" i="2"/>
  <c r="A118" i="2"/>
  <c r="M117" i="2"/>
  <c r="L117" i="2"/>
  <c r="K117" i="2"/>
  <c r="J117" i="2"/>
  <c r="I117" i="2"/>
  <c r="G117" i="2"/>
  <c r="A117" i="2"/>
  <c r="M116" i="2"/>
  <c r="L116" i="2"/>
  <c r="K116" i="2"/>
  <c r="J116" i="2"/>
  <c r="I116" i="2"/>
  <c r="G116" i="2"/>
  <c r="A116" i="2"/>
  <c r="M115" i="2"/>
  <c r="L115" i="2"/>
  <c r="K115" i="2"/>
  <c r="J115" i="2"/>
  <c r="I115" i="2"/>
  <c r="G115" i="2"/>
  <c r="A115" i="2"/>
  <c r="M114" i="2"/>
  <c r="L114" i="2"/>
  <c r="K114" i="2"/>
  <c r="J114" i="2"/>
  <c r="I114" i="2"/>
  <c r="G114" i="2"/>
  <c r="A114" i="2"/>
  <c r="M113" i="2"/>
  <c r="L113" i="2"/>
  <c r="K113" i="2"/>
  <c r="J113" i="2"/>
  <c r="I113" i="2"/>
  <c r="G113" i="2"/>
  <c r="A113" i="2"/>
  <c r="M112" i="2"/>
  <c r="L112" i="2"/>
  <c r="K112" i="2"/>
  <c r="J112" i="2"/>
  <c r="I112" i="2"/>
  <c r="G112" i="2"/>
  <c r="A112" i="2"/>
  <c r="M111" i="2"/>
  <c r="L111" i="2"/>
  <c r="K111" i="2"/>
  <c r="J111" i="2"/>
  <c r="I111" i="2"/>
  <c r="G111" i="2"/>
  <c r="A111" i="2"/>
  <c r="M110" i="2"/>
  <c r="L110" i="2"/>
  <c r="K110" i="2"/>
  <c r="J110" i="2"/>
  <c r="I110" i="2"/>
  <c r="G110" i="2"/>
  <c r="A110" i="2"/>
  <c r="M109" i="2"/>
  <c r="L109" i="2"/>
  <c r="K109" i="2"/>
  <c r="J109" i="2"/>
  <c r="I109" i="2"/>
  <c r="G109" i="2"/>
  <c r="A109" i="2"/>
  <c r="M108" i="2"/>
  <c r="L108" i="2"/>
  <c r="K108" i="2"/>
  <c r="J108" i="2"/>
  <c r="I108" i="2"/>
  <c r="G108" i="2"/>
  <c r="A108" i="2"/>
  <c r="M107" i="2"/>
  <c r="L107" i="2"/>
  <c r="K107" i="2"/>
  <c r="J107" i="2"/>
  <c r="I107" i="2"/>
  <c r="G107" i="2"/>
  <c r="A107" i="2"/>
  <c r="M106" i="2"/>
  <c r="L106" i="2"/>
  <c r="K106" i="2"/>
  <c r="J106" i="2"/>
  <c r="I106" i="2"/>
  <c r="G106" i="2"/>
  <c r="A106" i="2"/>
  <c r="M104" i="2"/>
  <c r="L104" i="2"/>
  <c r="K104" i="2"/>
  <c r="J104" i="2"/>
  <c r="I104" i="2"/>
  <c r="G104" i="2"/>
  <c r="A104" i="2"/>
  <c r="M103" i="2"/>
  <c r="L103" i="2"/>
  <c r="K103" i="2"/>
  <c r="J103" i="2"/>
  <c r="I103" i="2"/>
  <c r="G103" i="2"/>
  <c r="A103" i="2"/>
  <c r="M102" i="2"/>
  <c r="L102" i="2"/>
  <c r="K102" i="2"/>
  <c r="J102" i="2"/>
  <c r="I102" i="2"/>
  <c r="G102" i="2"/>
  <c r="A102" i="2"/>
  <c r="M101" i="2"/>
  <c r="L101" i="2"/>
  <c r="K101" i="2"/>
  <c r="J101" i="2"/>
  <c r="I101" i="2"/>
  <c r="G101" i="2"/>
  <c r="A101" i="2"/>
  <c r="M100" i="2"/>
  <c r="L100" i="2"/>
  <c r="K100" i="2"/>
  <c r="J100" i="2"/>
  <c r="I100" i="2"/>
  <c r="G100" i="2"/>
  <c r="A100" i="2"/>
  <c r="M99" i="2"/>
  <c r="L99" i="2"/>
  <c r="K99" i="2"/>
  <c r="J99" i="2"/>
  <c r="I99" i="2"/>
  <c r="G99" i="2"/>
  <c r="A99" i="2"/>
  <c r="M98" i="2"/>
  <c r="L98" i="2"/>
  <c r="K98" i="2"/>
  <c r="J98" i="2"/>
  <c r="I98" i="2"/>
  <c r="G98" i="2"/>
  <c r="A98" i="2"/>
  <c r="M97" i="2"/>
  <c r="L97" i="2"/>
  <c r="K97" i="2"/>
  <c r="J97" i="2"/>
  <c r="I97" i="2"/>
  <c r="G97" i="2"/>
  <c r="A97" i="2"/>
  <c r="M96" i="2"/>
  <c r="L96" i="2"/>
  <c r="K96" i="2"/>
  <c r="J96" i="2"/>
  <c r="I96" i="2"/>
  <c r="G96" i="2"/>
  <c r="A96" i="2"/>
  <c r="M95" i="2"/>
  <c r="L95" i="2"/>
  <c r="K95" i="2"/>
  <c r="J95" i="2"/>
  <c r="I95" i="2"/>
  <c r="G95" i="2"/>
  <c r="A95" i="2"/>
  <c r="M94" i="2"/>
  <c r="L94" i="2"/>
  <c r="K94" i="2"/>
  <c r="J94" i="2"/>
  <c r="I94" i="2"/>
  <c r="G94" i="2"/>
  <c r="A94" i="2"/>
  <c r="M93" i="2"/>
  <c r="L93" i="2"/>
  <c r="K93" i="2"/>
  <c r="J93" i="2"/>
  <c r="I93" i="2"/>
  <c r="G93" i="2"/>
  <c r="A93" i="2"/>
  <c r="M92" i="2"/>
  <c r="L92" i="2"/>
  <c r="K92" i="2"/>
  <c r="J92" i="2"/>
  <c r="I92" i="2"/>
  <c r="G92" i="2"/>
  <c r="A92" i="2"/>
  <c r="M91" i="2"/>
  <c r="L91" i="2"/>
  <c r="K91" i="2"/>
  <c r="J91" i="2"/>
  <c r="I91" i="2"/>
  <c r="G91" i="2"/>
  <c r="A91" i="2"/>
  <c r="M90" i="2"/>
  <c r="L90" i="2"/>
  <c r="K90" i="2"/>
  <c r="J90" i="2"/>
  <c r="I90" i="2"/>
  <c r="G90" i="2"/>
  <c r="A90" i="2"/>
  <c r="M89" i="2"/>
  <c r="L89" i="2"/>
  <c r="K89" i="2"/>
  <c r="J89" i="2"/>
  <c r="I89" i="2"/>
  <c r="G89" i="2"/>
  <c r="A89" i="2"/>
  <c r="M88" i="2"/>
  <c r="L88" i="2"/>
  <c r="K88" i="2"/>
  <c r="J88" i="2"/>
  <c r="I88" i="2"/>
  <c r="G88" i="2"/>
  <c r="A88" i="2"/>
  <c r="M87" i="2"/>
  <c r="L87" i="2"/>
  <c r="K87" i="2"/>
  <c r="J87" i="2"/>
  <c r="I87" i="2"/>
  <c r="G87" i="2"/>
  <c r="A87" i="2"/>
  <c r="M86" i="2"/>
  <c r="L86" i="2"/>
  <c r="K86" i="2"/>
  <c r="J86" i="2"/>
  <c r="I86" i="2"/>
  <c r="G86" i="2"/>
  <c r="A86" i="2"/>
  <c r="M85" i="2"/>
  <c r="L85" i="2"/>
  <c r="K85" i="2"/>
  <c r="J85" i="2"/>
  <c r="I85" i="2"/>
  <c r="G85" i="2"/>
  <c r="A85" i="2"/>
  <c r="M84" i="2"/>
  <c r="L84" i="2"/>
  <c r="K84" i="2"/>
  <c r="J84" i="2"/>
  <c r="I84" i="2"/>
  <c r="G84" i="2"/>
  <c r="A84" i="2"/>
  <c r="M83" i="2"/>
  <c r="L83" i="2"/>
  <c r="K83" i="2"/>
  <c r="J83" i="2"/>
  <c r="I83" i="2"/>
  <c r="G83" i="2"/>
  <c r="A83" i="2"/>
  <c r="M82" i="2"/>
  <c r="L82" i="2"/>
  <c r="K82" i="2"/>
  <c r="J82" i="2"/>
  <c r="I82" i="2"/>
  <c r="G82" i="2"/>
  <c r="A82" i="2"/>
  <c r="M81" i="2"/>
  <c r="L81" i="2"/>
  <c r="K81" i="2"/>
  <c r="J81" i="2"/>
  <c r="I81" i="2"/>
  <c r="G81" i="2"/>
  <c r="A81" i="2"/>
  <c r="M80" i="2"/>
  <c r="L80" i="2"/>
  <c r="K80" i="2"/>
  <c r="J80" i="2"/>
  <c r="I80" i="2"/>
  <c r="G80" i="2"/>
  <c r="A80" i="2"/>
  <c r="M79" i="2"/>
  <c r="L79" i="2"/>
  <c r="K79" i="2"/>
  <c r="J79" i="2"/>
  <c r="I79" i="2"/>
  <c r="G79" i="2"/>
  <c r="A79" i="2"/>
  <c r="M78" i="2"/>
  <c r="L78" i="2"/>
  <c r="K78" i="2"/>
  <c r="J78" i="2"/>
  <c r="I78" i="2"/>
  <c r="G78" i="2"/>
  <c r="A78" i="2"/>
  <c r="M77" i="2"/>
  <c r="L77" i="2"/>
  <c r="K77" i="2"/>
  <c r="J77" i="2"/>
  <c r="I77" i="2"/>
  <c r="G77" i="2"/>
  <c r="A77" i="2"/>
  <c r="M76" i="2"/>
  <c r="L76" i="2"/>
  <c r="K76" i="2"/>
  <c r="J76" i="2"/>
  <c r="I76" i="2"/>
  <c r="G76" i="2"/>
  <c r="A76" i="2"/>
  <c r="M75" i="2"/>
  <c r="L75" i="2"/>
  <c r="K75" i="2"/>
  <c r="J75" i="2"/>
  <c r="I75" i="2"/>
  <c r="G75" i="2"/>
  <c r="A75" i="2"/>
  <c r="M74" i="2"/>
  <c r="L74" i="2"/>
  <c r="K74" i="2"/>
  <c r="J74" i="2"/>
  <c r="I74" i="2"/>
  <c r="G74" i="2"/>
  <c r="A74" i="2"/>
  <c r="M73" i="2"/>
  <c r="L73" i="2"/>
  <c r="K73" i="2"/>
  <c r="J73" i="2"/>
  <c r="I73" i="2"/>
  <c r="G73" i="2"/>
  <c r="A73" i="2"/>
  <c r="M72" i="2"/>
  <c r="L72" i="2"/>
  <c r="K72" i="2"/>
  <c r="J72" i="2"/>
  <c r="I72" i="2"/>
  <c r="G72" i="2"/>
  <c r="A72" i="2"/>
  <c r="M71" i="2"/>
  <c r="L71" i="2"/>
  <c r="K71" i="2"/>
  <c r="J71" i="2"/>
  <c r="I71" i="2"/>
  <c r="G71" i="2"/>
  <c r="A71" i="2"/>
  <c r="M70" i="2"/>
  <c r="L70" i="2"/>
  <c r="K70" i="2"/>
  <c r="J70" i="2"/>
  <c r="I70" i="2"/>
  <c r="G70" i="2"/>
  <c r="A70" i="2"/>
  <c r="M69" i="2"/>
  <c r="L69" i="2"/>
  <c r="K69" i="2"/>
  <c r="J69" i="2"/>
  <c r="I69" i="2"/>
  <c r="G69" i="2"/>
  <c r="A69" i="2"/>
  <c r="M68" i="2"/>
  <c r="L68" i="2"/>
  <c r="K68" i="2"/>
  <c r="J68" i="2"/>
  <c r="I68" i="2"/>
  <c r="G68" i="2"/>
  <c r="A68" i="2"/>
  <c r="M66" i="2"/>
  <c r="L66" i="2"/>
  <c r="K66" i="2"/>
  <c r="J66" i="2"/>
  <c r="I66" i="2"/>
  <c r="G66" i="2"/>
  <c r="A66" i="2"/>
  <c r="M65" i="2"/>
  <c r="L65" i="2"/>
  <c r="K65" i="2"/>
  <c r="J65" i="2"/>
  <c r="I65" i="2"/>
  <c r="G65" i="2"/>
  <c r="A65" i="2"/>
  <c r="M64" i="2"/>
  <c r="L64" i="2"/>
  <c r="K64" i="2"/>
  <c r="J64" i="2"/>
  <c r="I64" i="2"/>
  <c r="G64" i="2"/>
  <c r="A64" i="2"/>
  <c r="M63" i="2"/>
  <c r="L63" i="2"/>
  <c r="K63" i="2"/>
  <c r="J63" i="2"/>
  <c r="I63" i="2"/>
  <c r="G63" i="2"/>
  <c r="A63" i="2"/>
  <c r="M62" i="2"/>
  <c r="L62" i="2"/>
  <c r="K62" i="2"/>
  <c r="J62" i="2"/>
  <c r="I62" i="2"/>
  <c r="G62" i="2"/>
  <c r="A62" i="2"/>
  <c r="M61" i="2"/>
  <c r="L61" i="2"/>
  <c r="K61" i="2"/>
  <c r="J61" i="2"/>
  <c r="I61" i="2"/>
  <c r="G61" i="2"/>
  <c r="A61" i="2"/>
  <c r="M60" i="2"/>
  <c r="L60" i="2"/>
  <c r="K60" i="2"/>
  <c r="J60" i="2"/>
  <c r="I60" i="2"/>
  <c r="G60" i="2"/>
  <c r="A60" i="2"/>
  <c r="M59" i="2"/>
  <c r="L59" i="2"/>
  <c r="K59" i="2"/>
  <c r="J59" i="2"/>
  <c r="I59" i="2"/>
  <c r="G59" i="2"/>
  <c r="A59" i="2"/>
  <c r="M58" i="2"/>
  <c r="L58" i="2"/>
  <c r="K58" i="2"/>
  <c r="J58" i="2"/>
  <c r="I58" i="2"/>
  <c r="G58" i="2"/>
  <c r="A58" i="2"/>
  <c r="M57" i="2"/>
  <c r="L57" i="2"/>
  <c r="K57" i="2"/>
  <c r="J57" i="2"/>
  <c r="I57" i="2"/>
  <c r="G57" i="2"/>
  <c r="A57" i="2"/>
  <c r="M56" i="2"/>
  <c r="L56" i="2"/>
  <c r="K56" i="2"/>
  <c r="J56" i="2"/>
  <c r="I56" i="2"/>
  <c r="G56" i="2"/>
  <c r="A56" i="2"/>
  <c r="M55" i="2"/>
  <c r="L55" i="2"/>
  <c r="K55" i="2"/>
  <c r="J55" i="2"/>
  <c r="I55" i="2"/>
  <c r="G55" i="2"/>
  <c r="A55" i="2"/>
  <c r="M54" i="2"/>
  <c r="L54" i="2"/>
  <c r="K54" i="2"/>
  <c r="J54" i="2"/>
  <c r="I54" i="2"/>
  <c r="G54" i="2"/>
  <c r="A54" i="2"/>
  <c r="M53" i="2"/>
  <c r="L53" i="2"/>
  <c r="K53" i="2"/>
  <c r="J53" i="2"/>
  <c r="I53" i="2"/>
  <c r="G53" i="2"/>
  <c r="A53" i="2"/>
  <c r="M52" i="2"/>
  <c r="L52" i="2"/>
  <c r="K52" i="2"/>
  <c r="J52" i="2"/>
  <c r="I52" i="2"/>
  <c r="G52" i="2"/>
  <c r="A52" i="2"/>
  <c r="M51" i="2"/>
  <c r="L51" i="2"/>
  <c r="K51" i="2"/>
  <c r="J51" i="2"/>
  <c r="I51" i="2"/>
  <c r="G51" i="2"/>
  <c r="A51" i="2"/>
  <c r="M50" i="2"/>
  <c r="L50" i="2"/>
  <c r="K50" i="2"/>
  <c r="J50" i="2"/>
  <c r="I50" i="2"/>
  <c r="G50" i="2"/>
  <c r="A50" i="2"/>
  <c r="M49" i="2"/>
  <c r="L49" i="2"/>
  <c r="K49" i="2"/>
  <c r="J49" i="2"/>
  <c r="I49" i="2"/>
  <c r="G49" i="2"/>
  <c r="A49" i="2"/>
  <c r="M48" i="2"/>
  <c r="L48" i="2"/>
  <c r="K48" i="2"/>
  <c r="J48" i="2"/>
  <c r="I48" i="2"/>
  <c r="G48" i="2"/>
  <c r="A48" i="2"/>
  <c r="M47" i="2"/>
  <c r="L47" i="2"/>
  <c r="K47" i="2"/>
  <c r="J47" i="2"/>
  <c r="I47" i="2"/>
  <c r="G47" i="2"/>
  <c r="A47" i="2"/>
  <c r="M46" i="2"/>
  <c r="L46" i="2"/>
  <c r="K46" i="2"/>
  <c r="J46" i="2"/>
  <c r="I46" i="2"/>
  <c r="G46" i="2"/>
  <c r="A46" i="2"/>
  <c r="M45" i="2"/>
  <c r="L45" i="2"/>
  <c r="K45" i="2"/>
  <c r="J45" i="2"/>
  <c r="I45" i="2"/>
  <c r="G45" i="2"/>
  <c r="A45" i="2"/>
  <c r="M44" i="2"/>
  <c r="L44" i="2"/>
  <c r="K44" i="2"/>
  <c r="J44" i="2"/>
  <c r="I44" i="2"/>
  <c r="G44" i="2"/>
  <c r="A44" i="2"/>
  <c r="M43" i="2"/>
  <c r="L43" i="2"/>
  <c r="K43" i="2"/>
  <c r="J43" i="2"/>
  <c r="I43" i="2"/>
  <c r="G43" i="2"/>
  <c r="A43" i="2"/>
  <c r="M42" i="2"/>
  <c r="L42" i="2"/>
  <c r="K42" i="2"/>
  <c r="J42" i="2"/>
  <c r="I42" i="2"/>
  <c r="G42" i="2"/>
  <c r="A42" i="2"/>
  <c r="M41" i="2"/>
  <c r="L41" i="2"/>
  <c r="K41" i="2"/>
  <c r="J41" i="2"/>
  <c r="I41" i="2"/>
  <c r="G41" i="2"/>
  <c r="A41" i="2"/>
  <c r="M39" i="2"/>
  <c r="L39" i="2"/>
  <c r="K39" i="2"/>
  <c r="J39" i="2"/>
  <c r="I39" i="2"/>
  <c r="G39" i="2"/>
  <c r="A39" i="2"/>
  <c r="M38" i="2"/>
  <c r="L38" i="2"/>
  <c r="K38" i="2"/>
  <c r="J38" i="2"/>
  <c r="I38" i="2"/>
  <c r="G38" i="2"/>
  <c r="A38" i="2"/>
  <c r="M37" i="2"/>
  <c r="L37" i="2"/>
  <c r="K37" i="2"/>
  <c r="J37" i="2"/>
  <c r="I37" i="2"/>
  <c r="G37" i="2"/>
  <c r="A37" i="2"/>
  <c r="M36" i="2"/>
  <c r="L36" i="2"/>
  <c r="K36" i="2"/>
  <c r="J36" i="2"/>
  <c r="I36" i="2"/>
  <c r="G36" i="2"/>
  <c r="A36" i="2"/>
  <c r="M35" i="2"/>
  <c r="L35" i="2"/>
  <c r="K35" i="2"/>
  <c r="J35" i="2"/>
  <c r="I35" i="2"/>
  <c r="G35" i="2"/>
  <c r="A35" i="2"/>
  <c r="M34" i="2"/>
  <c r="L34" i="2"/>
  <c r="K34" i="2"/>
  <c r="J34" i="2"/>
  <c r="I34" i="2"/>
  <c r="G34" i="2"/>
  <c r="A34" i="2"/>
  <c r="M33" i="2"/>
  <c r="L33" i="2"/>
  <c r="K33" i="2"/>
  <c r="J33" i="2"/>
  <c r="I33" i="2"/>
  <c r="G33" i="2"/>
  <c r="A33" i="2"/>
  <c r="M32" i="2"/>
  <c r="L32" i="2"/>
  <c r="K32" i="2"/>
  <c r="J32" i="2"/>
  <c r="I32" i="2"/>
  <c r="G32" i="2"/>
  <c r="A32" i="2"/>
  <c r="M31" i="2"/>
  <c r="L31" i="2"/>
  <c r="K31" i="2"/>
  <c r="J31" i="2"/>
  <c r="I31" i="2"/>
  <c r="G31" i="2"/>
  <c r="A31" i="2"/>
  <c r="M30" i="2"/>
  <c r="L30" i="2"/>
  <c r="K30" i="2"/>
  <c r="J30" i="2"/>
  <c r="I30" i="2"/>
  <c r="G30" i="2"/>
  <c r="A30" i="2"/>
  <c r="M29" i="2"/>
  <c r="L29" i="2"/>
  <c r="K29" i="2"/>
  <c r="J29" i="2"/>
  <c r="I29" i="2"/>
  <c r="G29" i="2"/>
  <c r="A29" i="2"/>
  <c r="M28" i="2"/>
  <c r="L28" i="2"/>
  <c r="K28" i="2"/>
  <c r="J28" i="2"/>
  <c r="I28" i="2"/>
  <c r="G28" i="2"/>
  <c r="A28" i="2"/>
  <c r="M27" i="2"/>
  <c r="L27" i="2"/>
  <c r="K27" i="2"/>
  <c r="J27" i="2"/>
  <c r="I27" i="2"/>
  <c r="G27" i="2"/>
  <c r="A27" i="2"/>
  <c r="M26" i="2"/>
  <c r="L26" i="2"/>
  <c r="K26" i="2"/>
  <c r="J26" i="2"/>
  <c r="I26" i="2"/>
  <c r="G26" i="2"/>
  <c r="A26" i="2"/>
  <c r="M25" i="2"/>
  <c r="L25" i="2"/>
  <c r="K25" i="2"/>
  <c r="J25" i="2"/>
  <c r="I25" i="2"/>
  <c r="G25" i="2"/>
  <c r="A25" i="2"/>
  <c r="M24" i="2"/>
  <c r="L24" i="2"/>
  <c r="K24" i="2"/>
  <c r="J24" i="2"/>
  <c r="I24" i="2"/>
  <c r="G24" i="2"/>
  <c r="A24" i="2"/>
  <c r="M23" i="2"/>
  <c r="L23" i="2"/>
  <c r="K23" i="2"/>
  <c r="J23" i="2"/>
  <c r="I23" i="2"/>
  <c r="G23" i="2"/>
  <c r="A23" i="2"/>
  <c r="M22" i="2"/>
  <c r="L22" i="2"/>
  <c r="K22" i="2"/>
  <c r="J22" i="2"/>
  <c r="I22" i="2"/>
  <c r="G22" i="2"/>
  <c r="A22" i="2"/>
  <c r="M21" i="2"/>
  <c r="L21" i="2"/>
  <c r="K21" i="2"/>
  <c r="J21" i="2"/>
  <c r="I21" i="2"/>
  <c r="G21" i="2"/>
  <c r="A21" i="2"/>
  <c r="M20" i="2"/>
  <c r="L20" i="2"/>
  <c r="K20" i="2"/>
  <c r="J20" i="2"/>
  <c r="I20" i="2"/>
  <c r="G20" i="2"/>
  <c r="A20" i="2"/>
  <c r="M19" i="2"/>
  <c r="L19" i="2"/>
  <c r="K19" i="2"/>
  <c r="J19" i="2"/>
  <c r="I19" i="2"/>
  <c r="G19" i="2"/>
  <c r="A19" i="2"/>
  <c r="M17" i="2"/>
  <c r="L17" i="2"/>
  <c r="K17" i="2"/>
  <c r="J17" i="2"/>
  <c r="I17" i="2"/>
  <c r="G17" i="2"/>
  <c r="A17" i="2"/>
  <c r="M16" i="2"/>
  <c r="L16" i="2"/>
  <c r="K16" i="2"/>
  <c r="J16" i="2"/>
  <c r="I16" i="2"/>
  <c r="G16" i="2"/>
  <c r="A16" i="2"/>
  <c r="M15" i="2"/>
  <c r="L15" i="2"/>
  <c r="K15" i="2"/>
  <c r="J15" i="2"/>
  <c r="I15" i="2"/>
  <c r="G15" i="2"/>
  <c r="A15" i="2"/>
  <c r="M14" i="2"/>
  <c r="L14" i="2"/>
  <c r="K14" i="2"/>
  <c r="J14" i="2"/>
  <c r="I14" i="2"/>
  <c r="G14" i="2"/>
  <c r="A14" i="2"/>
  <c r="M13" i="2"/>
  <c r="L13" i="2"/>
  <c r="K13" i="2"/>
  <c r="J13" i="2"/>
  <c r="I13" i="2"/>
  <c r="G13" i="2"/>
  <c r="A13" i="2"/>
  <c r="M12" i="2"/>
  <c r="L12" i="2"/>
  <c r="K12" i="2"/>
  <c r="J12" i="2"/>
  <c r="I12" i="2"/>
  <c r="G12" i="2"/>
  <c r="A12" i="2"/>
  <c r="M11" i="2"/>
  <c r="L11" i="2"/>
  <c r="K11" i="2"/>
  <c r="J11" i="2"/>
  <c r="I11" i="2"/>
  <c r="G11" i="2"/>
  <c r="A11" i="2"/>
  <c r="M10" i="2"/>
  <c r="L10" i="2"/>
  <c r="K10" i="2"/>
  <c r="J10" i="2"/>
  <c r="I10" i="2"/>
  <c r="G10" i="2"/>
  <c r="A10" i="2"/>
  <c r="M9" i="2"/>
  <c r="L9" i="2"/>
  <c r="K9" i="2"/>
  <c r="J9" i="2"/>
  <c r="I9" i="2"/>
  <c r="G9" i="2"/>
  <c r="A9" i="2"/>
  <c r="M8" i="2"/>
  <c r="L8" i="2"/>
  <c r="K8" i="2"/>
  <c r="J8" i="2"/>
  <c r="I8" i="2"/>
  <c r="G8" i="2"/>
  <c r="A8" i="2"/>
  <c r="M7" i="2"/>
  <c r="L7" i="2"/>
  <c r="K7" i="2"/>
  <c r="J7" i="2"/>
  <c r="I7" i="2"/>
  <c r="G7" i="2"/>
  <c r="A7" i="2"/>
  <c r="M6" i="2"/>
  <c r="L6" i="2"/>
  <c r="K6" i="2"/>
  <c r="J6" i="2"/>
  <c r="I6" i="2"/>
  <c r="G6" i="2"/>
  <c r="A6" i="2"/>
  <c r="M5" i="2"/>
  <c r="L5" i="2"/>
  <c r="K5" i="2"/>
  <c r="J5" i="2"/>
  <c r="I5" i="2"/>
  <c r="G5" i="2"/>
  <c r="A5" i="2"/>
  <c r="M4" i="2"/>
  <c r="L4" i="2"/>
  <c r="K4" i="2"/>
  <c r="J4" i="2"/>
  <c r="I4" i="2"/>
  <c r="G4" i="2"/>
  <c r="A4" i="2"/>
  <c r="M3" i="2"/>
  <c r="L3" i="2"/>
  <c r="K3" i="2"/>
  <c r="J3" i="2"/>
  <c r="I3" i="2"/>
  <c r="G3" i="2"/>
  <c r="A3" i="2"/>
  <c r="V2" i="1" l="1"/>
  <c r="W2" i="1" s="1"/>
</calcChain>
</file>

<file path=xl/sharedStrings.xml><?xml version="1.0" encoding="utf-8"?>
<sst xmlns="http://schemas.openxmlformats.org/spreadsheetml/2006/main" count="18703" uniqueCount="7265">
  <si>
    <t>東鹼</t>
  </si>
  <si>
    <t>(02)66365566</t>
  </si>
  <si>
    <t>否</t>
  </si>
  <si>
    <t>統一</t>
  </si>
  <si>
    <t>(02)27463797</t>
  </si>
  <si>
    <t>三晃</t>
  </si>
  <si>
    <t>(02)23816288</t>
  </si>
  <si>
    <t>華票</t>
  </si>
  <si>
    <t>懷特</t>
  </si>
  <si>
    <t>系微</t>
  </si>
  <si>
    <t>(02)23892999</t>
  </si>
  <si>
    <t>中石化</t>
  </si>
  <si>
    <t>自辦</t>
  </si>
  <si>
    <t>美吾華</t>
  </si>
  <si>
    <t>(02)27023999</t>
  </si>
  <si>
    <t>中環</t>
  </si>
  <si>
    <t>宏遠</t>
  </si>
  <si>
    <t>(02)77198899</t>
  </si>
  <si>
    <t>(02)27905885</t>
  </si>
  <si>
    <t>台一</t>
  </si>
  <si>
    <t>(02)27186425</t>
  </si>
  <si>
    <t>千興</t>
  </si>
  <si>
    <t>太陽光</t>
  </si>
  <si>
    <t>全台</t>
  </si>
  <si>
    <t>高雄市高雄加工出口區中一路5號</t>
  </si>
  <si>
    <t>(02)25865859</t>
  </si>
  <si>
    <t>(02)25048125</t>
  </si>
  <si>
    <t>聯詠</t>
  </si>
  <si>
    <t>富鼎</t>
  </si>
  <si>
    <t>聚隆</t>
  </si>
  <si>
    <t>(02)23618608</t>
  </si>
  <si>
    <t>國賓</t>
  </si>
  <si>
    <t>谷崧</t>
  </si>
  <si>
    <t>尖點</t>
  </si>
  <si>
    <t>(02)27686668</t>
  </si>
  <si>
    <t>偉盟</t>
  </si>
  <si>
    <t>光環</t>
  </si>
  <si>
    <t>(02)33930898</t>
  </si>
  <si>
    <t>和鑫</t>
  </si>
  <si>
    <t>亞電</t>
  </si>
  <si>
    <t>智捷</t>
  </si>
  <si>
    <t>是</t>
  </si>
  <si>
    <t>元大金</t>
  </si>
  <si>
    <t>中化</t>
  </si>
  <si>
    <t>邦泰</t>
  </si>
  <si>
    <t>加百裕</t>
  </si>
  <si>
    <t>研勤</t>
  </si>
  <si>
    <t>台橡</t>
  </si>
  <si>
    <t>(02)25419977</t>
  </si>
  <si>
    <t>笙科</t>
  </si>
  <si>
    <t>富邦</t>
  </si>
  <si>
    <t>(02)23611300</t>
  </si>
  <si>
    <t>科妍</t>
  </si>
  <si>
    <t>奇力新</t>
  </si>
  <si>
    <t>智原</t>
  </si>
  <si>
    <t>瑞昱</t>
  </si>
  <si>
    <t>矽格</t>
  </si>
  <si>
    <t>技嘉</t>
  </si>
  <si>
    <t>伸興</t>
  </si>
  <si>
    <t>晶電</t>
  </si>
  <si>
    <t>F-泰鼎</t>
  </si>
  <si>
    <t>士紙</t>
  </si>
  <si>
    <t>台北市士林區福德路31號</t>
  </si>
  <si>
    <t>奧斯特</t>
  </si>
  <si>
    <t>典範</t>
  </si>
  <si>
    <t>亞聚</t>
  </si>
  <si>
    <t>揚智</t>
  </si>
  <si>
    <t>宏達電</t>
  </si>
  <si>
    <t>中纖</t>
  </si>
  <si>
    <t>台聚</t>
  </si>
  <si>
    <t>聯陽</t>
  </si>
  <si>
    <t>聚積</t>
  </si>
  <si>
    <t>友達</t>
  </si>
  <si>
    <t>彩晶</t>
  </si>
  <si>
    <t>廣運</t>
  </si>
  <si>
    <t>菱生</t>
  </si>
  <si>
    <t>康聯訊</t>
  </si>
  <si>
    <t>台火</t>
  </si>
  <si>
    <t>禾伸堂</t>
  </si>
  <si>
    <t>北基</t>
  </si>
  <si>
    <t>力致</t>
  </si>
  <si>
    <t>聯電</t>
  </si>
  <si>
    <t>磐亞</t>
  </si>
  <si>
    <t>禾瑞亞</t>
  </si>
  <si>
    <t>根基</t>
  </si>
  <si>
    <t>瀚荃</t>
  </si>
  <si>
    <t>天鉞電</t>
  </si>
  <si>
    <t>中化合成</t>
  </si>
  <si>
    <t>虹冠電</t>
  </si>
  <si>
    <t>華通</t>
  </si>
  <si>
    <t>正隆</t>
  </si>
  <si>
    <t>(02)22225131</t>
  </si>
  <si>
    <t>原相</t>
  </si>
  <si>
    <t>同亨</t>
  </si>
  <si>
    <t>雙美</t>
  </si>
  <si>
    <t>全新</t>
  </si>
  <si>
    <t>浩鑫</t>
  </si>
  <si>
    <t>聯茂</t>
  </si>
  <si>
    <t>環科</t>
  </si>
  <si>
    <t>仲琦</t>
  </si>
  <si>
    <t>劍湖山</t>
  </si>
  <si>
    <t>鼎元</t>
  </si>
  <si>
    <t>志超</t>
  </si>
  <si>
    <t>新利虹</t>
  </si>
  <si>
    <t>微端</t>
  </si>
  <si>
    <t>(02)23118787</t>
  </si>
  <si>
    <t>F-廣華</t>
  </si>
  <si>
    <t>萬泰科</t>
  </si>
  <si>
    <t>安國</t>
  </si>
  <si>
    <t>南染</t>
  </si>
  <si>
    <t>光頡</t>
  </si>
  <si>
    <t>神達</t>
  </si>
  <si>
    <t>燿華</t>
  </si>
  <si>
    <t>榮成</t>
  </si>
  <si>
    <t>漢磊</t>
  </si>
  <si>
    <t>驊訊</t>
  </si>
  <si>
    <t>宇隆</t>
  </si>
  <si>
    <t>厚生</t>
  </si>
  <si>
    <t>聲寶</t>
  </si>
  <si>
    <t>台苯</t>
  </si>
  <si>
    <t>華夏</t>
  </si>
  <si>
    <t>士開</t>
  </si>
  <si>
    <t>(02)87871888</t>
  </si>
  <si>
    <t>銘異</t>
  </si>
  <si>
    <t>官田鋼</t>
  </si>
  <si>
    <t>中光電</t>
  </si>
  <si>
    <t>高技</t>
  </si>
  <si>
    <t>東捷</t>
  </si>
  <si>
    <t>增你強</t>
  </si>
  <si>
    <t>禾昌</t>
  </si>
  <si>
    <t>艾恩特</t>
  </si>
  <si>
    <t>敦泰</t>
  </si>
  <si>
    <t>力麒</t>
  </si>
  <si>
    <t>京元電</t>
  </si>
  <si>
    <t>正道</t>
  </si>
  <si>
    <t>匯特</t>
  </si>
  <si>
    <t>磐儀</t>
  </si>
  <si>
    <t>華南金</t>
  </si>
  <si>
    <t>宏森</t>
  </si>
  <si>
    <t>新鉅科</t>
  </si>
  <si>
    <t>(02)25635711</t>
  </si>
  <si>
    <t>台富</t>
  </si>
  <si>
    <t>國產</t>
  </si>
  <si>
    <t>華新科</t>
  </si>
  <si>
    <t>開發金</t>
  </si>
  <si>
    <t>大同</t>
  </si>
  <si>
    <t>統振</t>
  </si>
  <si>
    <t>彰源</t>
  </si>
  <si>
    <t>旺矽</t>
  </si>
  <si>
    <t>茂迪</t>
  </si>
  <si>
    <t>光洋科</t>
  </si>
  <si>
    <t>台泥</t>
  </si>
  <si>
    <t>中橡</t>
  </si>
  <si>
    <t>瑞軒</t>
  </si>
  <si>
    <t>綠能</t>
  </si>
  <si>
    <t>燁輝</t>
  </si>
  <si>
    <t>晶宏</t>
  </si>
  <si>
    <t>全智科</t>
  </si>
  <si>
    <t>華建</t>
  </si>
  <si>
    <t>穎台</t>
  </si>
  <si>
    <t>強茂</t>
  </si>
  <si>
    <t>敬鵬</t>
  </si>
  <si>
    <t>F-雅茗</t>
  </si>
  <si>
    <t>富爾特</t>
  </si>
  <si>
    <t>智冠</t>
  </si>
  <si>
    <t>太子</t>
  </si>
  <si>
    <t>(02)25936666</t>
  </si>
  <si>
    <t>華電網</t>
  </si>
  <si>
    <t>合勤控</t>
  </si>
  <si>
    <t>欣高</t>
  </si>
  <si>
    <t>高雄市鹽埕區大義街56號</t>
  </si>
  <si>
    <t>愛地雅</t>
  </si>
  <si>
    <t>正峰新</t>
  </si>
  <si>
    <t>達能</t>
  </si>
  <si>
    <t>嘉聯益</t>
  </si>
  <si>
    <t>楠梓電</t>
  </si>
  <si>
    <t>岱稜</t>
  </si>
  <si>
    <t>康舒</t>
  </si>
  <si>
    <t>佳世達</t>
  </si>
  <si>
    <t>宣昶</t>
  </si>
  <si>
    <t>匯僑</t>
  </si>
  <si>
    <t>中壽</t>
  </si>
  <si>
    <t>通嘉</t>
  </si>
  <si>
    <t>新復興</t>
  </si>
  <si>
    <t>益航</t>
  </si>
  <si>
    <t>中興電</t>
  </si>
  <si>
    <t>振發</t>
  </si>
  <si>
    <t>晶技</t>
  </si>
  <si>
    <t>興農</t>
  </si>
  <si>
    <t>首利</t>
  </si>
  <si>
    <t>千如</t>
  </si>
  <si>
    <t>聚和</t>
  </si>
  <si>
    <t>偉聯</t>
  </si>
  <si>
    <t>驊宏資</t>
  </si>
  <si>
    <t>威健</t>
  </si>
  <si>
    <t>福華</t>
  </si>
  <si>
    <t>台半</t>
  </si>
  <si>
    <t>晶睿</t>
  </si>
  <si>
    <t>五鼎</t>
  </si>
  <si>
    <t>映泰</t>
  </si>
  <si>
    <t>東森</t>
  </si>
  <si>
    <t>廣宇</t>
  </si>
  <si>
    <t>冠德</t>
  </si>
  <si>
    <t>嘉晶</t>
  </si>
  <si>
    <t>亞諾法</t>
  </si>
  <si>
    <t>佳必琪</t>
  </si>
  <si>
    <t>華邦電</t>
  </si>
  <si>
    <t>F-IET</t>
  </si>
  <si>
    <t>慶豐富</t>
  </si>
  <si>
    <t>欣天然</t>
  </si>
  <si>
    <t>歐買尬</t>
  </si>
  <si>
    <t>中鴻</t>
  </si>
  <si>
    <t>新興</t>
  </si>
  <si>
    <t>佶優</t>
  </si>
  <si>
    <t>嘉泥</t>
  </si>
  <si>
    <t>F-通訊</t>
  </si>
  <si>
    <t>宏泰</t>
  </si>
  <si>
    <t>冠軍</t>
  </si>
  <si>
    <t>嘉裕</t>
  </si>
  <si>
    <t>(02)25156421</t>
  </si>
  <si>
    <t>閎暉</t>
  </si>
  <si>
    <t>華映</t>
  </si>
  <si>
    <t>久裕</t>
  </si>
  <si>
    <t>光罩</t>
  </si>
  <si>
    <t>日馳</t>
  </si>
  <si>
    <t>力積</t>
  </si>
  <si>
    <t>千附</t>
  </si>
  <si>
    <t>太設</t>
  </si>
  <si>
    <t>迅杰</t>
  </si>
  <si>
    <t>洋華</t>
  </si>
  <si>
    <t>旺宏</t>
  </si>
  <si>
    <t>康那香</t>
  </si>
  <si>
    <t>中工</t>
  </si>
  <si>
    <t>穆拉德</t>
  </si>
  <si>
    <t>聚碩</t>
  </si>
  <si>
    <t>日月光</t>
  </si>
  <si>
    <t>中電</t>
  </si>
  <si>
    <t>中菲行</t>
  </si>
  <si>
    <t>力成</t>
  </si>
  <si>
    <t>雷科</t>
  </si>
  <si>
    <t>聯鈞</t>
  </si>
  <si>
    <t>台肥</t>
  </si>
  <si>
    <t>宏致</t>
  </si>
  <si>
    <t>宏碁</t>
  </si>
  <si>
    <t>(02)27195000</t>
  </si>
  <si>
    <t>科風</t>
  </si>
  <si>
    <t>中視</t>
  </si>
  <si>
    <t>力銘</t>
  </si>
  <si>
    <t>研通</t>
  </si>
  <si>
    <t>寶碩</t>
  </si>
  <si>
    <t>華星光</t>
  </si>
  <si>
    <t>美麗信</t>
  </si>
  <si>
    <t>美利達</t>
  </si>
  <si>
    <t>工信</t>
  </si>
  <si>
    <t>佳醫</t>
  </si>
  <si>
    <t>台通</t>
  </si>
  <si>
    <t>六福</t>
  </si>
  <si>
    <t>愛之味</t>
  </si>
  <si>
    <t>宏盛</t>
  </si>
  <si>
    <t>全科</t>
  </si>
  <si>
    <t>捷波</t>
  </si>
  <si>
    <t>F-光麗</t>
  </si>
  <si>
    <t>聚亨</t>
  </si>
  <si>
    <t>黑松</t>
  </si>
  <si>
    <t>大華金</t>
  </si>
  <si>
    <t>炎洲</t>
  </si>
  <si>
    <t>佳總</t>
  </si>
  <si>
    <t>永信</t>
  </si>
  <si>
    <t>中鋼</t>
  </si>
  <si>
    <t>昱捷</t>
  </si>
  <si>
    <t>單井</t>
  </si>
  <si>
    <t>永豐餘</t>
  </si>
  <si>
    <t>泉盛</t>
  </si>
  <si>
    <t>葡萄王</t>
  </si>
  <si>
    <t>資通</t>
  </si>
  <si>
    <t>牧德</t>
  </si>
  <si>
    <t>耀勝</t>
  </si>
  <si>
    <t>碩禾</t>
  </si>
  <si>
    <t>榮剛</t>
  </si>
  <si>
    <t>遠昇</t>
  </si>
  <si>
    <t>宅配通</t>
  </si>
  <si>
    <t>福大</t>
  </si>
  <si>
    <t>東華</t>
  </si>
  <si>
    <t>弘裕</t>
  </si>
  <si>
    <t>海德威</t>
  </si>
  <si>
    <t>金雨</t>
  </si>
  <si>
    <t>台產</t>
  </si>
  <si>
    <t>三顧</t>
  </si>
  <si>
    <t>廣豐</t>
  </si>
  <si>
    <t>新纖</t>
  </si>
  <si>
    <t>如興</t>
  </si>
  <si>
    <t>通泰</t>
  </si>
  <si>
    <t>位速</t>
  </si>
  <si>
    <t>大毅</t>
  </si>
  <si>
    <t>耕興</t>
  </si>
  <si>
    <t>和進</t>
  </si>
  <si>
    <t>中櫃</t>
  </si>
  <si>
    <t>及成</t>
  </si>
  <si>
    <t>基米</t>
  </si>
  <si>
    <t>遠翔科</t>
  </si>
  <si>
    <t>太醫</t>
  </si>
  <si>
    <t>智寶</t>
  </si>
  <si>
    <t>群益證</t>
  </si>
  <si>
    <t>邁達康</t>
  </si>
  <si>
    <t>永捷</t>
  </si>
  <si>
    <t>今皓</t>
  </si>
  <si>
    <t>日電貿</t>
  </si>
  <si>
    <t>漢唐</t>
  </si>
  <si>
    <t>合晶</t>
  </si>
  <si>
    <t>晶焱</t>
  </si>
  <si>
    <t>新光鋼</t>
  </si>
  <si>
    <t>訊映</t>
  </si>
  <si>
    <t>宜揚</t>
  </si>
  <si>
    <t>台原藥</t>
  </si>
  <si>
    <t>夆典</t>
  </si>
  <si>
    <t>新日興</t>
  </si>
  <si>
    <t>敦吉</t>
  </si>
  <si>
    <t>大立高</t>
  </si>
  <si>
    <t>達邁</t>
  </si>
  <si>
    <t>兆利</t>
  </si>
  <si>
    <t>醣聯</t>
  </si>
  <si>
    <t>美律</t>
  </si>
  <si>
    <t>帛漢</t>
  </si>
  <si>
    <t>久元</t>
  </si>
  <si>
    <t>方土昶</t>
  </si>
  <si>
    <t>鑽全</t>
  </si>
  <si>
    <t>樂士</t>
  </si>
  <si>
    <t>百徽</t>
  </si>
  <si>
    <t>鑫禾</t>
  </si>
  <si>
    <t>茂矽</t>
  </si>
  <si>
    <t>沛亨</t>
  </si>
  <si>
    <t>長園科</t>
  </si>
  <si>
    <t>崧騰</t>
  </si>
  <si>
    <t>太普高</t>
  </si>
  <si>
    <t>超眾</t>
  </si>
  <si>
    <t>岳豐</t>
  </si>
  <si>
    <t>臺龍</t>
  </si>
  <si>
    <t>正文</t>
  </si>
  <si>
    <t>圓剛</t>
  </si>
  <si>
    <t>南仁湖</t>
  </si>
  <si>
    <t>聯上</t>
  </si>
  <si>
    <t>台燿</t>
  </si>
  <si>
    <t>品安</t>
  </si>
  <si>
    <t>阿瘦</t>
  </si>
  <si>
    <t>台蠟</t>
  </si>
  <si>
    <t>旭軟</t>
  </si>
  <si>
    <t>由田</t>
  </si>
  <si>
    <t>新日光</t>
  </si>
  <si>
    <t>西勝</t>
  </si>
  <si>
    <t>希華</t>
  </si>
  <si>
    <t>信立</t>
  </si>
  <si>
    <t>旺詮</t>
  </si>
  <si>
    <t>斐成</t>
  </si>
  <si>
    <t>恩得利</t>
  </si>
  <si>
    <t>堡達</t>
  </si>
  <si>
    <t>勝昱</t>
  </si>
  <si>
    <t>恩德</t>
  </si>
  <si>
    <t>星通</t>
  </si>
  <si>
    <t>瑞利</t>
  </si>
  <si>
    <t>訊連</t>
  </si>
  <si>
    <t>艾笛森</t>
  </si>
  <si>
    <t>佳能</t>
  </si>
  <si>
    <t>波若威</t>
  </si>
  <si>
    <t>居易</t>
  </si>
  <si>
    <t>久大</t>
  </si>
  <si>
    <t>昇陽科</t>
  </si>
  <si>
    <t>尚立</t>
  </si>
  <si>
    <t>高僑</t>
  </si>
  <si>
    <t>中信金</t>
  </si>
  <si>
    <t>序號</t>
  </si>
  <si>
    <t>代號</t>
  </si>
  <si>
    <t>公司</t>
  </si>
  <si>
    <t>股價</t>
  </si>
  <si>
    <t>紀念品</t>
  </si>
  <si>
    <t>代發開始時間</t>
  </si>
  <si>
    <t>代發結束時間</t>
  </si>
  <si>
    <t>代發地點(1股以上)</t>
  </si>
  <si>
    <t>代發地點(千股以上)</t>
  </si>
  <si>
    <t>開會時間</t>
  </si>
  <si>
    <t>開會地點</t>
  </si>
  <si>
    <t>最後買進日</t>
  </si>
  <si>
    <t>股代</t>
  </si>
  <si>
    <t>股代電話</t>
  </si>
  <si>
    <t>零股寄單</t>
  </si>
  <si>
    <t>去年有補單</t>
  </si>
  <si>
    <t>代發限制</t>
  </si>
  <si>
    <t>改選</t>
  </si>
  <si>
    <t>備註</t>
  </si>
  <si>
    <t>更新時間</t>
  </si>
  <si>
    <t>圖</t>
  </si>
  <si>
    <t>公司代號</t>
  </si>
  <si>
    <t>公司名稱</t>
  </si>
  <si>
    <t>公司地址</t>
  </si>
  <si>
    <t>股東常(臨時)會日期</t>
  </si>
  <si>
    <t>是否改選董監</t>
  </si>
  <si>
    <t>聯絡電話</t>
  </si>
  <si>
    <t>股務單位</t>
  </si>
  <si>
    <t>股務單位電話</t>
  </si>
  <si>
    <t>行使期間</t>
  </si>
  <si>
    <t>電子投票平台</t>
  </si>
  <si>
    <t>投票網址</t>
  </si>
  <si>
    <t>採行電子投票情形</t>
  </si>
  <si>
    <t>台北市中山北路2段113號</t>
  </si>
  <si>
    <t>台泥大樓3樓士敏廳（臺北市中山北路2段113號）</t>
  </si>
  <si>
    <t>中國信託商業銀行代理部</t>
  </si>
  <si>
    <t>亞泥</t>
  </si>
  <si>
    <t>台北市大安區敦化南路2段207號30、31樓</t>
  </si>
  <si>
    <t>國軍英雄館-台北市長沙街一段20號</t>
  </si>
  <si>
    <t>亞東證券股份有限公司</t>
  </si>
  <si>
    <t>台北市中山北路2段96號</t>
  </si>
  <si>
    <t>台北市中山北路二段96號嘉新大樓一樓</t>
  </si>
  <si>
    <t>群益金鼎證券(股)公司股務代理部</t>
  </si>
  <si>
    <t>環球水泥</t>
  </si>
  <si>
    <t>台北市南京東路二段125號10樓</t>
  </si>
  <si>
    <t>桃園市蘆竹區海湖里海山中街18號(本公司海湖石膏板廠辦公大樓二樓會議室)</t>
  </si>
  <si>
    <t>凱基證券股份有限公司股務代理部</t>
  </si>
  <si>
    <t>幸福水泥</t>
  </si>
  <si>
    <t>台北市松江路237號15樓</t>
  </si>
  <si>
    <t>永豐金證券股務代理</t>
  </si>
  <si>
    <t>信大水泥</t>
  </si>
  <si>
    <t>台北市寶慶路37號7樓</t>
  </si>
  <si>
    <t>台北市中正區衡陽路51號3樓基泰國際研訓特區領袖廳</t>
  </si>
  <si>
    <t>東泥</t>
  </si>
  <si>
    <t>高雄市前金區五福三路21號4樓之1</t>
  </si>
  <si>
    <t>元大寶來證券股份有限公司</t>
  </si>
  <si>
    <t>味全公司</t>
  </si>
  <si>
    <t>台北市松江路125號</t>
  </si>
  <si>
    <t>元大寶來證券股務代理部</t>
  </si>
  <si>
    <t>味王公司</t>
  </si>
  <si>
    <t>台北市中山北路二段79號5樓</t>
  </si>
  <si>
    <t>國賓大飯店國際廳(台北市中山北路二段63號2樓)</t>
  </si>
  <si>
    <t>群益金鼎證券股份有限公司</t>
  </si>
  <si>
    <t>大成長城</t>
  </si>
  <si>
    <t>台南市永康區蔦松二街三號</t>
  </si>
  <si>
    <t>台南市永康區蔦松二街三號(總公司禮堂)</t>
  </si>
  <si>
    <t>大飲</t>
  </si>
  <si>
    <t>新北市三重區重陽路三段99號10樓</t>
  </si>
  <si>
    <t>臺北市長沙街一段二十號(臺北市國軍英雄館一樓宴會廳)</t>
  </si>
  <si>
    <t>大西洋飲料股份有限公司</t>
  </si>
  <si>
    <t>卜蜂企業</t>
  </si>
  <si>
    <t>台北市松江路八十七號十七樓</t>
  </si>
  <si>
    <t>本公司南投廠會議室(地址：南投市南崗工業區工業東路17號)</t>
  </si>
  <si>
    <t>71001台南市永康區中正路301號</t>
  </si>
  <si>
    <t>台南市永康區鹽行里中正路301號(本公司教育訓練中心一樓)</t>
  </si>
  <si>
    <t>統一綜合證券(股)公司股務代理部</t>
  </si>
  <si>
    <t>嘉義縣民雄鄉工業二路11號</t>
  </si>
  <si>
    <t>泰山企業</t>
  </si>
  <si>
    <t>彰化縣田中鎮興工路六號(本公司員工教育訓練中心)</t>
  </si>
  <si>
    <t>福壽實業</t>
  </si>
  <si>
    <t>台中市沙鹿區沙田路45號</t>
  </si>
  <si>
    <t>台中市沙鹿區中山路658號 (台中市沙鹿勞工育樂中心)</t>
  </si>
  <si>
    <t>凱基證券股份有限公司</t>
  </si>
  <si>
    <t>台榮</t>
  </si>
  <si>
    <t>台北市中山區南京東路二段206號6樓</t>
  </si>
  <si>
    <t>福懋油</t>
  </si>
  <si>
    <t>台中市大肚區沙田路一段453號</t>
  </si>
  <si>
    <t>台新國際商業銀行股務代理部</t>
  </si>
  <si>
    <t>佳格</t>
  </si>
  <si>
    <t>台北市仁愛路三段136號5樓</t>
  </si>
  <si>
    <t>桃園市大園區和平西路一段369號(本公司大園廠員工交誼廳)</t>
  </si>
  <si>
    <t>聯華實業</t>
  </si>
  <si>
    <t>(103)臺北市大同區承德路一段44號6樓</t>
  </si>
  <si>
    <t>桃園市楊梅區富豐南路12號1樓</t>
  </si>
  <si>
    <t>聯華食品</t>
  </si>
  <si>
    <t>台北市迪化街一段148號</t>
  </si>
  <si>
    <t>永豐金證券股份有限公司</t>
  </si>
  <si>
    <t>大統益</t>
  </si>
  <si>
    <t>台南市官田區二鎮里工業西路32號</t>
  </si>
  <si>
    <t>台南市官田區二鎮里工業西路32號本公司辦公大樓</t>
  </si>
  <si>
    <t>統一綜合證券股份有限公司</t>
  </si>
  <si>
    <t>天仁</t>
  </si>
  <si>
    <t>台北市忠孝東路4段107號6樓</t>
  </si>
  <si>
    <t>苗栗縣竹南鎮中華路422號(天仁茶園銘峰館)</t>
  </si>
  <si>
    <t>台北市信義路四段296號3樓</t>
  </si>
  <si>
    <t>桃園市中壢區中園路178號（本公司中壢廠）</t>
  </si>
  <si>
    <t>宏遠證券股份有限公司股務代理部</t>
  </si>
  <si>
    <t>興泰</t>
  </si>
  <si>
    <t>高雄市仁武區高楠公路10號</t>
  </si>
  <si>
    <t>國票綜合證券股份有限公司</t>
  </si>
  <si>
    <t>宏亞食品</t>
  </si>
  <si>
    <t>新北市新店區寶興路45巷8弄3號5樓</t>
  </si>
  <si>
    <t>F-綠悅</t>
  </si>
  <si>
    <t>臺北市松仁路89號5樓B室</t>
  </si>
  <si>
    <t>台大校友會館3A會議室 (台北市濟南路1段2之1號)</t>
  </si>
  <si>
    <t>台塑</t>
  </si>
  <si>
    <t>高雄市仁武區水管路100號</t>
  </si>
  <si>
    <t>本公司股務組</t>
  </si>
  <si>
    <t>南亞塑膠</t>
  </si>
  <si>
    <t>台北市敦化北路二○一號</t>
  </si>
  <si>
    <t>南亞塑膠工業股份有限公司股務組</t>
  </si>
  <si>
    <t>台北市內湖區基湖路37號12樓</t>
  </si>
  <si>
    <t>本公司股務部</t>
  </si>
  <si>
    <t>台北市內湖基湖路37號12樓</t>
  </si>
  <si>
    <t>苗栗縣竹南鎮公園路106號(兆品酒店)</t>
  </si>
  <si>
    <t>三芳化工</t>
  </si>
  <si>
    <t>高雄市三民區通化街120號</t>
  </si>
  <si>
    <t>高雄市國賓大飯店(高雄市民生二路202號20樓)。</t>
  </si>
  <si>
    <t>中國信託代理部</t>
  </si>
  <si>
    <t>高雄市鳥松區圓山路2號高雄圓山大飯店5樓柏壽廳</t>
  </si>
  <si>
    <t>亞洲聚合股份有限公司股務部</t>
  </si>
  <si>
    <t>台達化工</t>
  </si>
  <si>
    <t>高雄市鳥松區圓山路2號高雄圓山大飯店5樓柏壽廳。</t>
  </si>
  <si>
    <t>台達化學工業股份有限公司股務部</t>
  </si>
  <si>
    <t>台北市羅斯福路一段六號八樓之一</t>
  </si>
  <si>
    <t>高雄市林園區工業一路7號(本公司高雄廠)</t>
  </si>
  <si>
    <t>永豐金證券(股)公司股務代理部</t>
  </si>
  <si>
    <t>國喬石化</t>
  </si>
  <si>
    <t>臺北市南京東路四段1號10樓</t>
  </si>
  <si>
    <t>高雄市大社區興工路4號本公司高雄廠簡報室</t>
  </si>
  <si>
    <t>聯成</t>
  </si>
  <si>
    <t>台北市南港區南港路一段209號A棟9樓</t>
  </si>
  <si>
    <t>高雄市鳥松區圓山路二號高雄圓山大飯店5樓柏壽廳</t>
  </si>
  <si>
    <t>臺北市松山區東興路12號8至11樓</t>
  </si>
  <si>
    <t>苗栗縣頭份鎮自強路2段217號(本公司頭份廠)</t>
  </si>
  <si>
    <t>本公司股務室</t>
  </si>
  <si>
    <t>達新工業</t>
  </si>
  <si>
    <t>台中市西屯區工業區35路51號</t>
  </si>
  <si>
    <t>台中市西屯區工業35路51號</t>
  </si>
  <si>
    <t>上曜</t>
  </si>
  <si>
    <t>台南市安平區永華路二段248號20樓之6</t>
  </si>
  <si>
    <t>東陽</t>
  </si>
  <si>
    <t>台南市安和路二段98號</t>
  </si>
  <si>
    <t>大洋</t>
  </si>
  <si>
    <t>桃園市蘆竹區海湖里海湖東路375號本公司桃園廠員工活動中心</t>
  </si>
  <si>
    <t>凱基證券(股)公司股務代理部</t>
  </si>
  <si>
    <t>永裕</t>
  </si>
  <si>
    <t>台南市仁德區勝利路88號</t>
  </si>
  <si>
    <t>台南市歸仁區信義南路78號(台南市歸仁文化中心國際會議廳)</t>
  </si>
  <si>
    <t>地球工業</t>
  </si>
  <si>
    <t>台北市中山區南京東路3段61號7樓</t>
  </si>
  <si>
    <t>恒大</t>
  </si>
  <si>
    <t>台北市林森北路372號10樓</t>
  </si>
  <si>
    <t>台北市林森北路369號 華泰王子大飯店地下室一樓(B1) 如意廳</t>
  </si>
  <si>
    <t>台化</t>
  </si>
  <si>
    <t>彰化市中山路3段359號</t>
  </si>
  <si>
    <t>台北市敦化北路100號王朝大酒店2樓國際大會堂</t>
  </si>
  <si>
    <t>台灣化學纖維股份有限公司股務室</t>
  </si>
  <si>
    <t>F-再生</t>
  </si>
  <si>
    <t>高雄市鼓山區明誠三路685號12樓</t>
  </si>
  <si>
    <t>元大證券股份有限公司股務代理部</t>
  </si>
  <si>
    <t>廣東省東莞市厚街鎮橋頭第三工業區</t>
  </si>
  <si>
    <t>兆豐證券股份有限公司股務代理部</t>
  </si>
  <si>
    <t>昭輝</t>
  </si>
  <si>
    <t>彰化縣鹿港鎮興業路8號</t>
  </si>
  <si>
    <t>F-勝悅</t>
  </si>
  <si>
    <t>中國福建省晉江市青陽蓮嶼工業區</t>
  </si>
  <si>
    <t>臺北市衡陽路51號3樓基泰國際會議中心三樓世紀廳</t>
  </si>
  <si>
    <t>永豐金證券公司股務代理部</t>
  </si>
  <si>
    <t>遠東新</t>
  </si>
  <si>
    <t>台北市大安區敦化南路二段207號36樓</t>
  </si>
  <si>
    <t>台北市長沙街一段20號(國軍英雄館)</t>
  </si>
  <si>
    <t>台北市中山區南京東路二段123號八樓</t>
  </si>
  <si>
    <t>新光人壽大樓(台北市中山區南京東路2段123號16樓大禮堂)</t>
  </si>
  <si>
    <t>新光證券(股)公司股務代理部</t>
  </si>
  <si>
    <t>中國信託商銀代理部</t>
  </si>
  <si>
    <t>桃園縣龜山鄉楓樹村宏洲街29號（員工餐廳）</t>
  </si>
  <si>
    <t>福邦證券股份有限公司股務代理部</t>
  </si>
  <si>
    <t>東和</t>
  </si>
  <si>
    <t>台北市仁愛路四段376號13樓</t>
  </si>
  <si>
    <t>台北市敦化南路一段二號五樓</t>
  </si>
  <si>
    <t>桃園市八德區介壽路一段722號</t>
  </si>
  <si>
    <t>臺北市仁愛路四段25號7樓</t>
  </si>
  <si>
    <t>新北市新店區中興路三段三號一樓圓頂劇場</t>
  </si>
  <si>
    <t>公司股務組</t>
  </si>
  <si>
    <t>台北市新生南路1段56號9樓</t>
  </si>
  <si>
    <t>富邦綜合證券股務代理部</t>
  </si>
  <si>
    <t>新紡</t>
  </si>
  <si>
    <t>台北市南京東路二段123號11樓</t>
  </si>
  <si>
    <t>台北市建國北路2段15號8樓(新光產物大樓)</t>
  </si>
  <si>
    <t>利華羊毛</t>
  </si>
  <si>
    <t>台北市忠孝東路四段310號12樓</t>
  </si>
  <si>
    <t>桃園市新屋區頭洲里中山東路二段309號本公司新屋廠員工活動中心</t>
  </si>
  <si>
    <t>大魯閣</t>
  </si>
  <si>
    <t>台北市內湖區民善街83號3樓</t>
  </si>
  <si>
    <t>華南永昌綜合證券股份有限公司</t>
  </si>
  <si>
    <t>福懋興業</t>
  </si>
  <si>
    <t>雲林縣斗六市榴中里石榴路317號</t>
  </si>
  <si>
    <t>雲林縣斗六市石榴路317號本公司</t>
  </si>
  <si>
    <t>本公司股務科</t>
  </si>
  <si>
    <t>中福國際</t>
  </si>
  <si>
    <t>新北市中和區景平路666號2樓</t>
  </si>
  <si>
    <t>新北市中和區景平路666號1樓</t>
  </si>
  <si>
    <t>元大證券(股)公司股務代理部</t>
  </si>
  <si>
    <t>華友聯</t>
  </si>
  <si>
    <t>台北巿愛國東路22號14樓</t>
  </si>
  <si>
    <t>元大寶來證券(股)股務代理部</t>
  </si>
  <si>
    <t>勤益投控</t>
  </si>
  <si>
    <t>台北市忠孝東路4段320號9樓</t>
  </si>
  <si>
    <t>台北市羅斯福路三段62號(台灣金融研訓院501室)</t>
  </si>
  <si>
    <t>裕豐</t>
  </si>
  <si>
    <t>桃園縣中壢市民族路6段638號2樓</t>
  </si>
  <si>
    <t>台北市復興北路99號6樓A廳(牛牛牛亞國際會議中心)</t>
  </si>
  <si>
    <t>中和羊毛</t>
  </si>
  <si>
    <t>台北市11493堤頂大道二段293號6樓</t>
  </si>
  <si>
    <t>南紡</t>
  </si>
  <si>
    <t>台南市東區裕農路511號</t>
  </si>
  <si>
    <t>台南市南門路261號勞工育樂中心一樓大會議廳</t>
  </si>
  <si>
    <t>大東紡織</t>
  </si>
  <si>
    <t>台北市松山區南京東路三段346號3樓</t>
  </si>
  <si>
    <t>名軒</t>
  </si>
  <si>
    <t>新北市五股區成泰路一段189巷16號5樓</t>
  </si>
  <si>
    <t>新北市五股區成泰路一段189巷16號B1</t>
  </si>
  <si>
    <t>立益紡織</t>
  </si>
  <si>
    <t>台北市大同區西寧北路70號6樓</t>
  </si>
  <si>
    <t>本公司總公司活動中心(桃園市平鎮區雙福路一段65號)</t>
  </si>
  <si>
    <t>元富證券股份有限公司股務代理科</t>
  </si>
  <si>
    <t>力麗</t>
  </si>
  <si>
    <t>104台北市松江路162號11樓</t>
  </si>
  <si>
    <t>彰化縣芳苑鄉芳苑工業區工業路38號（本公司化纖總廠）</t>
  </si>
  <si>
    <t>大宇紡織</t>
  </si>
  <si>
    <t>台北市西寧北路62-5號7樓</t>
  </si>
  <si>
    <t>台北市西寧北路七十之一號六樓(台北市國立彰化高級商業職業學校校友會)</t>
  </si>
  <si>
    <t>宏和</t>
  </si>
  <si>
    <t>台南市永康區中山南路473號</t>
  </si>
  <si>
    <t>台南市仁德區中正路二段806號(仁德國小大禮堂)</t>
  </si>
  <si>
    <t>力鵬</t>
  </si>
  <si>
    <t>104台北市松江路162號6樓</t>
  </si>
  <si>
    <t>彰化縣芳苑鄉芳苑工業區工業路33號（本公司尼龍總廠）</t>
  </si>
  <si>
    <t>佳和實業</t>
  </si>
  <si>
    <t>台南市新市區三舍里207號</t>
  </si>
  <si>
    <t>台南市官田區工業路11號</t>
  </si>
  <si>
    <t>年興紡織</t>
  </si>
  <si>
    <t>苗栗縣後龍鎮東明里下浮尾119-3號</t>
  </si>
  <si>
    <t>苗栗縣後龍鎮東明里下浮尾119-3號(本公司會議室)。</t>
  </si>
  <si>
    <t>宏益</t>
  </si>
  <si>
    <t>台北市塔城街66號6樓</t>
  </si>
  <si>
    <t>大將</t>
  </si>
  <si>
    <t>台北市敦化南路二段71號6樓</t>
  </si>
  <si>
    <t>雲林縣莿桐鄉延平路60號(本公司莿桐廠員工活動中心)</t>
  </si>
  <si>
    <t>台北市西寧北路70-1號8樓</t>
  </si>
  <si>
    <t>台北市西寧北路70-1號6樓(彰化高商校友會)</t>
  </si>
  <si>
    <t>日盛證券股份有限公司</t>
  </si>
  <si>
    <t>集盛</t>
  </si>
  <si>
    <t>台北市西寧北路七十號二樓</t>
  </si>
  <si>
    <t>桃園縣觀音鄉樹林村安和街307號(本公司觀音廠員工活動中心)</t>
  </si>
  <si>
    <t>怡華</t>
  </si>
  <si>
    <t>台北市內湖區內湖路一段392號12樓之1</t>
  </si>
  <si>
    <t>宜進</t>
  </si>
  <si>
    <t>台北市內湖區瑞光路607號7樓</t>
  </si>
  <si>
    <t>本公司彰化廠(彰化縣花壇鄉中庄村中山路一段九十一號之1)。</t>
  </si>
  <si>
    <t>福邦證券股份有限公司</t>
  </si>
  <si>
    <t>聯發紡織</t>
  </si>
  <si>
    <t>台北市環河北路1段73號5樓之5</t>
  </si>
  <si>
    <t>本公司竹北廠行政大樓六樓(新竹縣竹北市十興路291號)</t>
  </si>
  <si>
    <t>富邦綜合證券(股)公司股務代理部</t>
  </si>
  <si>
    <t>台南市山上區明和里256號</t>
  </si>
  <si>
    <t>台南市南門路261號 (台南市勞工育樂中心會議室)</t>
  </si>
  <si>
    <t>亞東證券股份有限公司代理部</t>
  </si>
  <si>
    <t>強盛染整</t>
  </si>
  <si>
    <t>桃園市大園區大工路一二六號</t>
  </si>
  <si>
    <t>得力實業</t>
  </si>
  <si>
    <t>台南市新市區三舍里240號</t>
  </si>
  <si>
    <t>台南市新市區三舍里240號(本公司員工活動中心一樓)</t>
  </si>
  <si>
    <t>元富證券股份有限公司</t>
  </si>
  <si>
    <t>偉全實業</t>
  </si>
  <si>
    <t>台北市西寧北路62-5號7樓之1</t>
  </si>
  <si>
    <t>彰化縣埔鹽鄉永樂村番金路94號</t>
  </si>
  <si>
    <t>南緯實業</t>
  </si>
  <si>
    <t>717台南市仁德區新田里義林路126號</t>
  </si>
  <si>
    <t>日盛證券 股務代理部</t>
  </si>
  <si>
    <t>昶和纖維</t>
  </si>
  <si>
    <t>桃園縣蘆竹鄉南崁路一段277號</t>
  </si>
  <si>
    <t>理隆纖維</t>
  </si>
  <si>
    <t>105台北市松山區復興北路369號4樓之6</t>
  </si>
  <si>
    <t>桃園市中壢區新生路二段466號(本公司中壢廠會議室)</t>
  </si>
  <si>
    <t>大統染</t>
  </si>
  <si>
    <t>北市塔城街66號3樓</t>
  </si>
  <si>
    <t>富邦綜合證券股份有限公司</t>
  </si>
  <si>
    <t>新北市五股區五權七路18號3樓</t>
  </si>
  <si>
    <t>三洋紡</t>
  </si>
  <si>
    <t>台北市大同區西寧北路62-5號2樓</t>
  </si>
  <si>
    <t>凱基證券股務代理部</t>
  </si>
  <si>
    <t>台南企業</t>
  </si>
  <si>
    <t>台南市歸仁區中山路三段320號</t>
  </si>
  <si>
    <t>台南市歸仁區中山路三段三二○號（總公司會議室）</t>
  </si>
  <si>
    <t>元大寶來證券(股)公司股務代理部</t>
  </si>
  <si>
    <t>彰化縣伸港鄉全興工業區工西一路60號</t>
  </si>
  <si>
    <t>彰化縣伸港鄉全興工業區工西一路60號(本公司行政大樓)</t>
  </si>
  <si>
    <t>本盟光電</t>
  </si>
  <si>
    <t>桃園縣平鎮工業區工業三路16號</t>
  </si>
  <si>
    <t>桃園市平鎮區工業三路16號</t>
  </si>
  <si>
    <t>儒鴻</t>
  </si>
  <si>
    <t>苗栗縣後龍鎮溪洲里三好路３９號本公司溪洲廠三樓會議廳</t>
  </si>
  <si>
    <t>聚陽實業</t>
  </si>
  <si>
    <t>台北市中山北路二段106之2號6樓</t>
  </si>
  <si>
    <t>雙連教會七樓禮拜堂(台北市中山北路二段111號7樓)</t>
  </si>
  <si>
    <t>士電</t>
  </si>
  <si>
    <t>台北市中山北路六段88號16樓</t>
  </si>
  <si>
    <t>東元電機</t>
  </si>
  <si>
    <t>台北市南港區三重路19-9號5樓</t>
  </si>
  <si>
    <t>台南市仁德區大甲里中正西路1015號</t>
  </si>
  <si>
    <t>台南市仁德區大甲里中正西路1015號(本公司大禮堂)</t>
  </si>
  <si>
    <t>永大機電</t>
  </si>
  <si>
    <t>台北市復興北路99號11樓</t>
  </si>
  <si>
    <t>永大機電工業股份有限公司股務課</t>
  </si>
  <si>
    <t>高雄市仁武區高楠公路廿二號</t>
  </si>
  <si>
    <t>高雄市仁武區高楠公路22號(本公司員工餐廳)</t>
  </si>
  <si>
    <t>亞力電機</t>
  </si>
  <si>
    <t>台北市南港區三重路19-11號12樓</t>
  </si>
  <si>
    <t>台北市南港區三重路19-10號2樓(南港軟體工業園區會議中心)</t>
  </si>
  <si>
    <t>力山</t>
  </si>
  <si>
    <t>台中市大里區仁化路261號</t>
  </si>
  <si>
    <t>台中市大里區仁化路261號本公司支援中心地下一樓簡報室</t>
  </si>
  <si>
    <t>川飛</t>
  </si>
  <si>
    <t>台北市信義區光復南路495號6樓之5</t>
  </si>
  <si>
    <t>台北市信義區光復南路495號1樓</t>
  </si>
  <si>
    <t>國票綜合證券(股)公司代理部</t>
  </si>
  <si>
    <t>利奇機械</t>
  </si>
  <si>
    <t>彰化縣彰化市石牌里石牌路一段112號</t>
  </si>
  <si>
    <t>南投縣南投市南崗三路21號(南崗工業區管理中心南崗會館)</t>
  </si>
  <si>
    <t>華城電機</t>
  </si>
  <si>
    <t>桃園市中壢區工業區吉林路10號</t>
  </si>
  <si>
    <t>大億</t>
  </si>
  <si>
    <t>台南市新信路11號</t>
  </si>
  <si>
    <t>台南市西門路一段660號大億麗緻酒店5樓</t>
  </si>
  <si>
    <t>堤維西</t>
  </si>
  <si>
    <t>台南市新樂路72之2號</t>
  </si>
  <si>
    <t>國立台南生活美學館2樓(台南市中華西路二段34號)</t>
  </si>
  <si>
    <t>耿鼎企業</t>
  </si>
  <si>
    <t>338桃園市蘆竹區內溪路48號</t>
  </si>
  <si>
    <t>桃園市蘆竹區內溪路48號</t>
  </si>
  <si>
    <t>江申工業</t>
  </si>
  <si>
    <t>桃園市楊梅區新江路100號</t>
  </si>
  <si>
    <t>江申工業股份有限公司股務課</t>
  </si>
  <si>
    <t>台中市工業區36路24號</t>
  </si>
  <si>
    <t>本公司四樓會議室(台中市工業區36路24號)</t>
  </si>
  <si>
    <t>台北市中山北路6段88號4樓</t>
  </si>
  <si>
    <t>苗栗縣後龍鎮中華路1498號（本公司工廠研發大樓五樓）</t>
  </si>
  <si>
    <t>亞崴機電</t>
  </si>
  <si>
    <t>新竹縣新埔鎮文山里關埔路水車頭段629號</t>
  </si>
  <si>
    <t>台中市西屯區林厝里科園二路15號(亞崴機電股份有限公司台中分公司)</t>
  </si>
  <si>
    <t>高林股</t>
  </si>
  <si>
    <t>台北市松山區105民生東路三段128號11樓</t>
  </si>
  <si>
    <t>華南永昌證券(股)公司股務代理部</t>
  </si>
  <si>
    <t>勤美</t>
  </si>
  <si>
    <t>台北市106大安區仁愛路四段八十五號四樓</t>
  </si>
  <si>
    <t>新竹縣新豐鄉上坑村488號2樓大會議室(勤美股份有限公司新竹廠)</t>
  </si>
  <si>
    <t>車王電</t>
  </si>
  <si>
    <t>台中市大雅區中清路4段85號</t>
  </si>
  <si>
    <t>台中市大雅區中清路四段85號(本公司)</t>
  </si>
  <si>
    <t>中宇</t>
  </si>
  <si>
    <t>高雄市前鎮區806民權二路八號八樓</t>
  </si>
  <si>
    <t>和大工業</t>
  </si>
  <si>
    <t>台中市大里區仁化路115號</t>
  </si>
  <si>
    <t>和大工業股份有限公司中科分公司7樓會議室(台中市大雅區科雅路12號)</t>
  </si>
  <si>
    <t>元富證券股務代理部</t>
  </si>
  <si>
    <t>廣隆光電</t>
  </si>
  <si>
    <t>南投市自立三路6號</t>
  </si>
  <si>
    <t>本公司二樓電化教室(地址：南投市自立三路6號)</t>
  </si>
  <si>
    <t>324桃園市平鎮區民族路雙連2段118巷12號</t>
  </si>
  <si>
    <t>巨庭機械</t>
  </si>
  <si>
    <t>台中市太平區永豐路78號</t>
  </si>
  <si>
    <t>台中市太平區永成路80號。(本公司永成廠)</t>
  </si>
  <si>
    <t>群益金鼎證券(股)公司</t>
  </si>
  <si>
    <t>喬福機械</t>
  </si>
  <si>
    <t>台中縣神岡鄉中山路1056號</t>
  </si>
  <si>
    <t>錩泰</t>
  </si>
  <si>
    <t>台中市后里區南村路41號</t>
  </si>
  <si>
    <t>台中市豐原區新生北路一五五之一號五里聯合活動中心</t>
  </si>
  <si>
    <t>台中市太平區永成路78號</t>
  </si>
  <si>
    <t>中砂</t>
  </si>
  <si>
    <t>台北市延平南路10號</t>
  </si>
  <si>
    <t>新北市鶯歌區中山路六十四號(本公司鶯歌廠員工餐廳)</t>
  </si>
  <si>
    <t>倉佑</t>
  </si>
  <si>
    <t>62154嘉義縣民雄鄉福樂村中山路18號</t>
  </si>
  <si>
    <t>信錦</t>
  </si>
  <si>
    <t>新北市中和區建康路168號9樓</t>
  </si>
  <si>
    <t>程泰</t>
  </si>
  <si>
    <t>台中市西屯區協和里工業區五路十三號</t>
  </si>
  <si>
    <t>台中市西屯區科園路38號（2樓會議室）</t>
  </si>
  <si>
    <t>F-永冠</t>
  </si>
  <si>
    <t>F-亞德</t>
  </si>
  <si>
    <t>台北市民生東路三段129號4樓</t>
  </si>
  <si>
    <t>新北市三峽區大學路63號（福容大飯店）</t>
  </si>
  <si>
    <t>F-英瑞</t>
  </si>
  <si>
    <t>台南市安平區慶平路573號10樓</t>
  </si>
  <si>
    <t>華電</t>
  </si>
  <si>
    <t>台北市中山區中山北路三段58號4樓</t>
  </si>
  <si>
    <t>桃園市新屋區頭洲里中山東路二段三六二號(本公司新屋廠)</t>
  </si>
  <si>
    <t>桃園市龜山區大華里頂湖26-3號</t>
  </si>
  <si>
    <t>桃園市龜山區大華里頂湖路26號 (聲寶員工餐廳 )</t>
  </si>
  <si>
    <t>華新</t>
  </si>
  <si>
    <t>台北市信義區松智路1號25樓</t>
  </si>
  <si>
    <t>華榮</t>
  </si>
  <si>
    <t>高雄巿前金區中正四路170號</t>
  </si>
  <si>
    <t>高雄市仁武區高楠公路30號(本公司高楠工廠)</t>
  </si>
  <si>
    <t>本公司股務課</t>
  </si>
  <si>
    <t>大亞電線</t>
  </si>
  <si>
    <t>台南市關廟區中山路二段249號</t>
  </si>
  <si>
    <t>台南市關廟區中山路二段249號(本公司視聽會議室)</t>
  </si>
  <si>
    <t>台北市忠孝東路2段9號</t>
  </si>
  <si>
    <t>福邦證券(股)公司</t>
  </si>
  <si>
    <t>台北市民生東路三段129號10樓</t>
  </si>
  <si>
    <t>華南永昌證券</t>
  </si>
  <si>
    <t>三洋電</t>
  </si>
  <si>
    <t>台北市中山區松江路266號10F</t>
  </si>
  <si>
    <t>新北市泰山區貴鳳街35號(本公司泰山廠技術大樓7樓會議廳）</t>
  </si>
  <si>
    <t>大山</t>
  </si>
  <si>
    <t>雲林縣斗六市雲林路三段369號</t>
  </si>
  <si>
    <t>雲林縣斗六市西平路369號(本公司會議室)</t>
  </si>
  <si>
    <t>億泰</t>
  </si>
  <si>
    <t>台北市中正區仁愛路二段九十一巷一號一樓</t>
  </si>
  <si>
    <t>榮星電線</t>
  </si>
  <si>
    <t>台南市仁德區中正路三段231號</t>
  </si>
  <si>
    <t>合機公司</t>
  </si>
  <si>
    <t>台北市忠孝東路一段85號19樓</t>
  </si>
  <si>
    <t>康和綜合證券股份有限公司</t>
  </si>
  <si>
    <t>F-艾美</t>
  </si>
  <si>
    <t>台南市新忠路11號</t>
  </si>
  <si>
    <t>臺北市濟南路一段2-1號4樓會議室(臺大校友會館)</t>
  </si>
  <si>
    <t>北市中正區襄陽路二十三號</t>
  </si>
  <si>
    <t>台北市徐州路2號4樓(台大醫院國際會議中心401室)</t>
  </si>
  <si>
    <t>南僑化工</t>
  </si>
  <si>
    <t>台北市延平北路四段100號</t>
  </si>
  <si>
    <t>台北市衡陽路51號3樓基泰國際研訓特區領袖廳</t>
  </si>
  <si>
    <t>榮化</t>
  </si>
  <si>
    <t>高雄市小港區中林路3號</t>
  </si>
  <si>
    <t>中國信託商業銀行</t>
  </si>
  <si>
    <t>中壢區龍岡路三段六十號</t>
  </si>
  <si>
    <t>桃園市中壢區龍岡路三段60號本公司四樓禮堂</t>
  </si>
  <si>
    <t>台北市敦化南路2段99號23樓</t>
  </si>
  <si>
    <t>宜蘭縣蘇澳鎮新城一路120號東鹼股份有限公司蘇澳總廠</t>
  </si>
  <si>
    <t>和益化工</t>
  </si>
  <si>
    <t>台北市南京東路二段二Ｏ六號十四樓</t>
  </si>
  <si>
    <t>首都大飯店15樓紐約廳(台北市建國北路2段7號15樓)</t>
  </si>
  <si>
    <t>和益化學工業股份有限公司</t>
  </si>
  <si>
    <t>東聯</t>
  </si>
  <si>
    <t>台北市復興北路101號13樓</t>
  </si>
  <si>
    <t>亞東證券</t>
  </si>
  <si>
    <t>永光化學</t>
  </si>
  <si>
    <t>台北市敦化南路二段77號5~6樓</t>
  </si>
  <si>
    <t>兆豐證券股務代理部</t>
  </si>
  <si>
    <t>台中市西區梅川西路一段二十三號</t>
  </si>
  <si>
    <t>台中市西屯區惠中路一段111號（台中僑園大飯店）</t>
  </si>
  <si>
    <t>國化</t>
  </si>
  <si>
    <t>台北市忠孝東路四段320號12樓</t>
  </si>
  <si>
    <t>台北市士林區士商路189號(國立臺灣科學教育館B1會議室B)</t>
  </si>
  <si>
    <t>和桐化學</t>
  </si>
  <si>
    <t>新北市五股區中興路一段六號八樓</t>
  </si>
  <si>
    <t>新北市五股區中興路1段6號1樓大廳</t>
  </si>
  <si>
    <t>和桐化學股份有限公司</t>
  </si>
  <si>
    <t>萬洲化學</t>
  </si>
  <si>
    <t>長興材料</t>
  </si>
  <si>
    <t>高雄市三民區建工路578號</t>
  </si>
  <si>
    <t>台北市新生南路一段五十號十樓</t>
  </si>
  <si>
    <t>台北市忠孝東路三段一號（北科大綜合科館地下一樓第三演講廳）</t>
  </si>
  <si>
    <t>生達化學</t>
  </si>
  <si>
    <t>台南市新營區土庫里土庫6-20號</t>
  </si>
  <si>
    <t>台南市新營區開元路154號本公司禮堂</t>
  </si>
  <si>
    <t>台中市大里區仁美路139號</t>
  </si>
  <si>
    <t>台中市大里區仁美路158號本公司大里廠餐廳</t>
  </si>
  <si>
    <t>台北市南京東路二段88號六樓</t>
  </si>
  <si>
    <t>台灣肥料股份有限公司股務組</t>
  </si>
  <si>
    <t>中碳</t>
  </si>
  <si>
    <t>高雄市前鎮區成功二路88號25樓</t>
  </si>
  <si>
    <t>台硝</t>
  </si>
  <si>
    <t>桃園市桃園區中正路1071號19樓</t>
  </si>
  <si>
    <t>元禎</t>
  </si>
  <si>
    <t>台北市民生東路四段五十四號三樓之三</t>
  </si>
  <si>
    <t>華南永昌綜合證券(股)股務代理部</t>
  </si>
  <si>
    <t>永記造漆</t>
  </si>
  <si>
    <t>高雄市小港區沿海三路26號</t>
  </si>
  <si>
    <t>高雄市小港區沿海三路26號本公司三樓會議室</t>
  </si>
  <si>
    <t>中華化學</t>
  </si>
  <si>
    <t>必翔實業</t>
  </si>
  <si>
    <t>新竹縣新豐鄉新豐村2鄰新和路108號</t>
  </si>
  <si>
    <t>新竹縣竹北市縣政八街25號1樓(新竹縣工業會)</t>
  </si>
  <si>
    <t>花仙子</t>
  </si>
  <si>
    <t>台北市承德路三段230號13樓</t>
  </si>
  <si>
    <t>台北市承德路三段230號9樓(華梵大學推廣教育中心)</t>
  </si>
  <si>
    <t>台北市復興北路167號5樓</t>
  </si>
  <si>
    <t>桃園市楊梅區獅二路十號三樓</t>
  </si>
  <si>
    <t>毛寶</t>
  </si>
  <si>
    <t>新竹縣湖口鄉勝利村實踐路19號</t>
  </si>
  <si>
    <t>新竹科學工業園區新竹巿力行五路七號</t>
  </si>
  <si>
    <t>新竹市科學工業園區力行五路七號(本公司101會議室)</t>
  </si>
  <si>
    <t>杏輝藥品</t>
  </si>
  <si>
    <t>宜蘭縣冬山鄉中山村中山路八十四號</t>
  </si>
  <si>
    <t>宜蘭縣冬山鄉中山村新寮路九十五號(訓練中心第一訓練室)</t>
  </si>
  <si>
    <t>日勝化</t>
  </si>
  <si>
    <t>南投市南崗工業區工業南二路七號</t>
  </si>
  <si>
    <t>南投市南崗工業區南崗三路二十一號（南崗工業區服務中心南崗會堂）</t>
  </si>
  <si>
    <t>喬山健康</t>
  </si>
  <si>
    <t>台中市大雅區東大路二段999號</t>
  </si>
  <si>
    <t>台中市大雅區東大路二段999號(本公司B1視廳教室)</t>
  </si>
  <si>
    <t>臺鹽</t>
  </si>
  <si>
    <t>台南市南區健康路一段297號</t>
  </si>
  <si>
    <t>台南市南區健康路一段297號(總公司大禮堂)</t>
  </si>
  <si>
    <t>新北市樹林區東興街一號</t>
  </si>
  <si>
    <t>台北市中正區徐州路2號4樓(台大醫院國際會議中心401室)</t>
  </si>
  <si>
    <t>勝一化工</t>
  </si>
  <si>
    <t>高雄市永安區永工一路5號</t>
  </si>
  <si>
    <t>高雄市永安區永工二路1號(永安工業區服務中心)</t>
  </si>
  <si>
    <t>和康生技</t>
  </si>
  <si>
    <t>(248)新北市五股區五權八路17號</t>
  </si>
  <si>
    <t>新北市勞工活動中心(新北市五股區五工六路9號)</t>
  </si>
  <si>
    <t>第一金證券股份有限公司</t>
  </si>
  <si>
    <t>(80681)高雄市前鎮區高雄加工出口區南六路9號</t>
  </si>
  <si>
    <t>高雄市前鎮區復興四路12號 (高雄軟體科技園區南區綜合大樓A棟中庭交誼廳)</t>
  </si>
  <si>
    <t>台灣神隆</t>
  </si>
  <si>
    <t>南部科學工業園區台南市善化區南科八路一號</t>
  </si>
  <si>
    <t>台玻</t>
  </si>
  <si>
    <t>台北市松山區南京東路三段261號台玻大樓11樓</t>
  </si>
  <si>
    <t>台灣玻璃工業公司 股務課</t>
  </si>
  <si>
    <t>寶徠</t>
  </si>
  <si>
    <t>台北市敦化北路167號17樓</t>
  </si>
  <si>
    <t>台北市林森北路600號(台北華國大飯店-2樓帝國宴會廳)</t>
  </si>
  <si>
    <t>苗栗縣竹南鎮大埔里竹篙厝200-7號</t>
  </si>
  <si>
    <t>苗栗縣竹南鎮大營路93號4樓(苗栗縣竹南鎮農會)</t>
  </si>
  <si>
    <t>潤隆</t>
  </si>
  <si>
    <t>新北市鶯歌區德昌街220號</t>
  </si>
  <si>
    <t>新北市鶯歌區德昌街220號(本公司工廠)</t>
  </si>
  <si>
    <t>中釉</t>
  </si>
  <si>
    <t>新竹縣竹東鎮中興路四段一三六號</t>
  </si>
  <si>
    <t>新竹縣竹北市台元街26號(台元科技會館二樓會議中心)</t>
  </si>
  <si>
    <t>和成</t>
  </si>
  <si>
    <t>台北市內湖區行善路398號1樓</t>
  </si>
  <si>
    <t>凱撒衛浴</t>
  </si>
  <si>
    <t>新北市三重區興德路111號(代表號)R2樓</t>
  </si>
  <si>
    <t>台紙</t>
  </si>
  <si>
    <t>台北市建國北路一段96號10樓</t>
  </si>
  <si>
    <t>台北市中山北路四段16號（劍潭青年活動中心經國紀念堂1樓集賢廳）</t>
  </si>
  <si>
    <t>板橋區民生路一段一號</t>
  </si>
  <si>
    <t>新北市板橋區民生路一段一號地下一樓（正隆麗池國際會議廳）</t>
  </si>
  <si>
    <t>本公司財務部股務課</t>
  </si>
  <si>
    <t>華紙</t>
  </si>
  <si>
    <t>臺北市重慶南路二段51號</t>
  </si>
  <si>
    <t>寶隆</t>
  </si>
  <si>
    <t>雲林縣斗六市十三北路25號</t>
  </si>
  <si>
    <t>雲林縣斗六市萬年路809號（溪洲國小視聽教室）。</t>
  </si>
  <si>
    <t>台北市重慶南路二段51號</t>
  </si>
  <si>
    <t>彰化縣二林鎮廣興里廣興巷1-1號</t>
  </si>
  <si>
    <t>彰化縣二林鎮廣興里廣興巷一之一號（本公司二林廠會議室）</t>
  </si>
  <si>
    <t>高市小港區中鋼路1號</t>
  </si>
  <si>
    <t>本公司中正堂(高雄市小港區中鋼路一號)</t>
  </si>
  <si>
    <t>東和鋼鐵</t>
  </si>
  <si>
    <t>台北市長安東路一段九號六樓</t>
  </si>
  <si>
    <t>苗栗縣西湖鄉二湖村坪頂22號東和鋼鐵企業(股)公司苗栗廠禮堂</t>
  </si>
  <si>
    <t>燁興公司</t>
  </si>
  <si>
    <t>高雄市岡山區白米里寶米路369號</t>
  </si>
  <si>
    <t>高雄市梓官區梓義里進學路57號梓義社區活動中心。</t>
  </si>
  <si>
    <t>燁興公司台北股務課</t>
  </si>
  <si>
    <t>高興昌</t>
  </si>
  <si>
    <t>高雄市中華一路318號</t>
  </si>
  <si>
    <t>高雄市鼓山區中華一路318號(本公司)</t>
  </si>
  <si>
    <t>高興昌鋼鐵股份有限公司</t>
  </si>
  <si>
    <t>第一伸銅</t>
  </si>
  <si>
    <t>高雄巿前金區中正四路170號4樓</t>
  </si>
  <si>
    <t>高雄市小港區沿海一路479號(本公司臨海工廠3樓)</t>
  </si>
  <si>
    <t>春源鋼鐵</t>
  </si>
  <si>
    <t>台北市復興北路502號7樓</t>
  </si>
  <si>
    <t>春源鋼鐵工業股份有限公司財務部</t>
  </si>
  <si>
    <t>春雨</t>
  </si>
  <si>
    <t>高雄市岡山區大寶街100號</t>
  </si>
  <si>
    <t>高雄市岡山區大寶街100號(春雨公司)</t>
  </si>
  <si>
    <t>中鋼構</t>
  </si>
  <si>
    <t>高雄市燕巢區中興路500號</t>
  </si>
  <si>
    <t>825高雄市橋頭區芋寮里芋寮路317號</t>
  </si>
  <si>
    <t>高雄市楠梓區宏毅一路12巷2號(中油宏南訓練教室，捷運R17世運站出口)。</t>
  </si>
  <si>
    <t>豐興鋼鐵</t>
  </si>
  <si>
    <t>台中市后里區甲后路702號</t>
  </si>
  <si>
    <t>台南市民生路二段307號5樓</t>
  </si>
  <si>
    <t>台南市南門路261號(台南市勞工育樂中心第一會議室)</t>
  </si>
  <si>
    <t>美亞鋼管</t>
  </si>
  <si>
    <t>台北市民權東路3段二之1號12樓</t>
  </si>
  <si>
    <t>桃園市楊梅區青年路三號。(中華汽車人力培訓中心)</t>
  </si>
  <si>
    <t>高雄市岡山區新樂街79-1號</t>
  </si>
  <si>
    <t>高雄市橋頭區芋寮路369號</t>
  </si>
  <si>
    <t>燁輝企業股份有限公司台北股務課</t>
  </si>
  <si>
    <t>志聯工業</t>
  </si>
  <si>
    <t>桃園市新屋區中興路480號</t>
  </si>
  <si>
    <t>台南市麻豆區小埤里工業路222號</t>
  </si>
  <si>
    <t>宏遠證券(股)公司</t>
  </si>
  <si>
    <t>大成鋼</t>
  </si>
  <si>
    <t>台南市仁德區新田二街125號</t>
  </si>
  <si>
    <t>威致鋼鐵</t>
  </si>
  <si>
    <t>台南市官田區南部里南部123號</t>
  </si>
  <si>
    <t>盛餘</t>
  </si>
  <si>
    <t>高雄市小港區中林路11號</t>
  </si>
  <si>
    <t>高雄市小港區中林路11號(本公司文康中心 會議室)</t>
  </si>
  <si>
    <t>雲林縣斗六市工業區工業路122號</t>
  </si>
  <si>
    <t>雲林縣斗六市工業區斗工十路7號(雲林縣斗六工業區服務中心)</t>
  </si>
  <si>
    <t>新北市三重區重新路4段97號25樓</t>
  </si>
  <si>
    <t>新鋼工業</t>
  </si>
  <si>
    <t>新北市新莊區大安路8號</t>
  </si>
  <si>
    <t>桃園市大園區大園工業區民生路119號</t>
  </si>
  <si>
    <t>永豐金證券股份有限公司股代部</t>
  </si>
  <si>
    <t>佳大世界</t>
  </si>
  <si>
    <t>台南市永康區鹽行里中正北路三一七巷十六號</t>
  </si>
  <si>
    <t>臺南市勞工育樂中心一樓第二會議室（臺南市南門路二六一號）</t>
  </si>
  <si>
    <t>元大寶來證券公司股務代理部</t>
  </si>
  <si>
    <t>允強</t>
  </si>
  <si>
    <t>彰化縣溪州鄉舊眉村中山路四段二七０號</t>
  </si>
  <si>
    <t>彰化縣溪州鄉中山路四段270號(本公司溪州廠管理大樓五樓會議室)</t>
  </si>
  <si>
    <t>海光企業</t>
  </si>
  <si>
    <t>高雄市小港區沿海二路12號</t>
  </si>
  <si>
    <t>兆豐證券股份有限公司</t>
  </si>
  <si>
    <t>上銀科技</t>
  </si>
  <si>
    <t>台中市南屯區文山里精科路7號</t>
  </si>
  <si>
    <t>台中市安和路129號4樓(台中福華飯店華宴廳)</t>
  </si>
  <si>
    <t>川湖</t>
  </si>
  <si>
    <t>高雄市路竹區順安路275巷136號</t>
  </si>
  <si>
    <t>高雄市路竹區後鄉里順安路299號(本公司地下室)</t>
  </si>
  <si>
    <t>橋椿</t>
  </si>
  <si>
    <t>台中市市政路386號22樓~23樓</t>
  </si>
  <si>
    <t>南港輪胎</t>
  </si>
  <si>
    <t>台北市大安區仁愛路三段136號6樓608室</t>
  </si>
  <si>
    <t>本公司新豐廠(新竹縣新豐鄉員山村新興路399號)</t>
  </si>
  <si>
    <t>泰豐輪胎</t>
  </si>
  <si>
    <t>桃園市中壢區中華路二段369號</t>
  </si>
  <si>
    <t>台北市敦化南路二段95號18樓</t>
  </si>
  <si>
    <t>台北國際會議中心(台北市信義路五段一號)</t>
  </si>
  <si>
    <t>台北市中山北路二段113號8樓</t>
  </si>
  <si>
    <t>正新</t>
  </si>
  <si>
    <t>彰化縣大村鄉黃厝村美港路215號</t>
  </si>
  <si>
    <t>建大</t>
  </si>
  <si>
    <t>中信銀代理部</t>
  </si>
  <si>
    <t>臺北市漢口街一段82號8樓</t>
  </si>
  <si>
    <t>南帝化工</t>
  </si>
  <si>
    <t>高雄市林園區工業一路九號</t>
  </si>
  <si>
    <t>台南市南門路261號台南市勞工育樂中心一樓大會議廳</t>
  </si>
  <si>
    <t>華豐橡膠</t>
  </si>
  <si>
    <t>台北市中山區松江路152號8樓之13</t>
  </si>
  <si>
    <t>鑫永銓</t>
  </si>
  <si>
    <t>南投市南崗工業區南崗三路294號</t>
  </si>
  <si>
    <t>南投市南崗工業區南崗三路294號(本公司會議室)</t>
  </si>
  <si>
    <t>F-六暉</t>
  </si>
  <si>
    <t>彰化縣田中鎮新工五路64號(六暉實業股份有限公司一樓會議室)</t>
  </si>
  <si>
    <t>永豐金證券股務代理部</t>
  </si>
  <si>
    <t>裕隆汽車</t>
  </si>
  <si>
    <t>苗栗縣三義鄉西湖村伯公坑39號之1</t>
  </si>
  <si>
    <t>新北市新店區中興路3段3號圓頂劇場</t>
  </si>
  <si>
    <t>裕隆汽車製造股份有限公司股務組</t>
  </si>
  <si>
    <t>中華汽車</t>
  </si>
  <si>
    <t>台北市敦化南路二段二號十一樓</t>
  </si>
  <si>
    <t>桃園市楊梅區幼獅工業區青年路三號中華汽車人才培訓中心</t>
  </si>
  <si>
    <t>中華汽車工業股份有限公司</t>
  </si>
  <si>
    <t>三陽工業</t>
  </si>
  <si>
    <t>新竹縣湖口鄉鳳山村中華路3號</t>
  </si>
  <si>
    <t>新竹縣湖口鄉三民路19號(本公司活動中心)</t>
  </si>
  <si>
    <t>和泰汽車</t>
  </si>
  <si>
    <t>新北市新莊區明中街10號 (本公司新莊綜合園區大禮堂)</t>
  </si>
  <si>
    <t>台船公司</t>
  </si>
  <si>
    <t>高雄市小港區中鋼路3號</t>
  </si>
  <si>
    <t>高雄市小港區中鋼路3號（台船公司行政大樓大禮堂）</t>
  </si>
  <si>
    <t>裕隆日產</t>
  </si>
  <si>
    <t>苗栗縣三義鄉西湖村伯公坑三十九號之二</t>
  </si>
  <si>
    <t>新北市新店區中興路三段三號圓頂劇場</t>
  </si>
  <si>
    <t>劍麟</t>
  </si>
  <si>
    <t>(221)新北市汐止區新台五路一段98號19樓</t>
  </si>
  <si>
    <t>為升</t>
  </si>
  <si>
    <t>彰化縣福興鄉番婆村彰鹿路六段546巷6號</t>
  </si>
  <si>
    <t>彰化縣福興鄉彰鹿路六段546巷6號(本公司員工餐廳)</t>
  </si>
  <si>
    <t>第一金證券(股)公司股務代理部</t>
  </si>
  <si>
    <t>光寶科技</t>
  </si>
  <si>
    <t>台北市內湖區瑞光路392號22樓</t>
  </si>
  <si>
    <t>台北市內湖區瑞光路392號1樓(光寶科技大樓國際會議中心)</t>
  </si>
  <si>
    <t>光寶科技股份有限公司股務室</t>
  </si>
  <si>
    <t>麗正</t>
  </si>
  <si>
    <t>新北市土城區中山路71號</t>
  </si>
  <si>
    <t>新北市土城區中山路71號(本公司三樓禮堂)</t>
  </si>
  <si>
    <t>新竹科學工業園區新竹市力行二路三號</t>
  </si>
  <si>
    <t>新竹科學工業園區研新一路16號(本公司Fab8S廠會議廳)</t>
  </si>
  <si>
    <t>宏遠證券股份有限公司</t>
  </si>
  <si>
    <t>全友電腦</t>
  </si>
  <si>
    <t>新竹市科學工業園區工業東三路六號</t>
  </si>
  <si>
    <t>新竹市科學工業園區工業東三路6號本公司會議室</t>
  </si>
  <si>
    <t>台達電</t>
  </si>
  <si>
    <t>台北市內湖區瑞光路186號</t>
  </si>
  <si>
    <t>桃園市興隆路18號2樓會議廳</t>
  </si>
  <si>
    <t>高雄市楠梓加工出口區經三路二十六號</t>
  </si>
  <si>
    <t>高雄市楠梓區加昌路600號楠梓加工出口區莊敬堂</t>
  </si>
  <si>
    <t>統一綜合證券(股)公司</t>
  </si>
  <si>
    <t>金寶電子</t>
  </si>
  <si>
    <t>(105)臺北市南京東路五段99號10樓</t>
  </si>
  <si>
    <t>新北市深坑區北深路3段147號。</t>
  </si>
  <si>
    <t>桃園市蘆竹區新莊里大新路814巷91號</t>
  </si>
  <si>
    <t>桃園市蘆竹區新莊里大新路814巷91號本公司</t>
  </si>
  <si>
    <t>台揚科技</t>
  </si>
  <si>
    <t>新竹市科學園區創新二路一號</t>
  </si>
  <si>
    <t>新竹市科學工業園區創新二路一號</t>
  </si>
  <si>
    <t>高雄市楠梓加工出口區開發路37號</t>
  </si>
  <si>
    <t>高雄楠梓加工出口區莊敬堂（地址：高雄市楠梓區加昌路600號）</t>
  </si>
  <si>
    <t>鴻海</t>
  </si>
  <si>
    <t>新北市土城區自由街2號</t>
  </si>
  <si>
    <t>東訊</t>
  </si>
  <si>
    <t>新竹市科學園區研發二路23號</t>
  </si>
  <si>
    <t>台北市中山區民權西路53號15樓</t>
  </si>
  <si>
    <t>集思交通部國際會議中心(台北市杭州南路一段24號5樓)</t>
  </si>
  <si>
    <t>仁寶電腦</t>
  </si>
  <si>
    <t>台北市內湖區瑞光路581號</t>
  </si>
  <si>
    <t>台北市內湖區瑞光路581號本公司地下1樓</t>
  </si>
  <si>
    <t>矽品</t>
  </si>
  <si>
    <t>427台中市潭子區大豐路三段123號</t>
  </si>
  <si>
    <t>國巨</t>
  </si>
  <si>
    <t>新北市新店區寶橋路233-1號3樓</t>
  </si>
  <si>
    <t>新北市深坑區北深路三段265號3樓(台北深坑假日飯店VIP1會議室)</t>
  </si>
  <si>
    <t>元富證券(股)公司</t>
  </si>
  <si>
    <t>新北市新店區安興路97號</t>
  </si>
  <si>
    <t>華泰電子</t>
  </si>
  <si>
    <t>高雄市楠梓加工出口區中三街9號</t>
  </si>
  <si>
    <t>高雄市楠梓區加昌路600號(楠梓加工出口區管理處莊敬堂)</t>
  </si>
  <si>
    <t>台積電</t>
  </si>
  <si>
    <t>新竹科學工業園區新竹市力行六路8號</t>
  </si>
  <si>
    <t>本公司企業總部大樓(新竹市科學工業園區力行六路八號晶圓十二A廠)</t>
  </si>
  <si>
    <t>中國信託商業銀行 代理部</t>
  </si>
  <si>
    <t>精英</t>
  </si>
  <si>
    <t>台北市內湖區堤頂大道二段239號</t>
  </si>
  <si>
    <t>友訊科技</t>
  </si>
  <si>
    <t>台北市內湖區新湖三路289號</t>
  </si>
  <si>
    <t>新竹科學工業園區新竹巿力行路16號</t>
  </si>
  <si>
    <t>台灣科學工業園區科學工業同業公會101大型會議室(新竹科學園區展業一路2號)</t>
  </si>
  <si>
    <t>旺宏電子(股)公司股務室</t>
  </si>
  <si>
    <t>新竹科學工業園區力行五路一號(本公司二廠)</t>
  </si>
  <si>
    <t>新竹市科學工業園區研新一路一號</t>
  </si>
  <si>
    <t>新竹市北區行政大樓禮堂( 地址: 新竹市國華街69號5樓)</t>
  </si>
  <si>
    <t>台中市大雅區科雅一路八號</t>
  </si>
  <si>
    <t>新竹科學工業園區研新三路4號（102會議室）</t>
  </si>
  <si>
    <t>華邦電子股份有限公司股務辦事處</t>
  </si>
  <si>
    <t>智邦科技</t>
  </si>
  <si>
    <t>新竹市科學工業園區研新三路一號</t>
  </si>
  <si>
    <t>新竹市科學工業園區研新三路一號(本公司會議室)</t>
  </si>
  <si>
    <t>聯強國際</t>
  </si>
  <si>
    <t>台北市民生東路3段75號4樓</t>
  </si>
  <si>
    <t>台北市八德路二段260號中影八德大樓3樓演講廳</t>
  </si>
  <si>
    <t>海悅</t>
  </si>
  <si>
    <t>台北市松山區敦化北路260號7樓</t>
  </si>
  <si>
    <t>錸德科技</t>
  </si>
  <si>
    <t>新竹縣湖口鄉光復北路42號</t>
  </si>
  <si>
    <t>新竹縣湖口鄉中華路22號</t>
  </si>
  <si>
    <t>順德</t>
  </si>
  <si>
    <t>彰化市大竹里彰南路二段260號</t>
  </si>
  <si>
    <t>彰化市彰南路2段260號(本公司會議室)</t>
  </si>
  <si>
    <t>桃園市桃園區莊敬路一段300號尊爵大飯店三樓國際廳</t>
  </si>
  <si>
    <t>台北市松山區復興北路369號7樓之5</t>
  </si>
  <si>
    <t>宏碁股份有限公司股務室</t>
  </si>
  <si>
    <t>鴻準</t>
  </si>
  <si>
    <t>新北市土城區中山路3-2號</t>
  </si>
  <si>
    <t>新北市土城區中山路66-1號</t>
  </si>
  <si>
    <t>桃園縣蘆竹鄉內厝村3鄰內厝街46號</t>
  </si>
  <si>
    <t>桃園市蘆竹區錦中里錦溪路99號3樓(錦中里活動中心)</t>
  </si>
  <si>
    <t>英業達</t>
  </si>
  <si>
    <t>北市後港街六十六號</t>
  </si>
  <si>
    <t>華碩</t>
  </si>
  <si>
    <t>台北市北投區立德路15號</t>
  </si>
  <si>
    <t>廷鑫</t>
  </si>
  <si>
    <t>台中市南屯區文心路一段218號23樓之1</t>
  </si>
  <si>
    <t>台中市南屯區大墩六街208號地下一樓</t>
  </si>
  <si>
    <t>所羅門</t>
  </si>
  <si>
    <t>台北市內湖區行忠路四十二號6樓</t>
  </si>
  <si>
    <t>統一證券(股)股務代理部</t>
  </si>
  <si>
    <t>致茂電子</t>
  </si>
  <si>
    <t>桃園市龜山區華亞一路66號(本公司會議室)</t>
  </si>
  <si>
    <t>藍天</t>
  </si>
  <si>
    <t>新北市三重區興德路129號</t>
  </si>
  <si>
    <t>矽統科技</t>
  </si>
  <si>
    <t>新竹市公道五路二段180號</t>
  </si>
  <si>
    <t>新竹市公道五路二段180號(矽統科技大樓)</t>
  </si>
  <si>
    <t>倫飛電腦</t>
  </si>
  <si>
    <t>高雄市大寮區大發工業區華西路31號</t>
  </si>
  <si>
    <t>亞東證券股份有限公司股務代理部</t>
  </si>
  <si>
    <t>昆盈企業</t>
  </si>
  <si>
    <t>新北市三重區重新路五段492號1-8樓</t>
  </si>
  <si>
    <t>珍豪大飯店國際宴會廳(新北市三重區光復路一段67號3樓)</t>
  </si>
  <si>
    <t>新北市土城區中山路4巷3號</t>
  </si>
  <si>
    <t>新北市土城區祖田里活動中心(新北市土城區中央路四段283號之1二樓)</t>
  </si>
  <si>
    <t>燿華電子股務室</t>
  </si>
  <si>
    <t>金像電</t>
  </si>
  <si>
    <t>桃園縣中壢市西園路113號</t>
  </si>
  <si>
    <t>台中市潭子區南二路五之一號</t>
  </si>
  <si>
    <t>台中加工出口區從業員工康樂室（台中市潭子區建國路1號）</t>
  </si>
  <si>
    <t>台北市中山北路3段22號</t>
  </si>
  <si>
    <t>臺北市中山北路3段40號大同大學尚志大樓9樓</t>
  </si>
  <si>
    <t>震旦行</t>
  </si>
  <si>
    <t>台北市信義路五段二號十五樓</t>
  </si>
  <si>
    <t>新北市五股區五權路7巷8號5樓</t>
  </si>
  <si>
    <t>新北市工商發展投資策進會演講廳(新北市新莊區五權一路1號2樓之2)</t>
  </si>
  <si>
    <t>新北市新店區寶橋路235巷1弄2號3樓</t>
  </si>
  <si>
    <t>新北市新店區寶橋路235巷1弄2號1樓 會議室</t>
  </si>
  <si>
    <t>新北市新店區寶強路六號</t>
  </si>
  <si>
    <t>微星科技</t>
  </si>
  <si>
    <t>新北市中和區立德街69號</t>
  </si>
  <si>
    <t>新竹科學園區創新二路2號</t>
  </si>
  <si>
    <t>虹光精密</t>
  </si>
  <si>
    <t>新竹縣新竹科學工業園區研新一路二十號</t>
  </si>
  <si>
    <t>新竹科學園區研新一路20號</t>
  </si>
  <si>
    <t>廣達</t>
  </si>
  <si>
    <t>桃園市龜山區文化里文化二路188號</t>
  </si>
  <si>
    <t>桃園市龜山區文化二路一八八號地下一樓</t>
  </si>
  <si>
    <t>中國信託商業銀行   代理部</t>
  </si>
  <si>
    <t>台光電子</t>
  </si>
  <si>
    <t>桃園巿觀音區觀音工業區大同一路18號</t>
  </si>
  <si>
    <t>桃園巿觀音區大同一路18號本公司會議室</t>
  </si>
  <si>
    <t>群光電子</t>
  </si>
  <si>
    <t>新北市五股區五工六路25號</t>
  </si>
  <si>
    <t>新北市五股區五工六路二十五號(本公司會議室)。</t>
  </si>
  <si>
    <t>精元電腦</t>
  </si>
  <si>
    <t>台中市崇德路二段256號(台中市中科大飯店二樓會議室)</t>
  </si>
  <si>
    <t>威盛電子</t>
  </si>
  <si>
    <t>新北市新店區中正路535號8樓</t>
  </si>
  <si>
    <t>新北市新店區北新路三段205號 (豪鼎大飯店豪景廳)</t>
  </si>
  <si>
    <t>云辰</t>
  </si>
  <si>
    <t>新北市土城區中華路一段50號3樓</t>
  </si>
  <si>
    <t>新北市土城區中華路一段50號5樓</t>
  </si>
  <si>
    <t>正崴</t>
  </si>
  <si>
    <t>新北市土城區中山路18號</t>
  </si>
  <si>
    <t>新北市土城區中央路4段49號2樓</t>
  </si>
  <si>
    <t>億光電子</t>
  </si>
  <si>
    <t>新北市樹林區中華路6之8號</t>
  </si>
  <si>
    <t>新北市三峽區大學路63號(福容大飯店芙蓉廳)</t>
  </si>
  <si>
    <t>研華</t>
  </si>
  <si>
    <t>台北市內湖區瑞光路26巷20弄1號</t>
  </si>
  <si>
    <t>台北市內湖區瑞光路26巷20弄1號B1</t>
  </si>
  <si>
    <t>友通資訊</t>
  </si>
  <si>
    <t>新北市汐止區環河街100號</t>
  </si>
  <si>
    <t>凱基證券 股務代理部</t>
  </si>
  <si>
    <t>新北市新店區民權路108-2號2樓</t>
  </si>
  <si>
    <t>凌陽科技</t>
  </si>
  <si>
    <t>新竹縣科學工業園區創新一路十九號</t>
  </si>
  <si>
    <t>中信銀股務代理部</t>
  </si>
  <si>
    <t>毅嘉科技</t>
  </si>
  <si>
    <t>桃園市龜山區華亞二路268號</t>
  </si>
  <si>
    <t>本公司會議室(桃園市龜山區華亞二路268號)</t>
  </si>
  <si>
    <t>台北縣新店市寶高路7巷3號5樓</t>
  </si>
  <si>
    <t>中信商務會館(新北市新店區中興路三段219-2號)</t>
  </si>
  <si>
    <t>台北市內湖區瑞光路76巷30號</t>
  </si>
  <si>
    <t>國碩科技</t>
  </si>
  <si>
    <t>新竹縣湖口鄉工業一路3號</t>
  </si>
  <si>
    <t>南亞科</t>
  </si>
  <si>
    <t>桃園市龜山區華亞科技園區復興三路669號</t>
  </si>
  <si>
    <t>新竹市科學園區力行二路一號</t>
  </si>
  <si>
    <t>中部科學工業園區管理局會議室（台中市西屯區中科路2號）</t>
  </si>
  <si>
    <t>中華電</t>
  </si>
  <si>
    <t>台北市信義路一段二十一之三號</t>
  </si>
  <si>
    <t>新北市板橋區民族路168號中華電信學院</t>
  </si>
  <si>
    <t>台中市工業區27路3號</t>
  </si>
  <si>
    <t>本公司五樓會議室（台中市工業區工業二十七路二號五樓會議室）</t>
  </si>
  <si>
    <t>精技電腦</t>
  </si>
  <si>
    <t>台北市內湖區新湖二路236號3樓</t>
  </si>
  <si>
    <t>台北市中山北路4段16號(劍潭海外青年活動中心 經國紀念堂2樓 群英堂)</t>
  </si>
  <si>
    <t>錩新</t>
  </si>
  <si>
    <t>台北市中正區忠孝西路一段4號8樓</t>
  </si>
  <si>
    <t>台北市濟南路一段2-1號3樓</t>
  </si>
  <si>
    <t>新北市中和區建一路135號</t>
  </si>
  <si>
    <t>新北市五股區五工五路38-1號</t>
  </si>
  <si>
    <t>新竹市科學園區力行一路1-8號</t>
  </si>
  <si>
    <t>新巨</t>
  </si>
  <si>
    <t>新北市新店區民權路50號10樓</t>
  </si>
  <si>
    <t>建準電機</t>
  </si>
  <si>
    <t>高雄市前鎮區新衙路296巷30號</t>
  </si>
  <si>
    <t>高雄市前鎮區新衙路288-7號6樓之1(員工餐廳)</t>
  </si>
  <si>
    <t>褔邦證券股份有限公司</t>
  </si>
  <si>
    <t>固緯</t>
  </si>
  <si>
    <t>新北市土城區中興路7之1號</t>
  </si>
  <si>
    <t>新北市土城區中興路7-1號（本公司）</t>
  </si>
  <si>
    <t>隴華電子</t>
  </si>
  <si>
    <t>台北市大安區信義路四段279號12樓</t>
  </si>
  <si>
    <t>承啟</t>
  </si>
  <si>
    <t>新北市新店區民權路48-3號3樓</t>
  </si>
  <si>
    <t>新北市新店區北新路三段223號2樓(台北矽谷國際會議中心)</t>
  </si>
  <si>
    <t>苗栗縣竹南鎮仁愛路 1387 號</t>
  </si>
  <si>
    <t>苗栗縣竹南鎮仁愛路1387號4樓</t>
  </si>
  <si>
    <t>三商電腦</t>
  </si>
  <si>
    <t>北市信義路五段150巷2號4樓之3</t>
  </si>
  <si>
    <t>宏遠證券</t>
  </si>
  <si>
    <t>興勤電子</t>
  </si>
  <si>
    <t>高雄市三民區民族一路373巷21號</t>
  </si>
  <si>
    <t>銘旺科</t>
  </si>
  <si>
    <t>桃園縣中壢市中壢工業區自強四路九號</t>
  </si>
  <si>
    <t>桃園市中壢區中壢工業區自強四路九號(本公司會議室)</t>
  </si>
  <si>
    <t>燦坤實業</t>
  </si>
  <si>
    <t>台北市內湖區堤頂大道一段331號3樓</t>
  </si>
  <si>
    <t>台北市內湖區堤頂大道一段331號6樓</t>
  </si>
  <si>
    <t>聯昌電子</t>
  </si>
  <si>
    <t>台北市內湖區南京東路六段501號11樓</t>
  </si>
  <si>
    <t>台北市南港區三重路19-10號2樓</t>
  </si>
  <si>
    <t>互盛電</t>
  </si>
  <si>
    <t>台北市健康路156號3樓</t>
  </si>
  <si>
    <t>統懋</t>
  </si>
  <si>
    <t>台南市新市區中山路76號</t>
  </si>
  <si>
    <t>偉詮電</t>
  </si>
  <si>
    <t>新竹縣科學工業園區工業東九路24號2樓</t>
  </si>
  <si>
    <t>新竹科學園區工業東九路22號3樓(偉詮公司310會議室)</t>
  </si>
  <si>
    <t>高雄市楠梓加工區中二街1號</t>
  </si>
  <si>
    <t>翔耀實業</t>
  </si>
  <si>
    <t>桃園市龜山區楓樹里自強北路17巷31號</t>
  </si>
  <si>
    <t>桃園市龜山區楓樹里自強北路17巷31號2樓</t>
  </si>
  <si>
    <t>台中市南屯區寶山里工業區23路22號</t>
  </si>
  <si>
    <t>太空梭</t>
  </si>
  <si>
    <t>新竹縣芎林鄉五龍村五和街226號</t>
  </si>
  <si>
    <t>本公司新竹廠禮堂(新竹縣芎林鄉五龍村五和街226號)</t>
  </si>
  <si>
    <t>中國信託商業銀行股份有限公司</t>
  </si>
  <si>
    <t>超豐電子</t>
  </si>
  <si>
    <t>苗栗縣竹南鎮公義路136號</t>
  </si>
  <si>
    <t>苗栗縣竹南鎮公義路136號地下室(本公司訓練教室)</t>
  </si>
  <si>
    <t>新美齊</t>
  </si>
  <si>
    <t>台北市114內湖區陽光街300號7樓</t>
  </si>
  <si>
    <t>新竹縣湖口鄉湖口老街108號</t>
  </si>
  <si>
    <t>友旺科技</t>
  </si>
  <si>
    <t>新竹市科學園區研發二路21號1樓</t>
  </si>
  <si>
    <t>新竹科學工業園區新竹市力行五路5號</t>
  </si>
  <si>
    <t>新竹市公道五路二段81號</t>
  </si>
  <si>
    <t>神腦</t>
  </si>
  <si>
    <t>新北市新店區中正路531號2樓</t>
  </si>
  <si>
    <t>桃園市龜山區復興三路500號</t>
  </si>
  <si>
    <t>創見資訊</t>
  </si>
  <si>
    <t>台北市內湖區行忠路70號</t>
  </si>
  <si>
    <t>創見資訊股份有限公司(地址:台北市內湖區行忠路70號)</t>
  </si>
  <si>
    <t>凌群</t>
  </si>
  <si>
    <t>台北市峨眉街115號6樓</t>
  </si>
  <si>
    <t>台北市峨眉街115號B1本公司簡報室</t>
  </si>
  <si>
    <t>聯發科</t>
  </si>
  <si>
    <t>新竹科學工業園區新竹市篤行一路1號</t>
  </si>
  <si>
    <t>新竹科學工業園區篤行一路1號聯發科技(國際會議廳)</t>
  </si>
  <si>
    <t>中國信託商業銀行股務代理部</t>
  </si>
  <si>
    <t>桃園市平鎮區平鎮工業區工業一路16號</t>
  </si>
  <si>
    <t>台新國際商業銀行(股)股務代理部</t>
  </si>
  <si>
    <t>新竹縣湖口鄉德興路301巷29號</t>
  </si>
  <si>
    <t>新竹縣湖口鄉德和路128號（新竹縣湖口鄉和興村集會所）</t>
  </si>
  <si>
    <t>飛宏科技</t>
  </si>
  <si>
    <t>台電訓練所林口核能訓練中心4樓(桃園市龜山區文明路27號)</t>
  </si>
  <si>
    <t>義隆</t>
  </si>
  <si>
    <t>新竹科學工業園區新竹縣創新一路十二號</t>
  </si>
  <si>
    <t>新竹科學園區新竹縣創新一路十二號(本公司一樓會議室)</t>
  </si>
  <si>
    <t>臺北市內湖路1段120巷8號</t>
  </si>
  <si>
    <t>台北市內湖區內湖路一段120巷8號9樓</t>
  </si>
  <si>
    <t>建通精密</t>
  </si>
  <si>
    <t>高雄市路竹區大同路513巷138號</t>
  </si>
  <si>
    <t>光群雷射</t>
  </si>
  <si>
    <t>新竹市科學工業園區力行六路一號</t>
  </si>
  <si>
    <t>新竹市科學工業園區工業東二路1號4樓集思竹科會議中心巴哈廳</t>
  </si>
  <si>
    <t>良得電</t>
  </si>
  <si>
    <t>(22206)新北市深坑區北深路三段272號</t>
  </si>
  <si>
    <t>新北市深坑區北深路3段265號(深坑假日飯店)</t>
  </si>
  <si>
    <t>盟立</t>
  </si>
  <si>
    <t>新竹市科學工業園區研發二路3號</t>
  </si>
  <si>
    <t>麗臺科技</t>
  </si>
  <si>
    <t>新北市中和區建一路166號18樓</t>
  </si>
  <si>
    <t>冠西電</t>
  </si>
  <si>
    <t>新北市中和區建八路2號9樓</t>
  </si>
  <si>
    <t>宜蘭縣冬山鄉廣興村永興路二段九一六號二樓(廣興社區活動中心)</t>
  </si>
  <si>
    <t>志聖工業</t>
  </si>
  <si>
    <t>台北縣林口鄉工二工業區工八路2-1號</t>
  </si>
  <si>
    <t>華經</t>
  </si>
  <si>
    <t>台北市內湖區行愛路78巷25號6樓</t>
  </si>
  <si>
    <t>華經大樓2樓會議室(台北市內湖區行愛路78巷25號2樓)</t>
  </si>
  <si>
    <t>台北市中山北路2段111號3樓</t>
  </si>
  <si>
    <t>台北市中山北路二段111號(雙連大樓八樓804室)</t>
  </si>
  <si>
    <t>立隆電子</t>
  </si>
  <si>
    <t>可成科技</t>
  </si>
  <si>
    <t>台南市永康區仁愛街398號</t>
  </si>
  <si>
    <t>桃園市龍潭區三和里華映路1號</t>
  </si>
  <si>
    <t>中華映管股份有限公司股務辦事處</t>
  </si>
  <si>
    <t>鉅祥</t>
  </si>
  <si>
    <t>桃園市新屋區九斗里8鄰上青埔56號</t>
  </si>
  <si>
    <t>本公司(桃園市新屋區九斗里上青埔56號)</t>
  </si>
  <si>
    <t>美隆電</t>
  </si>
  <si>
    <t>桃園市蘆竹區南山路二段470巷26號</t>
  </si>
  <si>
    <t>敦陽科技</t>
  </si>
  <si>
    <t>新竹市東大路二段83號12F之1</t>
  </si>
  <si>
    <t>新竹市北大路282號(新竹第三信用合作社十三樓會議中心)</t>
  </si>
  <si>
    <t>高雄市岡山區岡山北路24號</t>
  </si>
  <si>
    <t>高雄市前金區成功一路266號9樓(漢來大飯店金鶴廳)</t>
  </si>
  <si>
    <t>連宇</t>
  </si>
  <si>
    <t>新北市土城區自強街15巷1號1樓</t>
  </si>
  <si>
    <t>新北市土城區自強街11巷2號B1(本公司大會議室)</t>
  </si>
  <si>
    <t>百容</t>
  </si>
  <si>
    <t>427台中市潭子區中山路三段111巷1-1號</t>
  </si>
  <si>
    <t>兆赫電子</t>
  </si>
  <si>
    <t>新北市中和區員山路512號7樓</t>
  </si>
  <si>
    <t>新竹縣新竹工業區文化路2號(本公司新竹廠)</t>
  </si>
  <si>
    <t>一詮精密</t>
  </si>
  <si>
    <t>新北市新莊區五工五路17號</t>
  </si>
  <si>
    <t>新北市新莊區五工路95號3樓(新北產業園區服務中心3樓禮堂)</t>
  </si>
  <si>
    <t>漢平</t>
  </si>
  <si>
    <t>台南市仁德區中正路三段256號</t>
  </si>
  <si>
    <t>漢平電子工業股份有限公司生產大樓六樓(台南市仁德區中正路三段256號)</t>
  </si>
  <si>
    <t>新北市中和區連城路268號17樓</t>
  </si>
  <si>
    <t>新北市中和區連城路268號5樓多功能會議廳</t>
  </si>
  <si>
    <t>吉祥全</t>
  </si>
  <si>
    <t>新北市新店區中正路54巷6號</t>
  </si>
  <si>
    <t>桃園市龜山區科技三路80號6樓</t>
  </si>
  <si>
    <t>台北市松智路1號24樓</t>
  </si>
  <si>
    <t>桃園市楊梅區高獅路五六六之一號，本公司楊梅廠員工餐廳</t>
  </si>
  <si>
    <t>華新科技股份有限公司股務辦事處</t>
  </si>
  <si>
    <t>揚博科技</t>
  </si>
  <si>
    <t>台北市信義區松德路171號17樓</t>
  </si>
  <si>
    <t>中壢市東園路57號(中壢工業區服務中心)</t>
  </si>
  <si>
    <t>普安</t>
  </si>
  <si>
    <t>新北市中和區中山路三段102號8樓</t>
  </si>
  <si>
    <t>新北市中和區中正路631號3樓福朋飯店(西北廳)</t>
  </si>
  <si>
    <t>卓越成功</t>
  </si>
  <si>
    <t>怡利電子</t>
  </si>
  <si>
    <t>彰化縣伸港鄉溪底村工東一路37號</t>
  </si>
  <si>
    <t>本公司全興廠員工餐廳(彰化縣伸港鄉全興工業區工東一路37號)</t>
  </si>
  <si>
    <t>桃園市桃園區興華路23號</t>
  </si>
  <si>
    <t>東貝光電</t>
  </si>
  <si>
    <t>新北市三重區光復路一段88-8號10樓</t>
  </si>
  <si>
    <t>國建</t>
  </si>
  <si>
    <t>台北市敦化南路二段二一八號二樓</t>
  </si>
  <si>
    <t>台北市大安區仁愛路四段296號地下一樓國際會議廳</t>
  </si>
  <si>
    <t>台北市內湖區新湖一路8號7樓</t>
  </si>
  <si>
    <t>苗栗縣竹南鎮公館里6鄰68號(竹南廠)。</t>
  </si>
  <si>
    <t>國揚實業</t>
  </si>
  <si>
    <t>台北市民生東路3段49號16樓</t>
  </si>
  <si>
    <t>國軍英雄館（台北市長沙街1段20號七樓凱旋廳）</t>
  </si>
  <si>
    <t>福邦證券(股)股務代理部</t>
  </si>
  <si>
    <t>台北市忠孝東路四段二八五號十三樓</t>
  </si>
  <si>
    <t>新北市萬里區海景路一號（太平洋海灣會館迎曦廳）</t>
  </si>
  <si>
    <t>太平洋建設股份有限公司股務部</t>
  </si>
  <si>
    <t>全坤建</t>
  </si>
  <si>
    <t>台北市內湖區新湖二路329號6樓</t>
  </si>
  <si>
    <t>台北市內湖區新湖二路329號地下一樓</t>
  </si>
  <si>
    <t>龍邦國際</t>
  </si>
  <si>
    <t>北市松山區東興路12號6樓</t>
  </si>
  <si>
    <t>統一證券〈股〉公司股務代理部</t>
  </si>
  <si>
    <t>臺北市八德路四段760號15-16樓</t>
  </si>
  <si>
    <t>台北市八德路2段260號3樓(中影八德大樓會議廳)</t>
  </si>
  <si>
    <t>凱基證券(股)公司</t>
  </si>
  <si>
    <t>台北市和平東路三段131號2樓</t>
  </si>
  <si>
    <t>台北市和平東路三段131號(本公司一樓大廳)</t>
  </si>
  <si>
    <t>京城</t>
  </si>
  <si>
    <t>高雄市苓雅區中正一路120號16樓之2</t>
  </si>
  <si>
    <t>宏璟</t>
  </si>
  <si>
    <t>台北市基隆路一段420號10樓</t>
  </si>
  <si>
    <t>新北市汐止區康寧街751巷13號(日月光國際家飾展覽館)</t>
  </si>
  <si>
    <t>皇普建設</t>
  </si>
  <si>
    <t>台北市中山區民生東路三段51號13樓A1室</t>
  </si>
  <si>
    <t>高雄市成功一路266號(漢來大飯店15F會議中心)</t>
  </si>
  <si>
    <t>台北市內湖區成功路五段460號16樓</t>
  </si>
  <si>
    <t>台北市內湖區成功路五段420巷28號地下一樓。</t>
  </si>
  <si>
    <t>台北市民生東路三段156號19樓之5</t>
  </si>
  <si>
    <t>達工</t>
  </si>
  <si>
    <t>台北市大安區敦化南路二段92號9樓</t>
  </si>
  <si>
    <t>台北市敦化南路二段201號地下一樓(台北遠東國際大飯店)</t>
  </si>
  <si>
    <t>宏普建設</t>
  </si>
  <si>
    <t>台北市敦化南路二段69號16樓</t>
  </si>
  <si>
    <t>聯上開發</t>
  </si>
  <si>
    <t>台北市信義區忠孝東路五段550號10樓</t>
  </si>
  <si>
    <t>基泰建設</t>
  </si>
  <si>
    <t>台北市中正區衡陽路五十一號十樓</t>
  </si>
  <si>
    <t>台北市中正區衡陽路51號11樓(成功廳)</t>
  </si>
  <si>
    <t>櫻花建設</t>
  </si>
  <si>
    <t>台中市西區英才路512號4樓</t>
  </si>
  <si>
    <t>臺中市西區臺灣大道二段218號B1</t>
  </si>
  <si>
    <t>愛山林</t>
  </si>
  <si>
    <t>台北市大安區忠孝東路四段166號11樓之2</t>
  </si>
  <si>
    <t>台北市市民大道一段209號12樓(會議廳)</t>
  </si>
  <si>
    <t>興富發</t>
  </si>
  <si>
    <t>台北市大安區敦化南路二段七十六號八樓</t>
  </si>
  <si>
    <t>皇昌營造</t>
  </si>
  <si>
    <t>台北市中正區重慶南路3段180號</t>
  </si>
  <si>
    <t>台北市農會大禮堂(台北市復興南路一段390號15樓)</t>
  </si>
  <si>
    <t>皇翔</t>
  </si>
  <si>
    <t>台北市博愛路38號8樓</t>
  </si>
  <si>
    <t>106台北市和平東路三段131號6樓</t>
  </si>
  <si>
    <t>日勝</t>
  </si>
  <si>
    <t>台北市大同區市民大道一段209號14樓</t>
  </si>
  <si>
    <t>臺北市基隆路一段333號33樓(台北世界貿易中心聯誼社宴會廳A區)</t>
  </si>
  <si>
    <t>華固建設</t>
  </si>
  <si>
    <t>台北市信義路四段456號7樓</t>
  </si>
  <si>
    <t>台北市基隆路一段333號33樓(台北世界貿易中心)</t>
  </si>
  <si>
    <t>潤弘精密</t>
  </si>
  <si>
    <t>台北市中山區八德路二段308號10樓</t>
  </si>
  <si>
    <t>台北市中山區八德路二段260號3樓中影八德大樓</t>
  </si>
  <si>
    <t>本公司股務</t>
  </si>
  <si>
    <t>台北市復興南路二段237號14樓</t>
  </si>
  <si>
    <t>長榮海運</t>
  </si>
  <si>
    <t>台北市中山區民生東路二段166號</t>
  </si>
  <si>
    <t>桃園市蘆竹區新南路1段163號15樓會議廳</t>
  </si>
  <si>
    <t>股務部</t>
  </si>
  <si>
    <t>台北市大安區復興南路一段368號14樓</t>
  </si>
  <si>
    <t>台北市仁愛路三段160號福華大飯店地下二樓福華廳。</t>
  </si>
  <si>
    <t>裕民</t>
  </si>
  <si>
    <t>台北市敦化南路二段207號29樓</t>
  </si>
  <si>
    <t>榮運</t>
  </si>
  <si>
    <t>桃園市蘆竹區新南路2段100號6樓會議室</t>
  </si>
  <si>
    <t>長榮國際儲運股份有限公司股務部</t>
  </si>
  <si>
    <t>嘉里大榮</t>
  </si>
  <si>
    <t>台北市中正區新生南路一段50號14樓</t>
  </si>
  <si>
    <t>陽明海運</t>
  </si>
  <si>
    <t>基隆市七堵區明德一路271號</t>
  </si>
  <si>
    <t>台北市延平南路142號（三軍軍官俱樂部勝利廳）</t>
  </si>
  <si>
    <t>華航</t>
  </si>
  <si>
    <t>桃園市大園區航站南路一號</t>
  </si>
  <si>
    <t>台北諾富特華航桃園機場飯店(桃園市大園區航站南路1-1號)</t>
  </si>
  <si>
    <t>志信</t>
  </si>
  <si>
    <t>台北市中山區建國北路二段33號12樓</t>
  </si>
  <si>
    <t>基隆長榮桂冠酒店(地址：基隆市中正區中正路62之1號5樓)</t>
  </si>
  <si>
    <t>中航</t>
  </si>
  <si>
    <t>台北市濟南路一段15號9樓</t>
  </si>
  <si>
    <t>新北市汐止區大同路三段二七五號</t>
  </si>
  <si>
    <t>台北市復興南路一段368號8樓</t>
  </si>
  <si>
    <t>台北市仁愛路3段160號福華大飯店地下二樓福華廳</t>
  </si>
  <si>
    <t>萬海</t>
  </si>
  <si>
    <t>台北市松江路136號10樓</t>
  </si>
  <si>
    <t>華南永昌綜合證券(股)公司股務部</t>
  </si>
  <si>
    <t>山隆通運</t>
  </si>
  <si>
    <t>新北市板橋區民生路一段1-2號1樓</t>
  </si>
  <si>
    <t>山隆通運股份有限公司</t>
  </si>
  <si>
    <t>台航</t>
  </si>
  <si>
    <t>台北市濟南路二段29號2~6樓</t>
  </si>
  <si>
    <t>長榮航空</t>
  </si>
  <si>
    <t>桃園市蘆竹區新南路一段376號</t>
  </si>
  <si>
    <t>桃園市蘆竹區新南路一段376號本公司運航大樓17樓會議廳</t>
  </si>
  <si>
    <t>長榮航空股務部</t>
  </si>
  <si>
    <t>漢翔公司</t>
  </si>
  <si>
    <t>台中市西屯區漢翔路1號</t>
  </si>
  <si>
    <t>台中市沙鹿區忠貞路20巷176號（漢翔航太研習園區）</t>
  </si>
  <si>
    <t>F-慧洋</t>
  </si>
  <si>
    <t>台北市仁愛路三段145號2樓（空軍官兵活動中心）</t>
  </si>
  <si>
    <t>新北市中和區圓通路288號</t>
  </si>
  <si>
    <t>萬企</t>
  </si>
  <si>
    <t>台北市峨嵋街52號</t>
  </si>
  <si>
    <t>華園</t>
  </si>
  <si>
    <t>高雄市前金區六合二路279號</t>
  </si>
  <si>
    <t>高雄市六合二路二七九號(本公司一樓竹林廳)</t>
  </si>
  <si>
    <t>台北市中山北路二段63號</t>
  </si>
  <si>
    <t>本公司財務組</t>
  </si>
  <si>
    <t>新竹縣關西鎮仁安里拱子溝六十號</t>
  </si>
  <si>
    <t>新竹縣關西鎮仁安里拱子溝60號（六福村主題遊樂園）</t>
  </si>
  <si>
    <t>第一店</t>
  </si>
  <si>
    <t>台北市南京東路二段六十三號</t>
  </si>
  <si>
    <t>第一華僑大飯店(股)股務課</t>
  </si>
  <si>
    <t>晶華酒店</t>
  </si>
  <si>
    <t>台北市中山北路2段39巷3號1-20樓</t>
  </si>
  <si>
    <t>台北市中山北路2段39巷3號4樓-晶華酒店VIP1</t>
  </si>
  <si>
    <t>遠雄來</t>
  </si>
  <si>
    <t>974花蓮縣壽豐鄉鹽寮村山嶺18號</t>
  </si>
  <si>
    <t>花蓮縣壽豐鄉鹽寮村山嶺18號-花蓮遠雄悅來大飯店會議廳</t>
  </si>
  <si>
    <t>夏都</t>
  </si>
  <si>
    <t>屏東縣恆春鎮省北路40巷2弄15號</t>
  </si>
  <si>
    <t>墾丁夏都沙灘酒店　米開朗基羅會議室(屏東縣恆春鎮墾丁路451號)</t>
  </si>
  <si>
    <t>F-美食</t>
  </si>
  <si>
    <t>台中市南屯區工業23路35號</t>
  </si>
  <si>
    <t>台中市南屯區工業18路29號（新幹線花園酒店）</t>
  </si>
  <si>
    <t>王品</t>
  </si>
  <si>
    <t>臺中市西區臺灣大道二段218號29樓</t>
  </si>
  <si>
    <t>全國大飯店(台中市西區館前路57號B1國際廳會議室)</t>
  </si>
  <si>
    <t>雄獅旅遊</t>
  </si>
  <si>
    <t>台北市內湖區康寧路三段75巷137號2樓(先雲廳)</t>
  </si>
  <si>
    <t>彰化銀行</t>
  </si>
  <si>
    <t>臺中市自由路二段三八號</t>
  </si>
  <si>
    <t>臺北市中山北路2段57號彰化銀行臺北大樓13樓。</t>
  </si>
  <si>
    <t>京城銀行</t>
  </si>
  <si>
    <t>台南市西門路一段506號</t>
  </si>
  <si>
    <t>台南市中西區西門路一段506號14樓大禮堂</t>
  </si>
  <si>
    <t>台中銀行</t>
  </si>
  <si>
    <t>台中市民權路87號</t>
  </si>
  <si>
    <t>台中市西區民權路八十七號十樓大禮堂</t>
  </si>
  <si>
    <t>旺旺保險</t>
  </si>
  <si>
    <t>台北巿大安區忠孝東路四段219號12樓</t>
  </si>
  <si>
    <t>台北市中山北路四段一號圓山飯店二樓敦睦廳</t>
  </si>
  <si>
    <t>國票綜合證券(股)公司股務代理部</t>
  </si>
  <si>
    <t>台北市內湖區堤頂大道二段99號4樓</t>
  </si>
  <si>
    <t>台北市羅斯福路四段85號地下一樓集思會議中心(台大館)蘇格拉底廳</t>
  </si>
  <si>
    <t>台北市敦化北路122號5樓</t>
  </si>
  <si>
    <t>本公司北投訓練中心(台北市北投路二段九號B1)</t>
  </si>
  <si>
    <t>臺北市館前路49號8樓</t>
  </si>
  <si>
    <t>台北市忠孝東路一段12號B2(台北喜來登大飯店喜廳)</t>
  </si>
  <si>
    <t>臺灣企銀</t>
  </si>
  <si>
    <t>台北市塔城街三十號</t>
  </si>
  <si>
    <t>高銀</t>
  </si>
  <si>
    <t>高雄市左營區博愛二路168號</t>
  </si>
  <si>
    <t>高雄市三民區九如一路797號(國立科學工藝博物館南館演講廳)</t>
  </si>
  <si>
    <t>聯邦銀行</t>
  </si>
  <si>
    <t>台北市金華街187號政大公企中心綜合大樓6樓禮堂</t>
  </si>
  <si>
    <t>台灣土地</t>
  </si>
  <si>
    <t>台北市衡陽路51號14樓之1</t>
  </si>
  <si>
    <t>台北國軍英雄館(台北市中正區長沙街1段20號1樓宴會廳)</t>
  </si>
  <si>
    <t>遠東商銀</t>
  </si>
  <si>
    <t>安泰銀行</t>
  </si>
  <si>
    <t>臺北市信義區信義路五段7號16樓、40樓及41樓</t>
  </si>
  <si>
    <t>新北市新莊區中正路80號4樓新莊農會大會堂</t>
  </si>
  <si>
    <t>新產</t>
  </si>
  <si>
    <t>台北市建國北路二段十三號十一樓</t>
  </si>
  <si>
    <t>中再保</t>
  </si>
  <si>
    <t>台北市南京東路二段53號12樓</t>
  </si>
  <si>
    <t>台北市中山南路11號財團法人張榮發基金會10樓1002會議室</t>
  </si>
  <si>
    <t>第一保</t>
  </si>
  <si>
    <t>台北市中正區忠孝東路一段五十四號</t>
  </si>
  <si>
    <t>台北市忠孝東路二段88號地下1樓金融中心大樓第一會議廳</t>
  </si>
  <si>
    <t>統一證券</t>
  </si>
  <si>
    <t>台北市東興路8號1樓</t>
  </si>
  <si>
    <t>台北市松山區東興路8號地下一樓(視聽教室)</t>
  </si>
  <si>
    <t>元富證券</t>
  </si>
  <si>
    <t>台北市大安區敦化南路二段97號22樓</t>
  </si>
  <si>
    <t>元富證券股份有限公司股務代理部</t>
  </si>
  <si>
    <t>三商美邦</t>
  </si>
  <si>
    <t>台北市建國北路二段145號7樓</t>
  </si>
  <si>
    <t>臺灣省台北市信義區松仁路123號</t>
  </si>
  <si>
    <t>富邦金</t>
  </si>
  <si>
    <t>台北市建國南路一段237號</t>
  </si>
  <si>
    <t>國泰金</t>
  </si>
  <si>
    <t>台北市仁愛路四段296號</t>
  </si>
  <si>
    <t>台北市信義區松仁路9號1樓國泰金融會議廳</t>
  </si>
  <si>
    <t>國泰金控行政管理部股務科</t>
  </si>
  <si>
    <t>台北市南京東路五段125號12樓</t>
  </si>
  <si>
    <t>玉山金控</t>
  </si>
  <si>
    <t>台北市松山區民生東路3段117號14樓及115號1樓</t>
  </si>
  <si>
    <t>台北市松山區敦化南路1段66號4樓、10樓、12樓及13樓</t>
  </si>
  <si>
    <t>兆豐金</t>
  </si>
  <si>
    <t>台北市吉林路100號兆豐國際商業銀行吉林大樓頂樓</t>
  </si>
  <si>
    <t>台新金控</t>
  </si>
  <si>
    <t>台北市大安區仁愛路4段118號9、12、13、16、20、21、22及23樓</t>
  </si>
  <si>
    <t>台北市仁愛路四段118號2樓（台新金控大樓）</t>
  </si>
  <si>
    <t>新光金</t>
  </si>
  <si>
    <t>台北市中正區忠孝西路一段66號38樓</t>
  </si>
  <si>
    <t>台北市南京東路二段123號16樓會議室</t>
  </si>
  <si>
    <t>國票金控</t>
  </si>
  <si>
    <t>台北市南京東路二段167號4樓、10樓</t>
  </si>
  <si>
    <t>中華民國農訓協會天母會議中心大會堂 (地址：台北市中山北路七段113號2樓)</t>
  </si>
  <si>
    <t>永豐金控</t>
  </si>
  <si>
    <t>台北市中山區八德路二段306號3樓及6至13樓</t>
  </si>
  <si>
    <t>台北市南京東路3段36號13樓大禮堂</t>
  </si>
  <si>
    <t>臺北市南港區經貿二路168號27樓、29樓</t>
  </si>
  <si>
    <t>台北市中山北路4段1號圓山大飯店12樓大會廳</t>
  </si>
  <si>
    <t>第一金控</t>
  </si>
  <si>
    <t>台北市重慶南路一段30號</t>
  </si>
  <si>
    <t>台北市重慶南路1段30號(第一銀行總行大樓22樓大禮堂)</t>
  </si>
  <si>
    <t>第一銀行信託處</t>
  </si>
  <si>
    <t>欣欣大眾</t>
  </si>
  <si>
    <t>台北市林森北路247號</t>
  </si>
  <si>
    <t>本公司電影院，地址：台北市林森北路247號4樓</t>
  </si>
  <si>
    <t>群益 金鼎證券〈股〉股務代理部</t>
  </si>
  <si>
    <t>遠百</t>
  </si>
  <si>
    <t>新北市板橋區新站路16號18樓</t>
  </si>
  <si>
    <t>台北市民生東路三段一三一號五樓</t>
  </si>
  <si>
    <t>台北市建國北路二段145號</t>
  </si>
  <si>
    <t>台北市建國北路二段一四五號二十樓（三商大樓）</t>
  </si>
  <si>
    <t>高林實</t>
  </si>
  <si>
    <t>台北市105敦化北路201號6樓</t>
  </si>
  <si>
    <t>特力</t>
  </si>
  <si>
    <t>台北市內湖區新湖三路23號6樓</t>
  </si>
  <si>
    <t>台北市內湖區新湖三路23號6樓（本公司六樓大會議廳）</t>
  </si>
  <si>
    <t>統領</t>
  </si>
  <si>
    <t>台北市大安區忠孝東路四段197號10樓之6</t>
  </si>
  <si>
    <t>桃園市中正路61號8樓</t>
  </si>
  <si>
    <t>麗嬰房</t>
  </si>
  <si>
    <t>台北市內湖區陽光街321巷60號</t>
  </si>
  <si>
    <t>台北市內湖區陽光街321巷60號B1教育訓練中心</t>
  </si>
  <si>
    <t>統一超</t>
  </si>
  <si>
    <t>台北市東興路65號2樓</t>
  </si>
  <si>
    <t>台南市永康區中正路301號 教育訓練中心一樓</t>
  </si>
  <si>
    <t>台灣農林</t>
  </si>
  <si>
    <t>台北市南港區115南港軟體工業園區F棟園區街3號15樓</t>
  </si>
  <si>
    <t>桃園市大溪區復興路二段732巷80號大溪老茶廠</t>
  </si>
  <si>
    <t>潤泰全球</t>
  </si>
  <si>
    <t>台北市八德路二段三０八號十三樓之一</t>
  </si>
  <si>
    <t>F-鼎固</t>
  </si>
  <si>
    <t>新北市汐止區康寧街751巷1號(台北聯絡處)</t>
  </si>
  <si>
    <t>台北市信義路五段5號</t>
  </si>
  <si>
    <t>F-淘帝</t>
  </si>
  <si>
    <t>台北市內湖區新湖一路97號2樓</t>
  </si>
  <si>
    <t>台北市大安區敦化南路二段97號B2敦南會議室</t>
  </si>
  <si>
    <t>群益證券股份有限公司股務代理部</t>
  </si>
  <si>
    <t>歐格電子</t>
  </si>
  <si>
    <t>台北市內湖區內湖路一段88號5樓</t>
  </si>
  <si>
    <t>臺北市中山北路四段十六號(劍潭海外青年活動中心志清大樓)</t>
  </si>
  <si>
    <t>健和興</t>
  </si>
  <si>
    <t>彰化縣線西鄉彰濱東三路8號</t>
  </si>
  <si>
    <t>彰化縣線西鄉彰濱東三路八號本公司會議室</t>
  </si>
  <si>
    <t>豐達科技</t>
  </si>
  <si>
    <t>桃園縣平鎮市太平東路5號</t>
  </si>
  <si>
    <t>神基科技</t>
  </si>
  <si>
    <t>新竹科學工業園區新竹縣研發二路1號4樓</t>
  </si>
  <si>
    <t>桃園市龜山區文二一街68號林口福容大飯店3樓珊瑚廳</t>
  </si>
  <si>
    <t>晶豪科技</t>
  </si>
  <si>
    <t>新竹科學工業園區新竹市工業東四路23號</t>
  </si>
  <si>
    <t>新竹市富群街3號新竹日月光大飯店二樓星晨廳</t>
  </si>
  <si>
    <t>大立光</t>
  </si>
  <si>
    <t>台中市南屯區精科路11號</t>
  </si>
  <si>
    <t>台中市烏日區成功西路300號(南山人壽保險股份有限公司教育訓練中心)</t>
  </si>
  <si>
    <t>華立</t>
  </si>
  <si>
    <t>高雄市前金區中正四路235號10樓</t>
  </si>
  <si>
    <t>高雄市前金區中正四路211號5樓(兆豐銀行南區員工訓練中心)</t>
  </si>
  <si>
    <t>新北市新店區寶興路53號</t>
  </si>
  <si>
    <t>晟銘電子</t>
  </si>
  <si>
    <t>台北市內湖區民權東路六段27號2~6F</t>
  </si>
  <si>
    <t>台北維多麗亞酒店(台北市中山區敬業四路168號)</t>
  </si>
  <si>
    <t>新竹科學工業園區新竹縣創新一路13號3樓</t>
  </si>
  <si>
    <t>新竹科學工業園區創新一路9號本公司會議室</t>
  </si>
  <si>
    <t>全漢</t>
  </si>
  <si>
    <t>桃園市婦女館(地址：桃園市桃園區延平路147號)</t>
  </si>
  <si>
    <t>新竹市科學工業園區篤行一路10號</t>
  </si>
  <si>
    <t>奇鋐科技</t>
  </si>
  <si>
    <t>高雄市前鎮區新生路248之27號</t>
  </si>
  <si>
    <t>高雄市前鎮區新生路248之45號(高雄市臨廣加工區國際會議廳)</t>
  </si>
  <si>
    <t>同開科技</t>
  </si>
  <si>
    <t>新北市中和區橋和路122號7樓</t>
  </si>
  <si>
    <t>台北市松江路306號2樓（康華大飯店九龍廳）</t>
  </si>
  <si>
    <t>亞洲光學</t>
  </si>
  <si>
    <t>台中市潭子區台中加工出口區南二路22-3號</t>
  </si>
  <si>
    <t>台中市潭子區台中加工出口區建國路一號3F(經濟部加工出口區管理處台中分處康樂室)</t>
  </si>
  <si>
    <t>鴻名企業</t>
  </si>
  <si>
    <t>台北市東興路59號6樓</t>
  </si>
  <si>
    <t>遠見領袖中心VLC01室(台北市信義區東興路61號1樓)</t>
  </si>
  <si>
    <t>威強電</t>
  </si>
  <si>
    <t>新北市汐止區中興路29號</t>
  </si>
  <si>
    <t>信邦電子</t>
  </si>
  <si>
    <t>苗栗市國華路582號</t>
  </si>
  <si>
    <t>信邦電子股份有限公司員工餐廳（苗栗縣苗栗市國華路582號）</t>
  </si>
  <si>
    <t>憶聲電子</t>
  </si>
  <si>
    <t>桃園市中壢區中園路198號(本公司B1多功能大廳)</t>
  </si>
  <si>
    <t>新竹科學工業園區新安路八號七樓</t>
  </si>
  <si>
    <t>新竹市科學園區同業公會(新竹市展業一路二號會議室)</t>
  </si>
  <si>
    <t>台北市內湖區環山路二段六十二號一樓</t>
  </si>
  <si>
    <t>台北市內湖區內湖路一段91巷17號7樓（珠寶大樓7樓會議室）</t>
  </si>
  <si>
    <t>盛達電業</t>
  </si>
  <si>
    <t>新北市新店區中興路2段192號8樓</t>
  </si>
  <si>
    <t>新北市新店區中興路二段192號16樓(總公司16樓會議室)</t>
  </si>
  <si>
    <t>台北市內湖區新湖二路250巷8號</t>
  </si>
  <si>
    <t>台北市內湖區新湖二路250巷8號8樓(本公司會議室)</t>
  </si>
  <si>
    <t>零壹科技</t>
  </si>
  <si>
    <t>台北市內湖區內湖路一段360巷8號10樓</t>
  </si>
  <si>
    <t>台北市內湖區內湖路一段360巷6號9樓</t>
  </si>
  <si>
    <t>德律科技</t>
  </si>
  <si>
    <t>台北市士林區德行西路45號7樓</t>
  </si>
  <si>
    <t>台北市士林區磺溪街36-1號3樓</t>
  </si>
  <si>
    <t>佰鴻工業</t>
  </si>
  <si>
    <t>新北市板橋區和平路19~25號2樓</t>
  </si>
  <si>
    <t>偉訓科技</t>
  </si>
  <si>
    <t>台南市安南區安和路二段54巷225號</t>
  </si>
  <si>
    <t>本公司大會議室(台南市安南區安和路2段54巷225號)。</t>
  </si>
  <si>
    <t>台北市內湖區內湖路一段308號11樓</t>
  </si>
  <si>
    <t>青青食尚花園會館（台北市士林區至善路二段266巷32號）</t>
  </si>
  <si>
    <t>新竹科學園區創新一路13號2樓</t>
  </si>
  <si>
    <t>新竹科學工業園區篤行一路2號2樓會議室(聯詠科技辦公大樓)</t>
  </si>
  <si>
    <t>新竹科學工業園區力行三路5號</t>
  </si>
  <si>
    <t>文曄科技</t>
  </si>
  <si>
    <t>新北市中和區中正路738號14樓</t>
  </si>
  <si>
    <t>新北市中和區中正路738號18樓</t>
  </si>
  <si>
    <t>欣興電子</t>
  </si>
  <si>
    <t>桃園縣桃園市龜山工業區興邦路38號</t>
  </si>
  <si>
    <t>桃園市桃鶯路398號 住都大飯店</t>
  </si>
  <si>
    <t>宏遠證券股份有限公司(95.3.3起)</t>
  </si>
  <si>
    <t>高雄市高雄加工出口區中一路五號(本公司一樓會議廳)</t>
  </si>
  <si>
    <t>遠見</t>
  </si>
  <si>
    <t>台北市內湖區內湖路一段246號6樓</t>
  </si>
  <si>
    <t>台北市內湖區堤頂大道2段207號1樓 (學學文創志業大樓)</t>
  </si>
  <si>
    <t>台北市北投區中央南路二段十六號四樓</t>
  </si>
  <si>
    <t>新北市中和區連城路246號9樓</t>
  </si>
  <si>
    <t>新北市中和區中山路二段311號2樓(宸上名品飯店)</t>
  </si>
  <si>
    <t>健鼎科技</t>
  </si>
  <si>
    <t>桃園縣平鎮市平鎮工業區工業五路21號</t>
  </si>
  <si>
    <t>台灣大</t>
  </si>
  <si>
    <t>台北市信義區菸廠路88號12樓</t>
  </si>
  <si>
    <t>建碁</t>
  </si>
  <si>
    <t>台北市內湖區新湖一路128巷15號5樓</t>
  </si>
  <si>
    <t>建碁股務室</t>
  </si>
  <si>
    <t>訊舟科技</t>
  </si>
  <si>
    <t>新北市五股區五權三路三號</t>
  </si>
  <si>
    <t>新北市工商展覽中心（新北市五股區五權路一號二樓）</t>
  </si>
  <si>
    <t>益登</t>
  </si>
  <si>
    <t>台北市內湖區基湖路10巷50號8樓</t>
  </si>
  <si>
    <t>台南科學工業園區台南市善化區北園一路7號</t>
  </si>
  <si>
    <t>南部科學工業園區台南市善化區北園一路7號</t>
  </si>
  <si>
    <t>和鑫光電股份有限公司股務辦事處</t>
  </si>
  <si>
    <t>鈺德科技</t>
  </si>
  <si>
    <t>桃園市龜山區華亞二路二二二號</t>
  </si>
  <si>
    <t>力特光電</t>
  </si>
  <si>
    <t>桃園縣平鎮市平東路659巷37號</t>
  </si>
  <si>
    <t>桃園市平鎮區延平路一段168號(南區青少年活動中心)</t>
  </si>
  <si>
    <t>新北市中和區新民街112號4樓</t>
  </si>
  <si>
    <t>新北市中和區新民街112號4樓(本公司會議室)</t>
  </si>
  <si>
    <t>新北市中和區建康路119號4樓</t>
  </si>
  <si>
    <t>新北市中和區中正路716號地下二樓（遠東世紀廣場L棟）</t>
  </si>
  <si>
    <t>蔚華科技</t>
  </si>
  <si>
    <t>新竹市水源街95號</t>
  </si>
  <si>
    <t>總太地產</t>
  </si>
  <si>
    <t>台中市北屯區崇德五路345號(新天地餐廳)</t>
  </si>
  <si>
    <t>喬鼎資訊</t>
  </si>
  <si>
    <t>新竹科學工業園區工業東九路三十號二樓</t>
  </si>
  <si>
    <t>立德電子</t>
  </si>
  <si>
    <t>新北市新店區寶橋路235巷138號8樓</t>
  </si>
  <si>
    <t>新北市新店區寶橋路235巷138號7樓</t>
  </si>
  <si>
    <t>華晶科技</t>
  </si>
  <si>
    <t>新竹市科學工業園區力行路12號</t>
  </si>
  <si>
    <t>桃園市龜山區龍壽里萬壽路1段492-1號10樓之1</t>
  </si>
  <si>
    <t>桃園市桃園區大興西路一段200號(福容大飯店芙蓉廳)</t>
  </si>
  <si>
    <t>建漢科技</t>
  </si>
  <si>
    <t>新竹科學工業園區園區3路99號</t>
  </si>
  <si>
    <t>新竹科學工業園區園區三路99號(建漢科技)</t>
  </si>
  <si>
    <t>新北市新店區中正路四維巷一弄四號一樓</t>
  </si>
  <si>
    <t>本公司一樓會議室(新北市新店區中正路四維巷一弄四號一樓)。</t>
  </si>
  <si>
    <t>聯傑國際</t>
  </si>
  <si>
    <t>新竹科學園區力行六路6號</t>
  </si>
  <si>
    <t>一零四</t>
  </si>
  <si>
    <t>新北市新店區寶中路119-1號10樓</t>
  </si>
  <si>
    <t>一零四資訊科技總公司(新北市新店區寶中路119號3樓)</t>
  </si>
  <si>
    <t>正達國際</t>
  </si>
  <si>
    <t>36647苗栗縣銅鑼鄉中興工業區中興路99號</t>
  </si>
  <si>
    <t>苗栗縣銅鑼鄉中平村29鄰中興路99號(本公司二樓會議室)</t>
  </si>
  <si>
    <t>景岳生技</t>
  </si>
  <si>
    <t>台南科學工業園區台南市善化區南科七路八號</t>
  </si>
  <si>
    <t>大量科技</t>
  </si>
  <si>
    <t>(334) 桃園縣八德市友聯街49號</t>
  </si>
  <si>
    <t>景碩科技</t>
  </si>
  <si>
    <t>本公司石磊廠員工餐廳(桃園市新屋區中華路1245號)</t>
  </si>
  <si>
    <t>台北市內湖區瑞光路360號9樓</t>
  </si>
  <si>
    <t>台北市內湖區瑞光路399號1樓會議室(自由廣場大樓)</t>
  </si>
  <si>
    <t>晟鈦</t>
  </si>
  <si>
    <t>新北市新莊區瓊林南路305巷2號</t>
  </si>
  <si>
    <t>新北市新莊區新樹路222號2樓(新莊勞工中心 多功能集會廳)</t>
  </si>
  <si>
    <t>緯創</t>
  </si>
  <si>
    <t>新竹科學工業園區新竹市新安路5號</t>
  </si>
  <si>
    <t>緯創資通股份有限公司股務室</t>
  </si>
  <si>
    <t>新竹科學工業園區新竹市東區園區二路11號5樓</t>
  </si>
  <si>
    <t>新竹科學園區展業一路2號2樓(台灣科學工業園區科學工業同業公會202會議室)</t>
  </si>
  <si>
    <t>昇陽建設</t>
  </si>
  <si>
    <t>台北市大安區忠孝東路四段289號12樓</t>
  </si>
  <si>
    <t>台北市大安區敦化南路二段97號11樓</t>
  </si>
  <si>
    <t>勝德國際</t>
  </si>
  <si>
    <t>新北市中和區中山路二段407號10樓</t>
  </si>
  <si>
    <t>新北市中和區中山路二段407號10樓(本公司107會議室)</t>
  </si>
  <si>
    <t>昇貿科技</t>
  </si>
  <si>
    <t>桃園縣觀音工業區工業二路12-1號</t>
  </si>
  <si>
    <t>桃園市觀音區工業二路12-1號 (本公司會議室)</t>
  </si>
  <si>
    <t>聯德電子</t>
  </si>
  <si>
    <t>桃園市龜山區科技一路69號</t>
  </si>
  <si>
    <t>新北市淡水區奎柔山路73號</t>
  </si>
  <si>
    <t>閎暉實業股份有限公司股務室</t>
  </si>
  <si>
    <t>弘憶國際</t>
  </si>
  <si>
    <t>台北市內湖區瑞光路188巷51號4樓</t>
  </si>
  <si>
    <t>台北市內湖區成功路五段462號(麗湖大飯店3樓會議廳)</t>
  </si>
  <si>
    <t>群益金鼎證券股份有限公司股代部</t>
  </si>
  <si>
    <t>台北市內湖區民權東路六段13-20號5樓</t>
  </si>
  <si>
    <t>台北市內湖區民權東路六段13-20號5樓（本公司大會議室）</t>
  </si>
  <si>
    <t>泰碩電子</t>
  </si>
  <si>
    <t>(114)台北市內湖區瑞光路302號3樓</t>
  </si>
  <si>
    <t>台北市內湖區瑞光路302號地下二樓(亞洲科技大樓地下二樓交誼廳)</t>
  </si>
  <si>
    <t>奇偶科技</t>
  </si>
  <si>
    <t>台北市內湖區內湖路一段246號9樓</t>
  </si>
  <si>
    <t>新北市汐止區南陽街209號2樓(雍和台北園區C棟)</t>
  </si>
  <si>
    <t>新北市樹林區俊英街一七四號</t>
  </si>
  <si>
    <t>新北市樹林區中正路278號（雙岩龍鳳城餐廳）</t>
  </si>
  <si>
    <t>明泰科技</t>
  </si>
  <si>
    <t>新竹科學工業園區新竹市力行七路8號</t>
  </si>
  <si>
    <t>新竹科學工業園區科技生活館(新竹市科學工業園區工業東二路1號)二樓達爾文廳</t>
  </si>
  <si>
    <t>新世紀</t>
  </si>
  <si>
    <t>南科育成中心國際會議廳(台南市新市區南科二路12號)</t>
  </si>
  <si>
    <t>玉晶光</t>
  </si>
  <si>
    <t>台中市大雅區中部科學工業園區科雅東路一號</t>
  </si>
  <si>
    <t>台中市北屯區后庄路306號(兆品酒店)</t>
  </si>
  <si>
    <t>融程電訊</t>
  </si>
  <si>
    <t>新北市三重區興德路111-6號9樓</t>
  </si>
  <si>
    <t>新北市三重區興德路111之2號9樓(本公司員工教育訓練室)</t>
  </si>
  <si>
    <t>譁裕實業</t>
  </si>
  <si>
    <t>新竹市公道五路二段326號</t>
  </si>
  <si>
    <t>台端</t>
  </si>
  <si>
    <t>新北市中和區中正路880號13樓</t>
  </si>
  <si>
    <t>新北市中和區中正路880號13樓(本公司會議室)</t>
  </si>
  <si>
    <t>榮創</t>
  </si>
  <si>
    <t>新竹縣湖口鄉新竹工業區工業五路13號</t>
  </si>
  <si>
    <t>創意電子</t>
  </si>
  <si>
    <t>新竹科學工業園區新竹市力行六路十號</t>
  </si>
  <si>
    <t>新北市中和區橋安街35號10樓</t>
  </si>
  <si>
    <t>新北市板橋區民生路一段33號B1(正隆廣場辦公大樓國際會議中心)</t>
  </si>
  <si>
    <t>新北市中和區連城路192號6樓</t>
  </si>
  <si>
    <t>新北市中和區連城路192號地下二樓會議室</t>
  </si>
  <si>
    <t>華亞科</t>
  </si>
  <si>
    <t>桃園市龜山區文化里復興三路667號</t>
  </si>
  <si>
    <t>桃園市蘆竹區南崁路1段336號錦興廠區電影院</t>
  </si>
  <si>
    <t>群創光電</t>
  </si>
  <si>
    <t>新竹科學工業園區苗栗縣竹南鎮科學路160號</t>
  </si>
  <si>
    <t>苗栗縣竹南鎮科研路36號3樓(新竹科學工業園區竹南園區行政服務中心大禮堂)</t>
  </si>
  <si>
    <t>誠研科技</t>
  </si>
  <si>
    <t>新北市新店區北新路三段225號9樓</t>
  </si>
  <si>
    <t>維熹科技</t>
  </si>
  <si>
    <t>台北市內湖區新湖三路196號</t>
  </si>
  <si>
    <t>台北市內湖區新湖三路196號1樓</t>
  </si>
  <si>
    <t>揚明光學</t>
  </si>
  <si>
    <t>新竹科學園區新安路7號</t>
  </si>
  <si>
    <t>昱晶能源</t>
  </si>
  <si>
    <t>苗栗縣竹南鎮新竹科學工業園區科北一路21號</t>
  </si>
  <si>
    <t>苗栗縣竹南鎮新竹科學園區科北一路21號(本公司竹南廠)</t>
  </si>
  <si>
    <t>華擎</t>
  </si>
  <si>
    <t>臺北市北投區中央南路二段37號2樓</t>
  </si>
  <si>
    <t>龍邦僑園會館401會議室(台北市北投區泉源路25號)</t>
  </si>
  <si>
    <t>柏騰科技</t>
  </si>
  <si>
    <t>桃園市龜山區文二一街68號(福容大飯店)</t>
  </si>
  <si>
    <t>台北市中山區中山北路三段22號</t>
  </si>
  <si>
    <t>桃園市觀音區觀音工業區工業五路3號(經濟部觀音工業區服務中心三樓禮堂)</t>
  </si>
  <si>
    <t>台勝科</t>
  </si>
  <si>
    <t>台北市敦化北路201號7樓388室</t>
  </si>
  <si>
    <t>台北市敦化北路201號台塑大樓前棟2樓會議室</t>
  </si>
  <si>
    <t>嘉澤端子</t>
  </si>
  <si>
    <t>基隆市安樂區武訓街15號</t>
  </si>
  <si>
    <t>經濟部工業局大武崙兼瑞芳工業區服務中心(基隆市安樂區武訓街59號)</t>
  </si>
  <si>
    <t>晶彩科</t>
  </si>
  <si>
    <t>新竹縣竹北市環北路二段197號</t>
  </si>
  <si>
    <t>新竹縣竹北市光明六路東一段2號新竹縣體育場視聽教室</t>
  </si>
  <si>
    <t>誠創科技</t>
  </si>
  <si>
    <t>台北市敦化北路207號10樓</t>
  </si>
  <si>
    <t>台北市松山區敦化北路240號（交通部運輸研究所大樓國際會議廳）</t>
  </si>
  <si>
    <t>新竹科學工業園區新竹市篤行一路6號4樓及6樓</t>
  </si>
  <si>
    <t>新竹市科學園區工業東二路1號科技生活館會議室(愛因斯坦廳)</t>
  </si>
  <si>
    <t>聯穎</t>
  </si>
  <si>
    <t>新北市中和區建八路16號4樓</t>
  </si>
  <si>
    <t>新北市中和區中正路631號3樓(福朋喜來登飯店)</t>
  </si>
  <si>
    <t>嘉威光電</t>
  </si>
  <si>
    <t>高雄市楠梓區楠梓加工出口區中央路40號</t>
  </si>
  <si>
    <t>新竹市科學園區新安路6號5樓</t>
  </si>
  <si>
    <t>新竹市科學園區科技五路六號五樓（鈺創綜合會議室）</t>
  </si>
  <si>
    <t>新竹縣湖口鄉新竹工業區光復北路16號</t>
  </si>
  <si>
    <t>新竹縣湖口鄉新竹工業區光復北路16號7樓會議室</t>
  </si>
  <si>
    <t>桃園市平鎮區工業五路12號</t>
  </si>
  <si>
    <t>桃園市中壢區民權路398號3樓(古華花園飯店桃風廳)</t>
  </si>
  <si>
    <t>新竹科學工業園區新竹市力行三路7號</t>
  </si>
  <si>
    <t>尚志</t>
  </si>
  <si>
    <t>台北市中山北路三段22號(北設工大樓18樓)</t>
  </si>
  <si>
    <t>日盛證券股務代理部</t>
  </si>
  <si>
    <t>辛耘</t>
  </si>
  <si>
    <t>台北市內湖區瑞光路208號11樓</t>
  </si>
  <si>
    <t>新竹縣湖口鄉中華路14號2樓</t>
  </si>
  <si>
    <t>新北市中和區中正路800號4樓</t>
  </si>
  <si>
    <t>新北市中和區中正路800號10樓(艾笛森光電股份有限公司訓練教室)</t>
  </si>
  <si>
    <t>力銘科技股份有限公司</t>
  </si>
  <si>
    <t>智易科技</t>
  </si>
  <si>
    <t>新竹市東區光復路二段8號8樓</t>
  </si>
  <si>
    <t>新竹市光復路二段8號6樓</t>
  </si>
  <si>
    <t>桃園縣中壢市中正路1274巷48號</t>
  </si>
  <si>
    <t>桃園市中壢區中大路170巷19-5號(新陶芳餐廳)</t>
  </si>
  <si>
    <t>碩天科技</t>
  </si>
  <si>
    <t>台北市南港區成功路一段３２號６樓</t>
  </si>
  <si>
    <t>台北市南港區成功路一段32號 (R樓大會議室)</t>
  </si>
  <si>
    <t>群益金鼎證券股務代理部</t>
  </si>
  <si>
    <t>桃園市觀音區觀音工業區經建五路32號</t>
  </si>
  <si>
    <t>康和綜合證券(股)公司股務代理部</t>
  </si>
  <si>
    <t>新竹縣新埔鎮文德路三段127號</t>
  </si>
  <si>
    <t>新竹縣新埔鎮文德路3段127號二樓會議室</t>
  </si>
  <si>
    <t>健策</t>
  </si>
  <si>
    <t>桃園市龜山區文化里19鄰科技一路40號</t>
  </si>
  <si>
    <t>F- 世芯</t>
  </si>
  <si>
    <t>114 台北市內湖區文湖街12號9樓</t>
  </si>
  <si>
    <t>台北市內湖區堤頂大道二段207號1樓(學學文創志業大樓)</t>
  </si>
  <si>
    <t>F-貿聯</t>
  </si>
  <si>
    <t>新北市中和區建八路2號6樓之1</t>
  </si>
  <si>
    <t>新北市中和區中正路726號A棟B2會議室</t>
  </si>
  <si>
    <t>圓展</t>
  </si>
  <si>
    <t>新北市土城區大安路157號8樓</t>
  </si>
  <si>
    <t>新北市土城區沛陂里三民路4號(經濟部工業局土城工業區服務中心3樓會議室)</t>
  </si>
  <si>
    <t>F-TPK</t>
  </si>
  <si>
    <t>台北市內湖區民權東路六段13之18號(訴訟及非訟代理人聯絡處)</t>
  </si>
  <si>
    <t>新至陞</t>
  </si>
  <si>
    <t>新北市新莊區化成路11巷36號</t>
  </si>
  <si>
    <t>晶宴會館新莊館(新北市新莊區思源路40號，B劇場)</t>
  </si>
  <si>
    <t>亞太電信</t>
  </si>
  <si>
    <t>桃園市觀音區大潭三路12巷2號(桃園市桃科、環科及大潭產業園區聯合服務中心2樓)</t>
  </si>
  <si>
    <t>海華科技</t>
  </si>
  <si>
    <t>新北市新店區寶中路94號8樓</t>
  </si>
  <si>
    <t>新北市新店區北新路三段213號2樓</t>
  </si>
  <si>
    <t>隆達</t>
  </si>
  <si>
    <t>新竹科學工業園區新竹市工業東三路三號</t>
  </si>
  <si>
    <t>新竹市科學工業園區工業東二路一號</t>
  </si>
  <si>
    <t>大眾投控</t>
  </si>
  <si>
    <t>台北市內湖區陽光街300號1至9樓</t>
  </si>
  <si>
    <t>台北市內湖區港墘路221巷21號2F中華民國電梯協會會議室</t>
  </si>
  <si>
    <t>大聯大</t>
  </si>
  <si>
    <t>台北市南港區成功路一段76號B1(會議廳)</t>
  </si>
  <si>
    <t>欣陸投控</t>
  </si>
  <si>
    <t>臺北市大安區敦化南路二段九十五號</t>
  </si>
  <si>
    <t>台北市敦化南路一段108號地下二樓 (富邦國際會議中心)</t>
  </si>
  <si>
    <t>新竹科學園區新竹縣創新二路六號</t>
  </si>
  <si>
    <t>新竹科學工業園區新竹縣創新二路六號B1演講廳。</t>
  </si>
  <si>
    <t>台中市大甲區中山路一段1191號</t>
  </si>
  <si>
    <t>台北市南港區南港路一段209號B棟8樓</t>
  </si>
  <si>
    <t>新竹科學工業園區展業一路2號1樓101會議室</t>
  </si>
  <si>
    <t>新北市中和區中正路880號17樓</t>
  </si>
  <si>
    <t>雃博</t>
  </si>
  <si>
    <t>新北巿土城區民生街九號</t>
  </si>
  <si>
    <t>元富證券股份有限公司股務代理</t>
  </si>
  <si>
    <t>台北市復興北路167號5樓之1</t>
  </si>
  <si>
    <t>旭富製藥</t>
  </si>
  <si>
    <t>桃園市蘆竹區海湖里16鄰186之2號</t>
  </si>
  <si>
    <t>桃園市蘆竹區海湖里16鄰186之2號(本公司辦公大樓2樓)</t>
  </si>
  <si>
    <t>台北市內湖區洲子街108號9樓</t>
  </si>
  <si>
    <t>F-麗豐</t>
  </si>
  <si>
    <t>台北市信義區松仁路107號10樓</t>
  </si>
  <si>
    <t>F - 龍燈</t>
  </si>
  <si>
    <t>國光生技</t>
  </si>
  <si>
    <t>427台中市潭子區潭興路一段3號</t>
  </si>
  <si>
    <t>台中市潭子區潭興路一段3號( 本公司台中廠區)</t>
  </si>
  <si>
    <t>F-康聯</t>
  </si>
  <si>
    <t>台北市松山區敦化北路100號2樓(王朝大酒店貴賓軒)</t>
  </si>
  <si>
    <t>承業醫</t>
  </si>
  <si>
    <t>台北市中山區長春路366號6樓</t>
  </si>
  <si>
    <t>台北市松山區復興北路57號13樓之4</t>
  </si>
  <si>
    <t>苗栗縣竹南鎮農會四樓禮堂(苗栗縣竹南鎮大營路九十三號)</t>
  </si>
  <si>
    <t>利勤實業</t>
  </si>
  <si>
    <t>雲林縣斗六市斗工十二路5號</t>
  </si>
  <si>
    <t>東台</t>
  </si>
  <si>
    <t>高雄市路竹區路科三路三號</t>
  </si>
  <si>
    <t>瑞智精密</t>
  </si>
  <si>
    <t>桃園市觀音區成功路二段943號</t>
  </si>
  <si>
    <t>拓凱</t>
  </si>
  <si>
    <t>(408)台中市南屯區工業區20路18號</t>
  </si>
  <si>
    <t>國精化學</t>
  </si>
  <si>
    <t>高雄市永安區維新里永工五路2號</t>
  </si>
  <si>
    <t>信昌化</t>
  </si>
  <si>
    <t>台北市中山北路二段113號九樓</t>
  </si>
  <si>
    <t>台泥大樓三樓士敏廳(台北市中山北路二段113號3樓)</t>
  </si>
  <si>
    <t>上緯企業</t>
  </si>
  <si>
    <t>南投市工業南六路9號</t>
  </si>
  <si>
    <t>南投市南崗三路21號(南崗工業區服務中心南崗會館)</t>
  </si>
  <si>
    <t>華廣</t>
  </si>
  <si>
    <t>台中市南區大慶街二段100號</t>
  </si>
  <si>
    <t>台耀</t>
  </si>
  <si>
    <t>三福化工</t>
  </si>
  <si>
    <t>(10405)台北市中山北路二段21號5樓</t>
  </si>
  <si>
    <t>遠傳</t>
  </si>
  <si>
    <t>台北市敦化南路二段207號28樓</t>
  </si>
  <si>
    <t>台北國軍英雄館(台北市長沙街一段20號)</t>
  </si>
  <si>
    <t>新竹縣湖口鄉新竹工業區中華路15-1號</t>
  </si>
  <si>
    <t>新竹縣新竹工業區大智路一巷79號(中華公園活動中心會議室)</t>
  </si>
  <si>
    <t>致伸</t>
  </si>
  <si>
    <t>台北市內湖區瑞光路669號</t>
  </si>
  <si>
    <t>事欣科</t>
  </si>
  <si>
    <t>新唐科技</t>
  </si>
  <si>
    <t>新竹科學工業園區研新三路4號</t>
  </si>
  <si>
    <t>新竹科學工業園區研新三路4號(102會議室)</t>
  </si>
  <si>
    <t>中國信託商業銀行(股)公司代理部</t>
  </si>
  <si>
    <t>燦星網通</t>
  </si>
  <si>
    <t>台北市內湖區堤頂大道一段333號6樓</t>
  </si>
  <si>
    <t>太極能源</t>
  </si>
  <si>
    <t>桃園市中壢區復興里中壢工業區自強一路5號</t>
  </si>
  <si>
    <t>F-茂林</t>
  </si>
  <si>
    <t>桃園市中壢區民權路三段1149號</t>
  </si>
  <si>
    <t>和碩</t>
  </si>
  <si>
    <t>台北市北投區立功街76號5樓</t>
  </si>
  <si>
    <t>龍邦僑園會館僑光樓(台北市北投區泉源路25號)</t>
  </si>
  <si>
    <t>嘉彰</t>
  </si>
  <si>
    <t>凌通科技</t>
  </si>
  <si>
    <t>新竹市科學工業園區工業東四路19號</t>
  </si>
  <si>
    <t>新竹科學工業園區工業東二路一號(科學園區科技生活館)牛頓廳</t>
  </si>
  <si>
    <t>光鋐</t>
  </si>
  <si>
    <t>台南科學工業園區台南市新市區創業路2號5樓</t>
  </si>
  <si>
    <t>富邦證券股份有限公司股務代理部</t>
  </si>
  <si>
    <t>F-臻鼎</t>
  </si>
  <si>
    <t>桃園市大園區三石里三和路28巷6號</t>
  </si>
  <si>
    <t>桃園市大園區三石里三和路5號2樓(大園區三石里社區發展協會)</t>
  </si>
  <si>
    <t>奇美材料</t>
  </si>
  <si>
    <t>74148台南市善化區木柵港西路13號</t>
  </si>
  <si>
    <t>台南市新市區中心東路12號(樹谷生活科學館多媒體視聽室)</t>
  </si>
  <si>
    <t>佳凌</t>
  </si>
  <si>
    <t>台中市潭子區台中加工出口區建國路24號</t>
  </si>
  <si>
    <t>F-眾達</t>
  </si>
  <si>
    <t>F-科納</t>
  </si>
  <si>
    <t>傳奇</t>
  </si>
  <si>
    <t>台北市松山區復興北路99號15樓（(牛牛牛)亞會議中心）</t>
  </si>
  <si>
    <t>(221)新北市汐止區康寧街169巷29-1號10樓-1</t>
  </si>
  <si>
    <t>新北市汐止區大同路一段128號(富信大飯店3樓如意廳)</t>
  </si>
  <si>
    <t>三星科技</t>
  </si>
  <si>
    <t>台南市歸仁區南興里中山路三段355-6號1F</t>
  </si>
  <si>
    <t>本公司交誼廳【地址：台南市歸仁區南興里中山路三段355號】</t>
  </si>
  <si>
    <t>新北市新店區民權路100號15樓</t>
  </si>
  <si>
    <t>新北市新店區中興路三段219-2號2樓(中信商務會館)</t>
  </si>
  <si>
    <t>F-科嘉</t>
  </si>
  <si>
    <t>新北市中和區連城路168號8樓</t>
  </si>
  <si>
    <t>日盛證券股份有限公司股務代理部</t>
  </si>
  <si>
    <t>F-東科</t>
  </si>
  <si>
    <t>集思台大會議中心拉斐爾廳(地址：台北市羅斯福路4段85號B1)</t>
  </si>
  <si>
    <t>達興</t>
  </si>
  <si>
    <t>臺中市西屯區科園一路15號</t>
  </si>
  <si>
    <t>台中市西屯區科園路21號(朝陽科技大學推廣教育中心)</t>
  </si>
  <si>
    <t>F-乙盛</t>
  </si>
  <si>
    <t>新北市土城區中央路四段2號12樓之3</t>
  </si>
  <si>
    <t>新北市土城區三民路4號3樓，土城工業區服務中心</t>
  </si>
  <si>
    <t>清惠</t>
  </si>
  <si>
    <t>新竹縣湖口鄉成功路1300號</t>
  </si>
  <si>
    <t>F-鎧勝</t>
  </si>
  <si>
    <t>台北市北投區立德路120巷11號2樓(訴訟及非訟代理人聯絡處)</t>
  </si>
  <si>
    <t>祥碩科技</t>
  </si>
  <si>
    <t>新北市新店區民權路115號6樓</t>
  </si>
  <si>
    <t>中信商務會館會議室(新北市新店區中興路三段219-2號)</t>
  </si>
  <si>
    <t>界霖</t>
  </si>
  <si>
    <t>高雄市楠梓加工出口區中央路43號</t>
  </si>
  <si>
    <t>F-豐祥</t>
  </si>
  <si>
    <t>新北市新莊區中正路708之2號5樓</t>
  </si>
  <si>
    <t>新莊勞工中心二樓集會廳（新北市新莊區新樹路222號)</t>
  </si>
  <si>
    <t>敦南科技</t>
  </si>
  <si>
    <t>敦南科技股份有限公司股務室</t>
  </si>
  <si>
    <t>中磊電子</t>
  </si>
  <si>
    <t>台北市園區街3-1號8樓</t>
  </si>
  <si>
    <t>苗栗縣竹南鎮友義路77號</t>
  </si>
  <si>
    <t>崇越科技</t>
  </si>
  <si>
    <t>台北市內湖區堤頂大道二段483號6樓</t>
  </si>
  <si>
    <t>瀚宇博德</t>
  </si>
  <si>
    <t>桃園市觀音區工業四路9號B1(本公司員工活動中心)</t>
  </si>
  <si>
    <t>瀚宇博德股份有限公司股務辦事處</t>
  </si>
  <si>
    <t>松翰科技</t>
  </si>
  <si>
    <t>新竹縣竹北市台元街36號10樓之1</t>
  </si>
  <si>
    <t>台元科技園區-劇場式會議中心(新竹縣竹北市台元街26號2樓)</t>
  </si>
  <si>
    <t>慧友電子</t>
  </si>
  <si>
    <t>新北市汐止區新台五路一段79號12樓之1</t>
  </si>
  <si>
    <t>福邦證券(股)有限公司</t>
  </si>
  <si>
    <t>建國工程</t>
  </si>
  <si>
    <t>台北市敦化南路二段67號20樓</t>
  </si>
  <si>
    <t>隆大營建</t>
  </si>
  <si>
    <t>高雄市前鎮區民權二路380號18樓之1</t>
  </si>
  <si>
    <t>高雄市前鎮區民權二路6號26樓之2會議室</t>
  </si>
  <si>
    <t>台北市市民大道四段102號8樓</t>
  </si>
  <si>
    <t>遠雄建設</t>
  </si>
  <si>
    <t>台北市信義區松高路1號29樓</t>
  </si>
  <si>
    <t>台北市信義區松高路1號32樓(本公司國際會議廳)</t>
  </si>
  <si>
    <t>順天建設</t>
  </si>
  <si>
    <t>台中市文心路二段201號3樓</t>
  </si>
  <si>
    <t>台中市西屯區文心路二段201號B2F（順天經貿廣場國際廳）</t>
  </si>
  <si>
    <t>鄉林建設</t>
  </si>
  <si>
    <t>台中市西區台灣大道二段408號</t>
  </si>
  <si>
    <t>台中市博館路八十八號十三樓國際會議廳</t>
  </si>
  <si>
    <t>皇鼎建設</t>
  </si>
  <si>
    <t>台北市敦化南路一段294號3樓</t>
  </si>
  <si>
    <t>新北市汐止區大同路一段一二八號三樓（富信大飯店台北店 會議廳）</t>
  </si>
  <si>
    <t>長虹</t>
  </si>
  <si>
    <t>台北市北平東路30號11樓</t>
  </si>
  <si>
    <t>F-東明</t>
  </si>
  <si>
    <t>高雄市岡山區中山北路140號15樓(訴訟及非訟代理人聯絡處)</t>
  </si>
  <si>
    <t>遠雄港</t>
  </si>
  <si>
    <t>台北市信義區松高路1號23樓</t>
  </si>
  <si>
    <t>桃園市大園區航翔路101號(貨運站大樓五樓訓練教室)</t>
  </si>
  <si>
    <t>四維航業</t>
  </si>
  <si>
    <t>台北市105松山區復興北路167號16樓</t>
  </si>
  <si>
    <t>王朝大酒店 貴賓軒７、８、９區 （地址：台北市敦化北路100號2樓）</t>
  </si>
  <si>
    <t>鳳凰旅遊</t>
  </si>
  <si>
    <t>台北市長安東路一段25號4樓</t>
  </si>
  <si>
    <t>台北市羅斯福路一段7號9樓(律師公會會館)</t>
  </si>
  <si>
    <t>F-中租</t>
  </si>
  <si>
    <t>台北市內湖區瑞光路362號(訴訟及非訟代理人聯絡處)</t>
  </si>
  <si>
    <t>台北市內湖區瑞光路399號2樓(自由廣場會議中心國際演藝廳)</t>
  </si>
  <si>
    <t>合庫金</t>
  </si>
  <si>
    <t>台北市中正區館前路77號</t>
  </si>
  <si>
    <t>F-台南</t>
  </si>
  <si>
    <t>台北市中正區杭州南路一段15-1號15樓</t>
  </si>
  <si>
    <t>台南市歸仁區中山路三段320號(台南企業股份有限公司會議室)</t>
  </si>
  <si>
    <t>F-大洋</t>
  </si>
  <si>
    <t>台北市大安區復興南路二段237號13樓(訴訟及非訴訟代理人聯絡處)</t>
  </si>
  <si>
    <t>台北市大安區建國南路二段231號(文化大學推廣建國本部表演廳)</t>
  </si>
  <si>
    <t>北市松仁路101號4樓</t>
  </si>
  <si>
    <t>台北市長興街75號中華經濟研究院蔣碩傑國際會議廳</t>
  </si>
  <si>
    <t>競國實業</t>
  </si>
  <si>
    <t>新北巿樹林區俊英街84巷6號</t>
  </si>
  <si>
    <t>新北巿板橋區大觀路三段240號（崑崙公園活動中心）</t>
  </si>
  <si>
    <t>台北市114內湖路一段516號10樓</t>
  </si>
  <si>
    <t>臺北市內湖區洲子街12號2樓（內湖科技園區服務大樓2樓會議場地）</t>
  </si>
  <si>
    <t>鎰勝</t>
  </si>
  <si>
    <t>桃園市龜山區大華里頂湖路50號</t>
  </si>
  <si>
    <t>永豐金証券(股)公司股務代理部</t>
  </si>
  <si>
    <t>台北市信義區松智路1號26樓</t>
  </si>
  <si>
    <t>瀚宇彩晶(股)公司內湖大樓(臺北市內湖區行善路168巷15號1樓)</t>
  </si>
  <si>
    <t>瀚宇彩晶股份有限公司股務辦事處</t>
  </si>
  <si>
    <t>迎廣科技</t>
  </si>
  <si>
    <t>達運</t>
  </si>
  <si>
    <t>台中市大雅區民生路3段313巷45號</t>
  </si>
  <si>
    <t>中部科學工業園區管理局行政大樓1樓101會議室(台中市西屯區中科路2號)</t>
  </si>
  <si>
    <t>上福全球</t>
  </si>
  <si>
    <t>台中市梧棲區自強路50號</t>
  </si>
  <si>
    <t>台中市梧棲區自強路280號(關連工業區管理中心)</t>
  </si>
  <si>
    <t>新北市中和區立德街199號3樓</t>
  </si>
  <si>
    <t>金橋科技</t>
  </si>
  <si>
    <t>新北市深坑區北深路三段270巷6號3樓</t>
  </si>
  <si>
    <t>台北深坑假日飯店(新北市深坑區北深路3段265號3樓)</t>
  </si>
  <si>
    <t>新北市新店區寶強路6-3號5樓</t>
  </si>
  <si>
    <t>崇光女中(地址：新北市新店區三民路19號文萃樓B1 演藝廳)</t>
  </si>
  <si>
    <t>亞翔工程</t>
  </si>
  <si>
    <t>新北市汐止區大同路一段175號14樓</t>
  </si>
  <si>
    <t>新竹縣湖口鄉仁愛路9號</t>
  </si>
  <si>
    <t>柏承科技</t>
  </si>
  <si>
    <t>台北市大安區基隆路二段一一二號一二樓</t>
  </si>
  <si>
    <t>桃園市蘆竹區坑口里大有街33號</t>
  </si>
  <si>
    <t>友勁科技</t>
  </si>
  <si>
    <t>台北市內湖區新湖一路276號</t>
  </si>
  <si>
    <t>勁永國際</t>
  </si>
  <si>
    <t>新北市土城區中央路四段49號8樓</t>
  </si>
  <si>
    <t>新北市土城區中央路四段49號(2樓會議室)</t>
  </si>
  <si>
    <t>百一電子</t>
  </si>
  <si>
    <t>桃園市中壢區東園路69號</t>
  </si>
  <si>
    <t>桃園市中壢區東園路六十九號(百一電子員工餐廳)</t>
  </si>
  <si>
    <t>新北市樹林區博愛街248號</t>
  </si>
  <si>
    <t>本公司台北營運總部(新北巿樹林區博愛街248號)</t>
  </si>
  <si>
    <t>鈞寶</t>
  </si>
  <si>
    <t>桃園市平鎮區南豐路269號</t>
  </si>
  <si>
    <t>華興電子</t>
  </si>
  <si>
    <t>新北市新店區中正路542-5號5樓</t>
  </si>
  <si>
    <t>捷泰精密</t>
  </si>
  <si>
    <t>凌華科技</t>
  </si>
  <si>
    <t>新北市中和區建一路166號9樓</t>
  </si>
  <si>
    <t>新北市中和區建一路166號9樓(本公司訓練教室)</t>
  </si>
  <si>
    <t>宏齊科技</t>
  </si>
  <si>
    <t>新竹市中華路五段522巷18號</t>
  </si>
  <si>
    <t>互億科技</t>
  </si>
  <si>
    <t>新竹市水利路21號</t>
  </si>
  <si>
    <t>新竹市科學園區工業東二路1號</t>
  </si>
  <si>
    <t>瑞儀光電</t>
  </si>
  <si>
    <t>高雄市前鎮區高雄加工出口區中六路一號</t>
  </si>
  <si>
    <t>瑞儀光電股份有限公司(高雄市高雄加工出口區中二路2號地下一樓)</t>
  </si>
  <si>
    <t>達麗</t>
  </si>
  <si>
    <t>台北市中山區民生東路二段143號8樓</t>
  </si>
  <si>
    <t>關貿</t>
  </si>
  <si>
    <t>台北市南港區三重路19-13號6樓</t>
  </si>
  <si>
    <t>大豐電</t>
  </si>
  <si>
    <t>新北市土城區中華路二段207號5樓</t>
  </si>
  <si>
    <t>新北市板橋區中山路一段161號5樓(新北市政府階梯會議室0511室)</t>
  </si>
  <si>
    <t>豐藝電子</t>
  </si>
  <si>
    <t>臺北市內湖區環山路一段32號4樓</t>
  </si>
  <si>
    <t>台北市內湖區環山路一段32號三樓(會議室)</t>
  </si>
  <si>
    <t>精成科技</t>
  </si>
  <si>
    <t>新北市新店區民權路48-3號4樓</t>
  </si>
  <si>
    <t>精成科技股份有限公司股務辦事處</t>
  </si>
  <si>
    <t>巨路國際</t>
  </si>
  <si>
    <t>台北市南港區園區街3之1號12樓</t>
  </si>
  <si>
    <t>台北市南港區三重路19-11號E棟4樓（南港軟體育成中心會議室）</t>
  </si>
  <si>
    <t>帆宣科技</t>
  </si>
  <si>
    <t>台北市南港區園區街3-2號6樓</t>
  </si>
  <si>
    <t>臺北市南港區園區街3號3樓(視廳會議中心)</t>
  </si>
  <si>
    <t>新北市中和區建一路176號9樓</t>
  </si>
  <si>
    <t>亞弘電</t>
  </si>
  <si>
    <t>台南市安定區中沙里沙崙35號</t>
  </si>
  <si>
    <t>台南市安定區中沙里沙崙35號(本公司)</t>
  </si>
  <si>
    <t>盛群</t>
  </si>
  <si>
    <t>新竹市科學工業園區研新二路三號</t>
  </si>
  <si>
    <t>詮欣</t>
  </si>
  <si>
    <t>新北市汐止區大同路三段194號6樓</t>
  </si>
  <si>
    <t>新北市汐止區大同路三段196號世界經貿大樓C棟R2樓</t>
  </si>
  <si>
    <t>飛捷</t>
  </si>
  <si>
    <t>台北市內湖區行愛路168號</t>
  </si>
  <si>
    <t>台北市南港區三重路19-11號E棟4樓(南港軟體園區育成中心)</t>
  </si>
  <si>
    <t>今國光學</t>
  </si>
  <si>
    <t>台中市梧棲區向上路九段562巷91號</t>
  </si>
  <si>
    <t>台中市梧棲區經一路32號（本公司中港分公司四樓會議室）</t>
  </si>
  <si>
    <t>新竹縣新埔鎮內立里大魯閣路17號(員工餐廳)</t>
  </si>
  <si>
    <t>精誠資訊</t>
  </si>
  <si>
    <t>台北市內湖區瑞光路318號</t>
  </si>
  <si>
    <t>自由廣場會議中心(地址：台北市內湖區瑞光路399號2樓國際演藝廳)</t>
  </si>
  <si>
    <t>和椿科技</t>
  </si>
  <si>
    <t>台北市內湖區洲子街60號1樓</t>
  </si>
  <si>
    <t>台北市內湖區瑞光路399號。（自由廣場會議中心1樓東側門）</t>
  </si>
  <si>
    <t>新竹縣湖口鄉新竹工業區復興路26號</t>
  </si>
  <si>
    <t>新竹縣湖口鄉鳳山村復興路26號（本公司視聽室）</t>
  </si>
  <si>
    <t>聚鼎</t>
  </si>
  <si>
    <t>新竹科學園區工業東四路24之1號</t>
  </si>
  <si>
    <t>新竹市科學工業園區工業東二路１號4樓 集思竹科會議中心-巴哈廳(科技生活館)</t>
  </si>
  <si>
    <t>天瀚</t>
  </si>
  <si>
    <t>新竹科學工業園區新竹縣園區二路58號2樓</t>
  </si>
  <si>
    <t>新竹科學工業園區展業一路2號(台灣科學工業園區科學工業同業公會203會議室)</t>
  </si>
  <si>
    <t>光鼎電子</t>
  </si>
  <si>
    <t>新北市三重區興德路123-1號12樓</t>
  </si>
  <si>
    <t>新北市三重區興德路123-1號R樓。</t>
  </si>
  <si>
    <t>華孚科技</t>
  </si>
  <si>
    <t>桃園市平鎮區太平東路1號5樓</t>
  </si>
  <si>
    <t>新竹縣湖口鄉新竹工業區大同路10號</t>
  </si>
  <si>
    <t>新竹縣新豐鄉新興路一號 (明新科技大學鴻超樓國際會議廳)</t>
  </si>
  <si>
    <t>新竹科學園區新竹市展業一路9號4樓之1</t>
  </si>
  <si>
    <t>新竹科學工業園區展業一路2號（園區同業公會202會議室）</t>
  </si>
  <si>
    <t>定穎電子</t>
  </si>
  <si>
    <t>新竹縣竹東鎮北興路1段436號</t>
  </si>
  <si>
    <t>新竹縣竹東鎮新生路377號 (樹杞林文化館)</t>
  </si>
  <si>
    <t>台郡科技</t>
  </si>
  <si>
    <t>高雄市大寮區大發工業區莒光一街23號</t>
  </si>
  <si>
    <t>同欣電子</t>
  </si>
  <si>
    <t>台北市延平南路83號6樓</t>
  </si>
  <si>
    <t>桃園市桃鶯路398號(住都大飯店住祥廳)</t>
  </si>
  <si>
    <t>宏正科</t>
  </si>
  <si>
    <t>新北市汐止區大同路二段125號3樓</t>
  </si>
  <si>
    <t>新北市汐止區大同路二段一二五號四樓博物館</t>
  </si>
  <si>
    <t>台表科</t>
  </si>
  <si>
    <t>全國電</t>
  </si>
  <si>
    <t>新北市淡水區淡金路三段159號</t>
  </si>
  <si>
    <t>淳安電子</t>
  </si>
  <si>
    <t>新北市中和區員山路504號8樓之5</t>
  </si>
  <si>
    <t>啟碁科技</t>
  </si>
  <si>
    <t>新竹科學工業園區園區二路20號</t>
  </si>
  <si>
    <t>啟碁科技股務室</t>
  </si>
  <si>
    <t>華上光電</t>
  </si>
  <si>
    <t>新竹縣湖口鄉鳳山村光復北路119號</t>
  </si>
  <si>
    <t>新北市鶯歌區鶯桃路658巷16號</t>
  </si>
  <si>
    <t>華上光電股份有限公司股務部</t>
  </si>
  <si>
    <t>悅城科技</t>
  </si>
  <si>
    <t>旭隼</t>
  </si>
  <si>
    <t>11494台北市內湖區新湖一路151號5樓</t>
  </si>
  <si>
    <t>台北市內湖區堤頂大道一段327號2樓(莉蓮會館)</t>
  </si>
  <si>
    <t>群光電能</t>
  </si>
  <si>
    <t>新北市五股區五權五路2號</t>
  </si>
  <si>
    <t>華南永昌綜合證券(股)公司</t>
  </si>
  <si>
    <t>樺漢科技</t>
  </si>
  <si>
    <t>(235)新北市中和區建康路10號4至6樓</t>
  </si>
  <si>
    <t>F-矽力</t>
  </si>
  <si>
    <t>新北市中和區板南路663號14樓</t>
  </si>
  <si>
    <t>新北市中和區中正路631號(福朋酒店三樓會議廳)</t>
  </si>
  <si>
    <t>F-君耀</t>
  </si>
  <si>
    <t>新北市土城區忠承路105號3樓</t>
  </si>
  <si>
    <t>台北市忠孝東路2段95號13樓(兆豐證券大樓)</t>
  </si>
  <si>
    <t>臺南市安平區永華路二段248號21樓~6</t>
  </si>
  <si>
    <t>鈺邦科技</t>
  </si>
  <si>
    <t>新竹科學工業園區管理局竹南科學園區行政服務中心二樓202職訓教室(苗栗縣竹南鎮科研路36號二樓)</t>
  </si>
  <si>
    <t>F-訊芯</t>
  </si>
  <si>
    <t>台北市信義區光復南路495號</t>
  </si>
  <si>
    <t>F-康友</t>
  </si>
  <si>
    <t>南六</t>
  </si>
  <si>
    <t>高雄市橋頭區筆秀里筆秀路88號</t>
  </si>
  <si>
    <t>高雄市橋頭區筆秀路88號(本公司二樓會議室)</t>
  </si>
  <si>
    <t>台塑石化</t>
  </si>
  <si>
    <t>台北市敦化北路201號後棟4樓377室</t>
  </si>
  <si>
    <t>帝寶工業</t>
  </si>
  <si>
    <t>彰化縣鹿港鎮頭南里南勢巷20-3號</t>
  </si>
  <si>
    <t>復興航空</t>
  </si>
  <si>
    <t>彰化市平和七街66號</t>
  </si>
  <si>
    <t>新北市新莊區五權三路12巷3號</t>
  </si>
  <si>
    <t>經濟部工業局新北產業園區服務中心三樓禮堂(地址：新北市新莊區五工路95號)</t>
  </si>
  <si>
    <t>矽創電子</t>
  </si>
  <si>
    <t>新竹縣竹北市台元一街5號11樓之1</t>
  </si>
  <si>
    <t>新竹縣竹北市台元一街3號2樓(台元科技園區三期多功能會議室)</t>
  </si>
  <si>
    <t>新北市樹林區佳園路三段203號</t>
  </si>
  <si>
    <t>雷虎科技</t>
  </si>
  <si>
    <t>台中巿工業區六路七號</t>
  </si>
  <si>
    <t>台虹科技</t>
  </si>
  <si>
    <t>高雄市前鎮區高雄加工出口區環區三路一號</t>
  </si>
  <si>
    <t>南電</t>
  </si>
  <si>
    <t>桃園市蘆竹區南崁路1段338號本公司錦興廠</t>
  </si>
  <si>
    <t>南亞電路板股份有限公司股務科</t>
  </si>
  <si>
    <t>長華電材</t>
  </si>
  <si>
    <t>高雄市楠梓加工出口區東七街16號6樓</t>
  </si>
  <si>
    <t>陞泰</t>
  </si>
  <si>
    <t>台北市南港區三重路19-11號E棟10樓</t>
  </si>
  <si>
    <t>臺北市南港區三重路19-11號E棟4樓</t>
  </si>
  <si>
    <t>致新</t>
  </si>
  <si>
    <t>新竹市科學園區工業東三路2號</t>
  </si>
  <si>
    <t>新竹市科學園區工業東三路2號2樓(本公司員工餐廳)</t>
  </si>
  <si>
    <t>華冠通訊</t>
  </si>
  <si>
    <t>台北市內湖區瑞湖街58號12樓之一</t>
  </si>
  <si>
    <t>新北市鶯歌區鶯桃路658巷16號。</t>
  </si>
  <si>
    <t>新北市淡水區中正東路一段3巷9號9樓</t>
  </si>
  <si>
    <t>新北市淡水區中正東路二段91號2樓(成旅晶贊飯店-星空廳)</t>
  </si>
  <si>
    <t>凌巨</t>
  </si>
  <si>
    <t>苗栗縣頭份鎮蘆竹里4鄰工業路15號</t>
  </si>
  <si>
    <t>華東</t>
  </si>
  <si>
    <t>高雄市高雄加工出口區北一路18號</t>
  </si>
  <si>
    <t>高雄市高雄加工出口區北一路18號本公司5樓會議室</t>
  </si>
  <si>
    <t>華東科技股份有限公司股務辦事處</t>
  </si>
  <si>
    <t>至上電子</t>
  </si>
  <si>
    <t>台北市內湖區港墘路189號7樓</t>
  </si>
  <si>
    <t>麗湖大飯店（地址：台北市內湖區成功路5段462號3樓）</t>
  </si>
  <si>
    <t>振樺電子</t>
  </si>
  <si>
    <t>新北市五股區五權路6號</t>
  </si>
  <si>
    <t>新北市五股區五工六路9號4樓(新北市勞工活動中心)</t>
  </si>
  <si>
    <t>福懋科技</t>
  </si>
  <si>
    <t>雲林縣斗六市榴中里河南街329號</t>
  </si>
  <si>
    <t>雲林縣斗六市石榴路317號福懋興業股份有限公司簡報室。</t>
  </si>
  <si>
    <t>福懋科技股份有限公司股務科</t>
  </si>
  <si>
    <t>南茂科技</t>
  </si>
  <si>
    <t>新竹科學工業園區新竹縣研發一路一號</t>
  </si>
  <si>
    <t>新竹科學園區科技生活館(新竹市科學園區工業東二路1號二樓愛因斯坦廳)</t>
  </si>
  <si>
    <t>達方電子</t>
  </si>
  <si>
    <t>住都大飯店（桃園市桃鶯路398號）</t>
  </si>
  <si>
    <t>無敵</t>
  </si>
  <si>
    <t>台北市內湖區瑞光路513巷36號10樓</t>
  </si>
  <si>
    <t>台北市內湖區瑞光路399號1樓(自由廣場會議中心)</t>
  </si>
  <si>
    <t>勤誠興業</t>
  </si>
  <si>
    <t>新北市中和區建一路150號15樓</t>
  </si>
  <si>
    <t>新北市中和區中正路726號A棟地下二樓遠東世紀廣場第一期管理委員會管理服務中心</t>
  </si>
  <si>
    <t>桃園市平鎮區南豐路261號2樓(平鎮工業區管理中心會議室)</t>
  </si>
  <si>
    <t>明基材料</t>
  </si>
  <si>
    <t>寶一科技</t>
  </si>
  <si>
    <t>台南市新營區新工路二十八號新營工業區服務中心地下一樓大會議室</t>
  </si>
  <si>
    <t>台南市新營區新工路13巷1號</t>
  </si>
  <si>
    <t>菱光科技</t>
  </si>
  <si>
    <t>台北市內湖區南京東路六段501號9樓</t>
  </si>
  <si>
    <t>台北市內湖區行善路168巷15號1樓(多功能集會廳)</t>
  </si>
  <si>
    <t>台北市內湖區瑞光路108號2樓</t>
  </si>
  <si>
    <t>台元科技園區第三期多功能會議室(新竹縣竹北市台元一街N棟會館2樓)</t>
  </si>
  <si>
    <t>宇瞻科技</t>
  </si>
  <si>
    <t>新北市土城區大安里忠承路32號1樓</t>
  </si>
  <si>
    <t>日友</t>
  </si>
  <si>
    <t>雲林縣元長鄉元東路1之20號</t>
  </si>
  <si>
    <t>雲林縣元長鄉元東路1-20號(本公司會議室)</t>
  </si>
  <si>
    <t>羅昇</t>
  </si>
  <si>
    <t>新北市三重區光復路一段83巷7號2樓</t>
  </si>
  <si>
    <t>新北市三重區光復路一段67號（珍豪大飯店）</t>
  </si>
  <si>
    <t>F-百和</t>
  </si>
  <si>
    <t>和美農民活動中心(彰化縣和美鎮彰美路5段256號4樓)</t>
  </si>
  <si>
    <t>F-福貞</t>
  </si>
  <si>
    <t>台中市西區館前路57號B1樓(全國大飯店)</t>
  </si>
  <si>
    <t>可寧衛</t>
  </si>
  <si>
    <t>高雄縣岡山鎮民族路15號1樓</t>
  </si>
  <si>
    <t>高雄市岡山區本工路17號（岡山本洲產業園區服務中心集會堂）</t>
  </si>
  <si>
    <t>台新國際商銀(股)公司股務代理部</t>
  </si>
  <si>
    <t>F-基勝</t>
  </si>
  <si>
    <t>新北市新店區民權路95號16樓</t>
  </si>
  <si>
    <t>新北市新店區北新路三段213號2樓(台北矽谷II國際會議中心-2D廳)</t>
  </si>
  <si>
    <t>F-金麗</t>
  </si>
  <si>
    <t>台北市松山區民生東路三段128號9樓之1(台灣辦事處)</t>
  </si>
  <si>
    <t>(104)台北市中山區松江路168號5樓</t>
  </si>
  <si>
    <t>富邦媒</t>
  </si>
  <si>
    <t>台北市內湖區洲子街96號4樓</t>
  </si>
  <si>
    <t>台汽電</t>
  </si>
  <si>
    <t>北市內湖區瑞光路392號6樓</t>
  </si>
  <si>
    <t>台北市內湖區瑞光路392號1樓國際會議廳</t>
  </si>
  <si>
    <t>新天地</t>
  </si>
  <si>
    <t>台中市東區旱溪東路1段456號</t>
  </si>
  <si>
    <t>台中市北屯區崇德五路三四五號三樓會議廳</t>
  </si>
  <si>
    <t>高力</t>
  </si>
  <si>
    <t>桃園縣中壢市中壢工業區吉林北路2號</t>
  </si>
  <si>
    <t>F-鈺齊</t>
  </si>
  <si>
    <t>臺灣雲林縣斗六市雲科路三段76號(訴訟及非訴訟代理人聯絡處)</t>
  </si>
  <si>
    <t>台北市中正區延平南路七十五號二、三樓</t>
  </si>
  <si>
    <t>台北市長沙街一段二十號二樓國軍英雄館二樓百合廳</t>
  </si>
  <si>
    <t>寶成工業</t>
  </si>
  <si>
    <t>台中市西屯區台灣大道四段600號</t>
  </si>
  <si>
    <t>台北市松江路293之805號</t>
  </si>
  <si>
    <t>新北市泰山區明志路3段533號中國製罐大樓五樓</t>
  </si>
  <si>
    <t>欣巴巴</t>
  </si>
  <si>
    <t>高雄市前鎮區民權二路6號27樓</t>
  </si>
  <si>
    <t>統一實業</t>
  </si>
  <si>
    <t>台南市永康區蔦松里中正北路837號</t>
  </si>
  <si>
    <t>台南市永康區中正北路837號(本公司七樓會議廳)</t>
  </si>
  <si>
    <t>統一證券股務代理部</t>
  </si>
  <si>
    <t>大台北</t>
  </si>
  <si>
    <t>台北市南京東路2段123號新光人壽大樓16樓大會議室</t>
  </si>
  <si>
    <t>元富證券(股)公司股務代理部</t>
  </si>
  <si>
    <t>豐泰企業</t>
  </si>
  <si>
    <t>雲林縣斗六市科工八路52號</t>
  </si>
  <si>
    <t>本公司（雲林縣斗六市科工八路52號）</t>
  </si>
  <si>
    <t>台灣櫻花</t>
  </si>
  <si>
    <t>台中市大雅區雅潭路4段436號</t>
  </si>
  <si>
    <t>台中市大雅區雅潭路四段436號（本公司大雅廠）</t>
  </si>
  <si>
    <t>台北市南港區園區街3之1號五樓之1</t>
  </si>
  <si>
    <t>台北市南港區三重路19-11號E棟4樓(南港軟體育成中心)</t>
  </si>
  <si>
    <t>彰化縣大村鄉美港村美港路116號</t>
  </si>
  <si>
    <t>彰化縣大村鄉美港村美港路116號(本公司美利達大樓四樓R02會議室)</t>
  </si>
  <si>
    <t>中保</t>
  </si>
  <si>
    <t>台北市鄭州路139號6樓</t>
  </si>
  <si>
    <t>彰化市平和七街66號(彰化縣文化局南北管音樂戲曲館)</t>
  </si>
  <si>
    <t>新北市永和區永和路一段100號</t>
  </si>
  <si>
    <t>新北市中和區錦和路388號3樓(晶豪樓)。</t>
  </si>
  <si>
    <t>台南市佳里區民安里同安寮77-1號</t>
  </si>
  <si>
    <t>台南市將軍區三吉里8鄰三吉66-1號(本公司口寮廠)</t>
  </si>
  <si>
    <t>巨大機械</t>
  </si>
  <si>
    <t>台中市大甲區順帆路19號</t>
  </si>
  <si>
    <t>台灣福興</t>
  </si>
  <si>
    <t>高雄市岡山區本洲里育才路88號</t>
  </si>
  <si>
    <t>本洲工業區服務中心二樓集會堂(高雄市岡山區本工路17號)</t>
  </si>
  <si>
    <t>新光保全</t>
  </si>
  <si>
    <t>台北市內湖區行愛路128號</t>
  </si>
  <si>
    <t>新海瓦斯</t>
  </si>
  <si>
    <t>新北市三重區力行路一段52號(通訊地址)</t>
  </si>
  <si>
    <t>泰銘</t>
  </si>
  <si>
    <t>高雄市大寮區莒光三街六號</t>
  </si>
  <si>
    <t>高雄圓山大飯店休閒中心一樓貴賓廳(高雄市鳥松區圓山路2號)</t>
  </si>
  <si>
    <t>台北市南港區重陽路118號</t>
  </si>
  <si>
    <t>台北市南港區重陽路118號本公司第二大廈地下二樓Ａ棚</t>
  </si>
  <si>
    <t>秋雨</t>
  </si>
  <si>
    <t>桃園市龜山區文化一路五十三號二樓（林口工業區服務中心）</t>
  </si>
  <si>
    <t>中聯資源</t>
  </si>
  <si>
    <t>80661高雄市前鎮區成功二路88號22樓</t>
  </si>
  <si>
    <t>高雄市前鎮區一心一路243號4樓之1(工業技術研究院南部學習中心)</t>
  </si>
  <si>
    <t>中鼎工程</t>
  </si>
  <si>
    <t>台北市中山北路六段89號</t>
  </si>
  <si>
    <t>台北市中山北路七段113號沃田旅店國際會議廳</t>
  </si>
  <si>
    <t>成霖企業</t>
  </si>
  <si>
    <t>台中市潭子區(台中加工出口區)建國路22號</t>
  </si>
  <si>
    <t>臺中市潭子區(臺中加工出口區)建國路1號3樓</t>
  </si>
  <si>
    <t>彰化縣福興鄉沿海路四段三七三號</t>
  </si>
  <si>
    <t>彰化縣福興鄉沿海路四段373號</t>
  </si>
  <si>
    <t>全國</t>
  </si>
  <si>
    <t>台北市羅斯福路六段140號4樓</t>
  </si>
  <si>
    <t>台北市大安區長興街75號(中華經濟研究院一樓蔣碩傑會議廳)</t>
  </si>
  <si>
    <t>台灣百和</t>
  </si>
  <si>
    <t>彰化縣和美鎮好修里和港路575號</t>
  </si>
  <si>
    <t>宏全</t>
  </si>
  <si>
    <t>台中市工業區2路6號</t>
  </si>
  <si>
    <t>台中市工業區2路6號三樓(本公司國際會議廳)</t>
  </si>
  <si>
    <t>信義房屋</t>
  </si>
  <si>
    <t>台北市信義區信義路五段一００號</t>
  </si>
  <si>
    <t>台大醫院國際會議中心(地址: 台北市徐州路2號)</t>
  </si>
  <si>
    <t>裕融企業</t>
  </si>
  <si>
    <t>台北市敦化南路二段二號十五樓</t>
  </si>
  <si>
    <t>新北市新店區中興路三段3號圓頂劇場</t>
  </si>
  <si>
    <t>裕融企業股份有限公司股務室</t>
  </si>
  <si>
    <t>茂順</t>
  </si>
  <si>
    <t>南投市南崗工業區工業路336號</t>
  </si>
  <si>
    <t>南投縣南投市南崗工業區工業路336號(本公司一樓大廳)</t>
  </si>
  <si>
    <t>好樂迪</t>
  </si>
  <si>
    <t>台北市信義區忠孝東路5段293號4樓</t>
  </si>
  <si>
    <t>迪廣國際股份有限公司(台北市林森北路312號2樓)</t>
  </si>
  <si>
    <t>新麗企業</t>
  </si>
  <si>
    <t>桃園市八德區聯華街41號</t>
  </si>
  <si>
    <t>潤泰創新</t>
  </si>
  <si>
    <t>台北市八德路二段三０八號十一樓之一</t>
  </si>
  <si>
    <t>三發地產</t>
  </si>
  <si>
    <t>台北市松山區八德路3段30號12樓</t>
  </si>
  <si>
    <t>佳龍</t>
  </si>
  <si>
    <t>桃園市觀音區源遠街1號3樓</t>
  </si>
  <si>
    <t>世紀鋼構</t>
  </si>
  <si>
    <t>桃園市觀音區中山路1段1119號(本公司2F會議室)</t>
  </si>
  <si>
    <t>F-鮮活</t>
  </si>
  <si>
    <t>耐斯王子大飯店（嘉義市忠孝路600號5F）</t>
  </si>
  <si>
    <t>F-其祥</t>
  </si>
  <si>
    <t>台北市中山區松江路51號8樓</t>
  </si>
  <si>
    <t>安心</t>
  </si>
  <si>
    <t>台北市中山區松江路156-1號8樓</t>
  </si>
  <si>
    <t>德麥</t>
  </si>
  <si>
    <t>新北市五股區五權五路31號</t>
  </si>
  <si>
    <t>新北市五股區五工六路9號(新北市勞工中心3樓A會議室)</t>
  </si>
  <si>
    <t>新北市新莊區化成路203號</t>
  </si>
  <si>
    <t>台翰</t>
  </si>
  <si>
    <t>新北市工商展覽中心（新北市五股工業區五權路一號2樓A廳）</t>
  </si>
  <si>
    <t>精華光學</t>
  </si>
  <si>
    <t>新北市汐止區大同路一段276之2號4、5樓</t>
  </si>
  <si>
    <t>新北市汐止區大同路三段196號R2樓(世界經貿中心會議室)</t>
  </si>
  <si>
    <t>捷邦</t>
  </si>
  <si>
    <t>新竹縣關西鎮深坑子3-1號</t>
  </si>
  <si>
    <t>濱川</t>
  </si>
  <si>
    <t>高雄市大寮區大發工業區興業路二號</t>
  </si>
  <si>
    <t>高雄市大寮區大發工業區華中路一號三樓(大發工業區活動中心禮堂)</t>
  </si>
  <si>
    <t>力肯實業</t>
  </si>
  <si>
    <t>新北市八里區博物館路81號</t>
  </si>
  <si>
    <t>新北市八里區中山路一段95號二樓「大埤頂社區活動中心」</t>
  </si>
  <si>
    <t>新麥企業</t>
  </si>
  <si>
    <t>台北市復興南路一段342號9樓之4</t>
  </si>
  <si>
    <t>新北市五股區五工六路9號5樓503室(新北市勞工活動中心)</t>
  </si>
  <si>
    <t>精剛精密</t>
  </si>
  <si>
    <t>台南市柳營區工一路15號(環保科技園區)</t>
  </si>
  <si>
    <t>台南市柳營區工一路15號 本公司1樓會議室</t>
  </si>
  <si>
    <t>和勤精機</t>
  </si>
  <si>
    <t>F-駿吉</t>
  </si>
  <si>
    <t>台中市北區中清路一段521號(通豪大飯店)</t>
  </si>
  <si>
    <t>祺驊</t>
  </si>
  <si>
    <t>新竹縣湖口鄉德興路231號</t>
  </si>
  <si>
    <t>新竹縣湖口鄉德興路231號(本公司員工餐廳)</t>
  </si>
  <si>
    <t>川寶科技</t>
  </si>
  <si>
    <t>直得</t>
  </si>
  <si>
    <t>74145 台南市南部科學工業園區新市區大利一路3號</t>
  </si>
  <si>
    <t>台南市新市區南部科學工業園區南科3路26號2樓之1(南科公會大樓)</t>
  </si>
  <si>
    <t>宏佳騰</t>
  </si>
  <si>
    <t>台南市山上區南洲里南洲41號</t>
  </si>
  <si>
    <t>台南科學工業園區南科三路26號2F之1</t>
  </si>
  <si>
    <t>嘉義縣民雄工業區中正路一號</t>
  </si>
  <si>
    <t>嘉義縣民雄鄉福樂村中正路68號(民雄工業區服務中心)</t>
  </si>
  <si>
    <t>南光</t>
  </si>
  <si>
    <t>台南市新化區中山路1001號</t>
  </si>
  <si>
    <t>生泰</t>
  </si>
  <si>
    <t>台南市新營區開元路168號</t>
  </si>
  <si>
    <t>台南市新營區開元路168號(本公司會議室)</t>
  </si>
  <si>
    <t>合世生醫</t>
  </si>
  <si>
    <t>新北市中和區建一路186號9樓</t>
  </si>
  <si>
    <t>訊聯生物</t>
  </si>
  <si>
    <t>台北市內湖區新湖一路36巷28號1樓</t>
  </si>
  <si>
    <t>台北市內湖區行愛路78巷28號6樓之5</t>
  </si>
  <si>
    <t>台南市安南區工業三路1號</t>
  </si>
  <si>
    <t>台南市柳營區環園東路2段1號(光洋應用材料科技股份有限公司光科廠光鑫棟3樓)</t>
  </si>
  <si>
    <t>福盈科</t>
  </si>
  <si>
    <t>台北市松山區南京東路四段126號12樓</t>
  </si>
  <si>
    <t>桃園市大園區大園工業區民生路101號(大園工業區服務中心 二樓 會議室)</t>
  </si>
  <si>
    <t>杏昌生技</t>
  </si>
  <si>
    <t>台北市仁愛路2段47號5樓</t>
  </si>
  <si>
    <t>湯城工業園區(新北市三重區重新路5段609巷10號2樓之2)</t>
  </si>
  <si>
    <t>美時製藥</t>
  </si>
  <si>
    <t>臺北市大安區信義路3段149號15樓</t>
  </si>
  <si>
    <t>新竹市科學園區展業一路9號2樓之2</t>
  </si>
  <si>
    <t>寶利徠</t>
  </si>
  <si>
    <t>33759桃園縣大園鄉南港村許厝港29-32號</t>
  </si>
  <si>
    <t>桃園市大園區大觀路777號(桃禧航空城酒店2F新屋廳)</t>
  </si>
  <si>
    <t>富喬工業</t>
  </si>
  <si>
    <t>雲林縣斗六市榴南里斗工十六路8號</t>
  </si>
  <si>
    <t>雲林縣斗六市擴大工業區斗工十路七號3樓(經濟部工業局斗六工業區服務中心)</t>
  </si>
  <si>
    <t>富喬工業股份有限公司股務室</t>
  </si>
  <si>
    <t>唐榮公司</t>
  </si>
  <si>
    <t>高雄市小港區沿海二路四號</t>
  </si>
  <si>
    <t>風青</t>
  </si>
  <si>
    <t>高雄市大寮區建民街3號</t>
  </si>
  <si>
    <t>世鎧</t>
  </si>
  <si>
    <t>高雄市岡山區本洲里本工一路一號</t>
  </si>
  <si>
    <t>高雄市岡山區本工路17號(岡山本洲工業區服務中心二樓會議室)</t>
  </si>
  <si>
    <t>晉椿</t>
  </si>
  <si>
    <t>50544彰化縣鹿港鎮鹿工路24號</t>
  </si>
  <si>
    <t>彰化縣鹿港鎮鹿工路24號(本公司鹿港一廠地下一樓會議室)</t>
  </si>
  <si>
    <t>世德</t>
  </si>
  <si>
    <t>高雄市大寮區(831)大發工業區華西路20號</t>
  </si>
  <si>
    <t>高雄市大寮區華西路41號(台電訓練所-高雄訓練中心2F會議室)</t>
  </si>
  <si>
    <t>台新國際商銀股務代理部</t>
  </si>
  <si>
    <t>嘉鋼</t>
  </si>
  <si>
    <t>(62155)嘉義縣民雄鄉民雄工業區成功二街21號</t>
  </si>
  <si>
    <t>嘉義縣民雄鄉北斗村成功二街21號(本公司三樓會議室)</t>
  </si>
  <si>
    <t>大甲永和</t>
  </si>
  <si>
    <t>台中市大甲區幼獅路69號</t>
  </si>
  <si>
    <t>泰茂</t>
  </si>
  <si>
    <t>(72046)台南市官田區二鎮里實踐街10號</t>
  </si>
  <si>
    <t>台南市官田工業區實踐街10號(本公司二樓會議室)</t>
  </si>
  <si>
    <t>台中市梧棲區經二路59號</t>
  </si>
  <si>
    <t>台中市梧棲區草湳里大觀路6號(經濟部加工出口區管理處中港分處會議室)</t>
  </si>
  <si>
    <t>謚源</t>
  </si>
  <si>
    <t>33378桃園縣龜山鄉大華村頂湖路24號</t>
  </si>
  <si>
    <t>統一證券股份有限公司股務代理部</t>
  </si>
  <si>
    <t>綠意開發</t>
  </si>
  <si>
    <t>台北市市民大道五段69號2樓</t>
  </si>
  <si>
    <t>台北市市民大道五段99號4樓(台北偶戲館研習教室)</t>
  </si>
  <si>
    <t>台驊投控</t>
  </si>
  <si>
    <t>台北市信義區忠孝東路四段 563 號 12樓</t>
  </si>
  <si>
    <t>大車隊</t>
  </si>
  <si>
    <t>台北市中山區濱江街136號</t>
  </si>
  <si>
    <t>正德海運</t>
  </si>
  <si>
    <t>(802)高雄市苓雅區海邊路31號3樓</t>
  </si>
  <si>
    <t>燦星旅</t>
  </si>
  <si>
    <t>台北市內湖區堤頂大道一段333號5樓</t>
  </si>
  <si>
    <t>F-富驛</t>
  </si>
  <si>
    <t>台北市中山區南京東路三段77號9樓</t>
  </si>
  <si>
    <t>上海市普陀區交通路4711號李子園大廈17樓</t>
  </si>
  <si>
    <t>瓦城泰統</t>
  </si>
  <si>
    <t>新北市中和區建一路176號7樓之1</t>
  </si>
  <si>
    <t>六角國際</t>
  </si>
  <si>
    <t>(30264)新竹縣竹北市自強五路239號2樓</t>
  </si>
  <si>
    <t>易飛網</t>
  </si>
  <si>
    <t>台北市中正區衡陽路51號2樓之1</t>
  </si>
  <si>
    <t>滿心企業</t>
  </si>
  <si>
    <t>新北市五股區五權六路十八號</t>
  </si>
  <si>
    <t>新北市五股區五權六路18號8樓</t>
  </si>
  <si>
    <t>F-東凌</t>
  </si>
  <si>
    <t>台北市南京東路三段133號二樓六福皇宮銀河廳</t>
  </si>
  <si>
    <t>誠品生</t>
  </si>
  <si>
    <t>台北市信義區松德路204號B1</t>
  </si>
  <si>
    <t>泰偉電子</t>
  </si>
  <si>
    <t>新北市三重區興德路111-1號10樓</t>
  </si>
  <si>
    <t>新北市三重區興德路111號R樓</t>
  </si>
  <si>
    <t>李洲科技</t>
  </si>
  <si>
    <t>台北市信義路四段306號11樓</t>
  </si>
  <si>
    <t>群益證券股份有限公司</t>
  </si>
  <si>
    <t>全域</t>
  </si>
  <si>
    <t>台北市東興路59號9樓</t>
  </si>
  <si>
    <t>台北市市民大道五段99號(松山區復盛區民活動中心)</t>
  </si>
  <si>
    <t>美磊</t>
  </si>
  <si>
    <t>協禧電機</t>
  </si>
  <si>
    <t>屏東市橋南里工業六路東段六號</t>
  </si>
  <si>
    <t>屏東市橋南里工業六路東段6號</t>
  </si>
  <si>
    <t>普格科技</t>
  </si>
  <si>
    <t>台北市內湖區瑞光路399號1樓 自由廣場會議中心</t>
  </si>
  <si>
    <t>富邦證券股務代理部</t>
  </si>
  <si>
    <t>僑威科技</t>
  </si>
  <si>
    <t>中華網龍</t>
  </si>
  <si>
    <t>台北市南港區南港路三段四十七巷二號四樓</t>
  </si>
  <si>
    <t>台中市西屯區文心路三段241號17樓之1</t>
  </si>
  <si>
    <t>台中市西屯區文心路三段241號17樓</t>
  </si>
  <si>
    <t>華義國際</t>
  </si>
  <si>
    <t>台北市內湖區堤頂大道二段407巷22號4樓</t>
  </si>
  <si>
    <t>台北市中山區植福路8號3樓(典華旗艦館3樓)</t>
  </si>
  <si>
    <t>艾訊</t>
  </si>
  <si>
    <t>新北市新店區寶橋路235巷4號8樓</t>
  </si>
  <si>
    <t>新北市新店區寶橋路235巷2號11樓</t>
  </si>
  <si>
    <t>台北市內湖區內湖路ㄧ段118號4樓</t>
  </si>
  <si>
    <t>鴻碩</t>
  </si>
  <si>
    <t>台北市內湖區行愛路169號</t>
  </si>
  <si>
    <t>臺北市內湖區民權東路6段99號8樓(臺北市內湖區公所大禮堂)</t>
  </si>
  <si>
    <t>港建</t>
  </si>
  <si>
    <t>桃園l市蘆竹區南崁路2段66號5樓之4</t>
  </si>
  <si>
    <t>尊爵大飯店(桃園市莊敬路一段300號)鑽石廳</t>
  </si>
  <si>
    <t>新北市中和區建二路111號</t>
  </si>
  <si>
    <t>新北市板橋區民生路一段33號地下一樓(正隆廣場)</t>
  </si>
  <si>
    <t>穩懋</t>
  </si>
  <si>
    <t>桃園市龜山區文二一街68號(福容飯店2樓)</t>
  </si>
  <si>
    <t>好德科技</t>
  </si>
  <si>
    <t>台北市松山區敦化南路一段25號6樓</t>
  </si>
  <si>
    <t>台北市敦化南路一段25號6樓(本公司會議室)</t>
  </si>
  <si>
    <t>寶島極</t>
  </si>
  <si>
    <t>桃園市蘆竹區南山路一段280號</t>
  </si>
  <si>
    <t>進階生物</t>
  </si>
  <si>
    <t>新北市汐止區康寧街169巷80號</t>
  </si>
  <si>
    <t>新北市汐止區康寧街169巷80號(本公司會議室)</t>
  </si>
  <si>
    <t>笙泉科技</t>
  </si>
  <si>
    <t>(30288)新竹縣竹北市台元一街8號7樓之一</t>
  </si>
  <si>
    <t>昇銳電子</t>
  </si>
  <si>
    <t>桃園市八德區長興路六七三號地下一樓</t>
  </si>
  <si>
    <t>弘塑科技</t>
  </si>
  <si>
    <t>30095新竹市香山區中華路六段89號</t>
  </si>
  <si>
    <t>台北市內湖區瑞光路618號4樓</t>
  </si>
  <si>
    <t>台北市內湖區堤頂大道一段327號</t>
  </si>
  <si>
    <t>新揚科</t>
  </si>
  <si>
    <t>高雄市路竹區路科二路8號</t>
  </si>
  <si>
    <t>璟德電子</t>
  </si>
  <si>
    <t>新竹縣湖口鄉新竹工業區自強路16號</t>
  </si>
  <si>
    <t>新竹縣湖口鄉新竹工業區自強路16號6樓</t>
  </si>
  <si>
    <t>精確實業</t>
  </si>
  <si>
    <t>桃園縣新屋鄉社子村二鄰6-2號</t>
  </si>
  <si>
    <t>新竹科學園區工業東九路30號3樓</t>
  </si>
  <si>
    <t>新竹市新安路2-4號(新竹科學園區管理局活力館一樓第一會議室)</t>
  </si>
  <si>
    <t>亞信電子</t>
  </si>
  <si>
    <t>新竹科學工業園區新竹市新安路8號4樓</t>
  </si>
  <si>
    <t>新竹市科學工業園區工業東二路一號科技生活館2F愛迪生廳</t>
  </si>
  <si>
    <t>新洲全球</t>
  </si>
  <si>
    <t>基亞</t>
  </si>
  <si>
    <t>台北市南港區園區街3號F棟14樓</t>
  </si>
  <si>
    <t>安茂</t>
  </si>
  <si>
    <t>臺北市內湖區文湖街12號8樓</t>
  </si>
  <si>
    <t>臺北市內湖區瑞光路399號一樓(自由廣場會議中心)</t>
  </si>
  <si>
    <t>新北市五股區五工六路九號(新北市勞工活動中心503教室)</t>
  </si>
  <si>
    <t>樺晟電子</t>
  </si>
  <si>
    <t>台北市南港區南港路3段50巷16號4F</t>
  </si>
  <si>
    <t>新北市深坑區北深路三段236號2樓(福容大飯店茉莉廳)</t>
  </si>
  <si>
    <t>台新國際商業銀行股務代理部</t>
  </si>
  <si>
    <t>佰研</t>
  </si>
  <si>
    <t>台北市南港區園區街3號10樓之6</t>
  </si>
  <si>
    <t>台北市南港區園區街3號17樓</t>
  </si>
  <si>
    <t>志豐電子</t>
  </si>
  <si>
    <t>新北市淡水區中正東路二段69-11號10樓</t>
  </si>
  <si>
    <t>新北市淡水區中正東路二段91號2樓(成旅晶贊飯店星空廳)</t>
  </si>
  <si>
    <t>新北市土城區忠承路95號10樓</t>
  </si>
  <si>
    <t>新北市永寧科技園區(新北市土城區忠承路99號R樓)</t>
  </si>
  <si>
    <t>順達科</t>
  </si>
  <si>
    <t>桃園市龜山區文化里華亞一路66號3樓及4樓</t>
  </si>
  <si>
    <t>桃園市龜山區華亞科技園區華亞一路66號1樓</t>
  </si>
  <si>
    <t>茂訊電腦</t>
  </si>
  <si>
    <t>新北市深坑區北深路三段250號7樓</t>
  </si>
  <si>
    <t>新北市深坑區北深路三段250號7樓(本公司教育訓練中心)</t>
  </si>
  <si>
    <t>優群科技</t>
  </si>
  <si>
    <t>新竹市牛埔南路15之3號</t>
  </si>
  <si>
    <t>大學光</t>
  </si>
  <si>
    <t>台北市南港區園區街3-1號4樓</t>
  </si>
  <si>
    <t>倚強科技</t>
  </si>
  <si>
    <t>永豐金證券股份有限公司股務部</t>
  </si>
  <si>
    <t>台灣嘉碩</t>
  </si>
  <si>
    <t>新北市汐止區新台五路一段75號14樓之3</t>
  </si>
  <si>
    <t>新北市新店區寶橋路235巷7號7樓</t>
  </si>
  <si>
    <t>新竹科學園區新竹縣創新一路五號五樓</t>
  </si>
  <si>
    <t>新竹市新竹科學工業園區工業東二路1號2樓 (科技生活館　愛因斯坦廳)</t>
  </si>
  <si>
    <t>金麗科</t>
  </si>
  <si>
    <t>新竹市科學工業園區力行路2之1號6樓之1</t>
  </si>
  <si>
    <t>錦明實</t>
  </si>
  <si>
    <t>臺北市內湖區瑞光路407、411號3樓</t>
  </si>
  <si>
    <t>台北市內湖區瑞光路407號3樓(本公司會議室)</t>
  </si>
  <si>
    <t>新竹科學工業園區新竹市展業一路21號</t>
  </si>
  <si>
    <t>新竹科學工業園區新竹市展業一路21號地下一樓(本公司會議室)</t>
  </si>
  <si>
    <t>海灣</t>
  </si>
  <si>
    <t>臺中市西區民龍里大和路22號3樓</t>
  </si>
  <si>
    <t>鑫創科技</t>
  </si>
  <si>
    <t>新竹縣竹北市台元街22號5樓之一</t>
  </si>
  <si>
    <t>新竹縣竹北市台元街26號(園區會館二樓劇場式會議廳)</t>
  </si>
  <si>
    <t>威剛科技</t>
  </si>
  <si>
    <t>新北市中和區連城路258號18樓</t>
  </si>
  <si>
    <t>新北市中和區連城路258號2樓(遠東世紀廣場I棟)</t>
  </si>
  <si>
    <t>欣銓科技</t>
  </si>
  <si>
    <t>新竹縣湖口鄉勝利村工業三路3號</t>
  </si>
  <si>
    <t>台星科</t>
  </si>
  <si>
    <t>新竹縣芎林鄉華龍村6鄰鹿寮坑176-5號</t>
  </si>
  <si>
    <t>新竹縣芎林鄉華龍村6鄰鹿寮坑176之5號(本公司)</t>
  </si>
  <si>
    <t>台中市西屯區台灣大道四段925號14F-6</t>
  </si>
  <si>
    <t>台中市西屯區天保街60號</t>
  </si>
  <si>
    <t>東碩</t>
  </si>
  <si>
    <t>新北市新店區寶橋路235巷131號3樓之4</t>
  </si>
  <si>
    <t>宇環</t>
  </si>
  <si>
    <t>桃園市中壢區自強四路3號</t>
  </si>
  <si>
    <t>高雄市大寮區大發工業區莒光二街20號</t>
  </si>
  <si>
    <t>新北市汐止區康寧街169巷31號12樓</t>
  </si>
  <si>
    <t>廣寰</t>
  </si>
  <si>
    <t>新北市中和區建二路113號6樓</t>
  </si>
  <si>
    <t>本公司三樓會議室(新北市中和區建二路113號3樓)</t>
  </si>
  <si>
    <t>點晶科技</t>
  </si>
  <si>
    <t>新竹科學工業園區新竹市展業一路9號4樓之3</t>
  </si>
  <si>
    <t>宜特科技</t>
  </si>
  <si>
    <t>新竹市埔頂路22號1樓</t>
  </si>
  <si>
    <t>新竹市埔頂路19號9樓</t>
  </si>
  <si>
    <t>東浦精密</t>
  </si>
  <si>
    <t>台中市西區台灣大道二段307號4樓</t>
  </si>
  <si>
    <t>新竹縣竹北市台元街38號3樓之8</t>
  </si>
  <si>
    <t>新竹縣竹北市台元街26號2樓(台元科技園區會館2樓:多功能會議室)</t>
  </si>
  <si>
    <t>日盛證券(股)股務代理部</t>
  </si>
  <si>
    <t>鈊象電子</t>
  </si>
  <si>
    <t>新北市五股區五工路130號</t>
  </si>
  <si>
    <t>新北市勞工活動中心演藝廳(新北市五股區五工六路九號)</t>
  </si>
  <si>
    <t>英濟</t>
  </si>
  <si>
    <t>新北市土城區自強街五號一樓</t>
  </si>
  <si>
    <t>新北市中和區中正路631號福朋喜來登飯店3樓東廳</t>
  </si>
  <si>
    <t>杭特</t>
  </si>
  <si>
    <t>新北市汐止區大同路二段171號9樓</t>
  </si>
  <si>
    <t>台南市安南區工業三路58號</t>
  </si>
  <si>
    <t>南台灣創新園區(台南市安南區工業二路31號)</t>
  </si>
  <si>
    <t>台南市麻豆區麻豆口１－１３號</t>
  </si>
  <si>
    <t>福邦證券股務代理部</t>
  </si>
  <si>
    <t>鼎天國際</t>
  </si>
  <si>
    <t>桃園縣龜山鄉文化二路188號4樓</t>
  </si>
  <si>
    <t>桃園市龜山區文化二路211號一樓會議室</t>
  </si>
  <si>
    <t>佳穎精密</t>
  </si>
  <si>
    <t>桃園市大園區和平西路二段110號</t>
  </si>
  <si>
    <t>新北市三重區興德路111-5號13樓</t>
  </si>
  <si>
    <t>高雄市苓雅區四維三路33號(寒軒國際大飯店三樓宴會廳)</t>
  </si>
  <si>
    <t>尼克森微</t>
  </si>
  <si>
    <t>新北市汐止區工建路368號12樓</t>
  </si>
  <si>
    <t>新北市汐止區康寧街169巷21號1樓</t>
  </si>
  <si>
    <t>建舜電子</t>
  </si>
  <si>
    <t>新北市汐止區新台五路一段79號19樓</t>
  </si>
  <si>
    <t>桃園市龍潭區工五路128號</t>
  </si>
  <si>
    <t>桃園市龍潭區工五路128號(本公司三樓餐廳)</t>
  </si>
  <si>
    <t>雙鴻科技</t>
  </si>
  <si>
    <t>新北市新莊區五權三路6號3樓</t>
  </si>
  <si>
    <t>旭品科技</t>
  </si>
  <si>
    <t>新北市三重區興德路98號11樓</t>
  </si>
  <si>
    <t>新北市五股區五工六路9號(新北市勞工活動中心3樓會議室)</t>
  </si>
  <si>
    <t>幸康</t>
  </si>
  <si>
    <t>台北市大安區信義路四段306號14樓</t>
  </si>
  <si>
    <t>泰谷光電</t>
  </si>
  <si>
    <t>南投縣南投市自強三路18號</t>
  </si>
  <si>
    <t>南投縣南投市南崗三路21號(南崗工業區服務中心禮堂)</t>
  </si>
  <si>
    <t>律勝科技</t>
  </si>
  <si>
    <t>台南市善化區南科九路8號</t>
  </si>
  <si>
    <t>台南市新市區南科三路22號（201會議室）</t>
  </si>
  <si>
    <t>台北市內湖區洲子街76號6樓</t>
  </si>
  <si>
    <t>先進光電</t>
  </si>
  <si>
    <t>台中市大雅區科雅路33號2樓</t>
  </si>
  <si>
    <t>台中市西屯區中科路2號(中部科學工業園區管理局行政大樓401會議室)</t>
  </si>
  <si>
    <t>上詮</t>
  </si>
  <si>
    <t>新竹市科學工業園區展業二路十八號</t>
  </si>
  <si>
    <t>台新銀行股務代理部</t>
  </si>
  <si>
    <t>高雄市高雄加工出口區南二路一號</t>
  </si>
  <si>
    <t>富邦綜合證券股務代理</t>
  </si>
  <si>
    <t>熱映</t>
  </si>
  <si>
    <t>新竹科學工業園區新竹縣工業東九路三號一樓</t>
  </si>
  <si>
    <t>新竹科學工業園區新竹縣寶山鄉工業東九路七號二樓本公司會議室</t>
  </si>
  <si>
    <t>精材</t>
  </si>
  <si>
    <t>(32062)桃園市中壢區吉林路23號9樓</t>
  </si>
  <si>
    <t>桃園市中壢區中園路188號</t>
  </si>
  <si>
    <t>台新國際商業銀行股份有限公司</t>
  </si>
  <si>
    <t>彬台科技</t>
  </si>
  <si>
    <t>台北市內湖區瑞光路208號5樓</t>
  </si>
  <si>
    <t>台北市濟南路一段2-1號4樓(台大校友聯誼社)</t>
  </si>
  <si>
    <t>崇越電</t>
  </si>
  <si>
    <t>台北市大安區市民大道4段102號14樓</t>
  </si>
  <si>
    <t>台北市八德路三段2號5樓501會議室(台北市電腦公會)</t>
  </si>
  <si>
    <t>桃園縣龜山鄉南上路522號</t>
  </si>
  <si>
    <t>漢科系統</t>
  </si>
  <si>
    <t>新竹市東華路14號8樓之1</t>
  </si>
  <si>
    <t>新竹市高峰路487號2樓</t>
  </si>
  <si>
    <t>光燿科</t>
  </si>
  <si>
    <t>新北市土城區中央路四段49號(二樓會議室)</t>
  </si>
  <si>
    <t>長天科技</t>
  </si>
  <si>
    <t>新竹科學工業園區新竹縣創新一路1-1號</t>
  </si>
  <si>
    <t>新竹科學工業園區新竹縣創新一路1-1號6樓</t>
  </si>
  <si>
    <t>哲固</t>
  </si>
  <si>
    <t>桃園市蘆竹區新莊里大興路20巷21弄11號</t>
  </si>
  <si>
    <t>台灣類比</t>
  </si>
  <si>
    <t>聯一光學</t>
  </si>
  <si>
    <t>南投縣草屯鎮稻香路6-4號</t>
  </si>
  <si>
    <t>利機企業</t>
  </si>
  <si>
    <t>台中市西屯區台灣大道四段767號5樓之5</t>
  </si>
  <si>
    <t>台中市西屯區天保街六十號2樓(台中世貿會議廳)</t>
  </si>
  <si>
    <t>益通光能</t>
  </si>
  <si>
    <t>台南市安南區本田路二段498號</t>
  </si>
  <si>
    <t>新北市中和區連城路268號10樓之1</t>
  </si>
  <si>
    <t>祥業科技</t>
  </si>
  <si>
    <t>桃園市八德區廣福路770巷61號</t>
  </si>
  <si>
    <t>致振</t>
  </si>
  <si>
    <t>新北市三重區興德路123-1號8樓</t>
  </si>
  <si>
    <t>新北市三重區興德路123-1號R樓</t>
  </si>
  <si>
    <t>安勤科技</t>
  </si>
  <si>
    <t>新北市中和區連城路228號7樓</t>
  </si>
  <si>
    <t>新北市中和區連城路228號7樓 (本公司大會議室)</t>
  </si>
  <si>
    <t>新竹縣竹北市新泰路31號2樓</t>
  </si>
  <si>
    <t>新竹縣竹北市新泰路35號9樓</t>
  </si>
  <si>
    <t>桃園市桃園區經國路888號7F之2之3</t>
  </si>
  <si>
    <t>森寶</t>
  </si>
  <si>
    <t>新北市中和區中正路778-1號2樓</t>
  </si>
  <si>
    <t>新北市中和區中正路778號15樓會議室</t>
  </si>
  <si>
    <t>昇達科技</t>
  </si>
  <si>
    <t>基隆市七堵區工建路1號(六堵科技園區)</t>
  </si>
  <si>
    <t>陽程科技</t>
  </si>
  <si>
    <t>桃園市大園區溪海里8鄰聖德北路68號</t>
  </si>
  <si>
    <t>桃園市大園區溪海里聖德北路68號</t>
  </si>
  <si>
    <t>富邦綜合證券(股)公司</t>
  </si>
  <si>
    <t>環天科</t>
  </si>
  <si>
    <t>新北市中和區建一路186號16樓</t>
  </si>
  <si>
    <t>新北市中和區中正路716號地下二樓(遠東世紀廣場L棟)</t>
  </si>
  <si>
    <t>桃園縣大園鄉民生路123-11號</t>
  </si>
  <si>
    <t>桃園市楊梅區高青路28巷1-1號(本公司地下一樓)</t>
  </si>
  <si>
    <t>矽瑪科技</t>
  </si>
  <si>
    <t>能緹</t>
  </si>
  <si>
    <t>新北市勞工活動中心五○四教室(新北市五股區五工六路九號五樓)</t>
  </si>
  <si>
    <t>亞帝歐</t>
  </si>
  <si>
    <t>桃園市八德區白鷺里廣福路858號</t>
  </si>
  <si>
    <t>福容大飯店會議廳桃園市桃園區大興西路一段200號</t>
  </si>
  <si>
    <t>振維電子</t>
  </si>
  <si>
    <t>臺北市內湖區內湖路一段118號7樓</t>
  </si>
  <si>
    <t>鴻翊</t>
  </si>
  <si>
    <t>新北市中和區建一路186號10樓</t>
  </si>
  <si>
    <t>新北市中和區中山路二段311號2樓宸上名品飯店</t>
  </si>
  <si>
    <t>新竹縣竹北市環北路二段50號</t>
  </si>
  <si>
    <t>迎輝科技</t>
  </si>
  <si>
    <t>台南市安南區本田路二段391號</t>
  </si>
  <si>
    <t>台南市安南區工業二路31號(南台灣創新園區國際會議廳)</t>
  </si>
  <si>
    <t>凡甲科技</t>
  </si>
  <si>
    <t>台灣省新北市中和區中山路三段102號3樓</t>
  </si>
  <si>
    <t>新竹市埔頂路18號3樓之5之6</t>
  </si>
  <si>
    <t>本公司會議室(地址:新竹市埔頂路18號10樓)</t>
  </si>
  <si>
    <t>安馳科技</t>
  </si>
  <si>
    <t>新北市汐止區新台五路一段75號21樓</t>
  </si>
  <si>
    <t>力旺</t>
  </si>
  <si>
    <t>新竹縣竹北市台元一街5號8樓(通訊地址)</t>
  </si>
  <si>
    <t>先益電子</t>
  </si>
  <si>
    <t>台中市南屯區工業24路22號</t>
  </si>
  <si>
    <t>台中市工業區工業24路22號</t>
  </si>
  <si>
    <t>台北市中山區中山北路2段129號10樓</t>
  </si>
  <si>
    <t>劍潭海外青年活動中心教學大樓三樓334教室(台北市中山北路四段16號)</t>
  </si>
  <si>
    <t>華南永昌綜合證券股務代理部</t>
  </si>
  <si>
    <t>曜越科技</t>
  </si>
  <si>
    <t>台北市內湖區堤頂大道二段185號5樓</t>
  </si>
  <si>
    <t>台北市內湖區洲子街12號2樓會議廳</t>
  </si>
  <si>
    <t>西柏科技</t>
  </si>
  <si>
    <t>新北市中和區建康路130號6樓之5</t>
  </si>
  <si>
    <t>宇峻奧汀</t>
  </si>
  <si>
    <t>新北市中和區建八路2號17樓之8</t>
  </si>
  <si>
    <t>新北市中和區中正路七百二十六號A棟地下二樓(遠東世紀廣場第一期管委會服務中心)</t>
  </si>
  <si>
    <t>新北市新莊區五工五路十三號</t>
  </si>
  <si>
    <t>世禾</t>
  </si>
  <si>
    <t>新竹縣湖口鄉仁政路18號</t>
  </si>
  <si>
    <t>新竹縣湖口鄉新竹工業區仁政路18號5樓(本公司會議室)</t>
  </si>
  <si>
    <t>同致電子</t>
  </si>
  <si>
    <t>桃園市蘆竹區南青路1156巷9號</t>
  </si>
  <si>
    <t>桃園市蘆竹區南山路一段200號(萬翔餐廳)</t>
  </si>
  <si>
    <t>新竹市科學工業園區力行一路12號1樓簡報室</t>
  </si>
  <si>
    <t>台北市內湖區瑞光路302號11樓</t>
  </si>
  <si>
    <t>台北市內湖區內湖路1段91巷17號7樓(珠寶大樓七樓會議室)</t>
  </si>
  <si>
    <t>神準</t>
  </si>
  <si>
    <t>桃園市龜山區復興三路500號8樓本公司會議中心</t>
  </si>
  <si>
    <t>頂晶科</t>
  </si>
  <si>
    <t>新竹市香山區中華路六段620號</t>
  </si>
  <si>
    <t>苗栗縣竹南鎮仁愛路1387號1樓</t>
  </si>
  <si>
    <t>富邦證券股份有限公司</t>
  </si>
  <si>
    <t>新竹科學園區工業東二路2之3號</t>
  </si>
  <si>
    <t>其陽</t>
  </si>
  <si>
    <t>(22183)新北市汐止區大同路二段133號9樓</t>
  </si>
  <si>
    <t>逸昌科技</t>
  </si>
  <si>
    <t>新竹縣竹北市新泰路35號4樓之1</t>
  </si>
  <si>
    <t>新竹縣竹北市新泰路35號9樓會議室(聯合科技大樓)</t>
  </si>
  <si>
    <t>大塚資訊</t>
  </si>
  <si>
    <t>新北市板橋區縣民大道二段68號6樓</t>
  </si>
  <si>
    <t>新北市板橋區縣民大道二段68號6樓(本公司訓練教室)</t>
  </si>
  <si>
    <t>泓格科技</t>
  </si>
  <si>
    <t>新竹縣湖口鄉光復北路111號(新竹工業區)</t>
  </si>
  <si>
    <t>友威科技</t>
  </si>
  <si>
    <t>台中市大雅區科雅路40號2樓</t>
  </si>
  <si>
    <t>博磊科技</t>
  </si>
  <si>
    <t>(304)新竹縣新豐鄉精工路53號</t>
  </si>
  <si>
    <t>新竹縣竹北市台元街26號(台元科技園區多功能會議廳)</t>
  </si>
  <si>
    <t>閎康科技</t>
  </si>
  <si>
    <t>新竹縣竹北市台元街26-2號1F</t>
  </si>
  <si>
    <t>新北市中和區中正路700號10樓</t>
  </si>
  <si>
    <t>新北市中和區中正路700號10樓(本公司大會議室)</t>
  </si>
  <si>
    <t>東林</t>
  </si>
  <si>
    <t>台中市南屯區精科七路20號</t>
  </si>
  <si>
    <t>鼎翰</t>
  </si>
  <si>
    <t>新北市新店區民權路95號9樓</t>
  </si>
  <si>
    <t>安可光電</t>
  </si>
  <si>
    <t>新竹縣湖口鄉光復北路10號</t>
  </si>
  <si>
    <t>新竹縣湖口鄉新竹工業區光復北路12號</t>
  </si>
  <si>
    <t>富晶通</t>
  </si>
  <si>
    <t>台北市民權西路53號B1巴赫廳</t>
  </si>
  <si>
    <t>新竹縣湖口鄉光復北路70號</t>
  </si>
  <si>
    <t>新竹縣湖口鄉新竹工業區中華路22號二樓</t>
  </si>
  <si>
    <t>新北市新莊區中正路665號5樓</t>
  </si>
  <si>
    <t>新北市新莊區中正路665號2樓會議室</t>
  </si>
  <si>
    <t>盈正豫順</t>
  </si>
  <si>
    <t>新北市新店區寶高路7巷3號1樓</t>
  </si>
  <si>
    <t>新北市新店區中興路三段219-2號1樓(中信商務會館)</t>
  </si>
  <si>
    <t>卓韋光電</t>
  </si>
  <si>
    <t>350苗栗縣竹南鎮大厝里9鄰大厝61-2號</t>
  </si>
  <si>
    <t>苗栗縣竹南鎮科研路36號(竹南科學園區服務處202職訓教室)</t>
  </si>
  <si>
    <t>宏遠證券(股)公司股務代理部</t>
  </si>
  <si>
    <t>台中市外埔區甲東路37號</t>
  </si>
  <si>
    <t>晟楠</t>
  </si>
  <si>
    <t>臺北市內湖區港墘路200號4樓</t>
  </si>
  <si>
    <t>自由廣場會議中心1樓東側會議室(台北市內湖區瑞光路399號)</t>
  </si>
  <si>
    <t>駿熠電子</t>
  </si>
  <si>
    <t>新北市土城區中央路三段89巷10號</t>
  </si>
  <si>
    <t>新北市土城區三民路4號3樓(土城工業區服務中心)</t>
  </si>
  <si>
    <t>台北市內湖區瑞光路407號13樓</t>
  </si>
  <si>
    <t>新北市土城區永豐路171號永豐工業區活動中心</t>
  </si>
  <si>
    <t>精聯</t>
  </si>
  <si>
    <t>新北市新店區寶橋路235巷136號5樓</t>
  </si>
  <si>
    <t>漢微科</t>
  </si>
  <si>
    <t>新竹市埔頂路18號7樓</t>
  </si>
  <si>
    <t>台灣科學工業園區科學工業同業公會 101會議室（新竹科學園區展業一路二號）</t>
  </si>
  <si>
    <t>樂陞科技</t>
  </si>
  <si>
    <t>新北市新店區新店路260號2樓</t>
  </si>
  <si>
    <t>新北市新店區新店路260號1樓</t>
  </si>
  <si>
    <t>鑫科材料</t>
  </si>
  <si>
    <t>高雄市路竹區路科八路1號 ( 通訊地址 )</t>
  </si>
  <si>
    <t>高雄市路竹區路科八路一號，本公司南科高雄園區廠二樓會議室。</t>
  </si>
  <si>
    <t>F-安瑞</t>
  </si>
  <si>
    <t>光耀</t>
  </si>
  <si>
    <t>(30078)新竹科學工業園區新竹市力行六路一號三樓</t>
  </si>
  <si>
    <t>新北市汐止區新台五路一段79號18F-6</t>
  </si>
  <si>
    <t>德微科技</t>
  </si>
  <si>
    <t>新北市深坑區北深路三段155巷17號6樓</t>
  </si>
  <si>
    <t>新北市深坑區北深路三段一五五巷二十九號四樓</t>
  </si>
  <si>
    <t>家登精密</t>
  </si>
  <si>
    <t>新北市土城區中央路4段2號9樓之5</t>
  </si>
  <si>
    <t>新北市土城區中央路四段二號九樓教育訓練中心</t>
  </si>
  <si>
    <t>榮昌</t>
  </si>
  <si>
    <t>23145新北市新店區寶橋路235巷4號3F</t>
  </si>
  <si>
    <t>台新國際商業銀行股務代理</t>
  </si>
  <si>
    <t>政翔</t>
  </si>
  <si>
    <t>湧德電子</t>
  </si>
  <si>
    <t>桃園市桃園區同德十一街58號8樓之1</t>
  </si>
  <si>
    <t>新竹縣湖口鄉工業一路3號1樓</t>
  </si>
  <si>
    <t>營邦</t>
  </si>
  <si>
    <t>新竹市東區埔頂路18號9F-3 德安科技大樓</t>
  </si>
  <si>
    <t>新竹科學工業園區創新二路5號3樓</t>
  </si>
  <si>
    <t>永日化工</t>
  </si>
  <si>
    <t>台中市大甲區日南里幼獅路59.61號</t>
  </si>
  <si>
    <t>台中市大甲區成功路315號(鄉野莊地下一樓會議室)</t>
  </si>
  <si>
    <t>百略醫學</t>
  </si>
  <si>
    <t>台北市內湖區瑞光路431號9樓</t>
  </si>
  <si>
    <t>台灣東洋</t>
  </si>
  <si>
    <t>台北市南港區園區街3-1號3樓</t>
  </si>
  <si>
    <t>南港軟體育成中心423室(台北市南港區三重路19-11號E棟4樓)</t>
  </si>
  <si>
    <t>邦特生技</t>
  </si>
  <si>
    <t>台北市104中山區長安東路一段23號5樓之6</t>
  </si>
  <si>
    <t>宜蘭縣蘇澳鎮龍德里龍德工業區自強路5號廠辦大樓4樓大會議室</t>
  </si>
  <si>
    <t>高雄市前鎮區擴建路1之30號9樓</t>
  </si>
  <si>
    <t>高雄市美濃區泰安路351號2樓(本公司研訓中心2樓)</t>
  </si>
  <si>
    <t>濟生藥廠</t>
  </si>
  <si>
    <t>新竹縣湖口鄉新竹工業區實踐路三號</t>
  </si>
  <si>
    <t>高雄市左營區富國路185號17樓之2</t>
  </si>
  <si>
    <t>高雄市左營區崇德路801號(蓮潭國際會館)</t>
  </si>
  <si>
    <t>健喬信元</t>
  </si>
  <si>
    <t>台北市內湖區內湖路1段396號11樓</t>
  </si>
  <si>
    <t>新竹縣湖口鄉新竹工業區工業一路6號（本公司健喬廠）</t>
  </si>
  <si>
    <t>友華</t>
  </si>
  <si>
    <t>台北市大安區復興南路一段368號7樓</t>
  </si>
  <si>
    <t>優盛醫學</t>
  </si>
  <si>
    <t>北市內湖區港墘路189號12樓</t>
  </si>
  <si>
    <t>台北市內湖區港墘路189號2樓</t>
  </si>
  <si>
    <t>晟德</t>
  </si>
  <si>
    <t>台北市南港區園區街3之2號7樓</t>
  </si>
  <si>
    <t>台北市南港區三重路19-11號E棟4樓423室</t>
  </si>
  <si>
    <t>苗栗縣銅鑼鄉自強路19號</t>
  </si>
  <si>
    <t>銅鑼灣會館(苗栗縣銅鑼鄉銅鑼村新興路78號)</t>
  </si>
  <si>
    <t>天良生技</t>
  </si>
  <si>
    <t>新北市汐止區大同路一段147號9樓</t>
  </si>
  <si>
    <t>新北市汐止區大同路一段147號10樓</t>
  </si>
  <si>
    <t>中天生技</t>
  </si>
  <si>
    <t>台北市南港區園區街3號14樓之1</t>
  </si>
  <si>
    <t>桃園縣龍潭鄉九龍村39號(悅華大酒店)</t>
  </si>
  <si>
    <t>聯合骨科</t>
  </si>
  <si>
    <t>新竹市科學工業園區園區二路57號</t>
  </si>
  <si>
    <t>新北市永和區成功路一段82號3F原能會大禮堂</t>
  </si>
  <si>
    <t>健亞</t>
  </si>
  <si>
    <t>新竹縣湖口鄉新竹工業區工業一路一號</t>
  </si>
  <si>
    <t>晶宇生技</t>
  </si>
  <si>
    <t>台中市太平區大里工業區工業19路6號四樓</t>
  </si>
  <si>
    <t>苗栗縣竹南鎮科中路31號(本公司大會議室)</t>
  </si>
  <si>
    <t>曜亞國際</t>
  </si>
  <si>
    <t>新北市中和區中正路872號4樓之1</t>
  </si>
  <si>
    <t>F-馬光</t>
  </si>
  <si>
    <t>台微體</t>
  </si>
  <si>
    <t>台北市南港區園區街3號11樓之1</t>
  </si>
  <si>
    <t>台北市南港區三重路19-10號2F(南港軟體園區A棟2樓會議中心)</t>
  </si>
  <si>
    <t>鈺緯</t>
  </si>
  <si>
    <t>新北市中和區中山路2段351號9樓</t>
  </si>
  <si>
    <t>新北市中和區中山路二段351號10樓(國際會議廳)</t>
  </si>
  <si>
    <t>F-康樂</t>
  </si>
  <si>
    <t>台北市光復南路495號11樓</t>
  </si>
  <si>
    <t>F*太景</t>
  </si>
  <si>
    <t>中華民國台灣台北市內湖區新明路138號7樓</t>
  </si>
  <si>
    <t>創源生技</t>
  </si>
  <si>
    <t>台北市內湖區新湖一路36巷28號6樓</t>
  </si>
  <si>
    <t>聿新生技</t>
  </si>
  <si>
    <t>350苗栗縣竹南鎮公館里中華南路188號</t>
  </si>
  <si>
    <t>苗栗縣竹南鎮公館里中華南路188號本公司一樓視聽室</t>
  </si>
  <si>
    <t>智擎</t>
  </si>
  <si>
    <t>台北市民生東路3段10號11樓</t>
  </si>
  <si>
    <t>台北市松江路350號11樓第二會議室(台北市進出口商業同業公會)</t>
  </si>
  <si>
    <t>鐿鈦科技</t>
  </si>
  <si>
    <t>台中市南屯區文山里精科路9號</t>
  </si>
  <si>
    <t>台中市南屯區精科路9號。(本公司會議室)</t>
  </si>
  <si>
    <t>台新國際商業銀行(股)公司</t>
  </si>
  <si>
    <t>新北市汐止區康寧街169巷31之1號11樓</t>
  </si>
  <si>
    <t>瑞基海洋</t>
  </si>
  <si>
    <t>407台中市西屯區中部科學園區科園二路19號</t>
  </si>
  <si>
    <t>台中市西屯區中部科學園區科園二路19號(本公司一廠一樓視聽室)</t>
  </si>
  <si>
    <t>新北市中和區中正路872號7樓之1</t>
  </si>
  <si>
    <t>浩鼎</t>
  </si>
  <si>
    <t>(11503)台北市南港區園區街3號19樓</t>
  </si>
  <si>
    <t>杏一</t>
  </si>
  <si>
    <t>安成藥業</t>
  </si>
  <si>
    <t>114台北市內湖區港墘路221巷41號4樓</t>
  </si>
  <si>
    <t>臺北市內湖區洲子街12號2樓</t>
  </si>
  <si>
    <t>安克生醫</t>
  </si>
  <si>
    <t>台北市復興北路167號3樓</t>
  </si>
  <si>
    <t>杏國新藥</t>
  </si>
  <si>
    <t>宜蘭縣冬山鄉中山村中山路84號</t>
  </si>
  <si>
    <t>宜蘭縣冬山鄉中山村新寮路95號</t>
  </si>
  <si>
    <t>環瑞醫</t>
  </si>
  <si>
    <t>台北市內湖區新湖一路89號7樓</t>
  </si>
  <si>
    <t>中華食品</t>
  </si>
  <si>
    <t>高雄市大樹區龍目路110-6號</t>
  </si>
  <si>
    <t>屏東縣潮州鎮介壽路468號</t>
  </si>
  <si>
    <t>環泰企業</t>
  </si>
  <si>
    <t>桃園市蘆竹區南青路1156巷75號(本公司行政大樓一樓)</t>
  </si>
  <si>
    <t>台南市學甲區華宗路121號</t>
  </si>
  <si>
    <t>嘉義分公司(嘉義縣民雄鄉興南村工業二路5號)</t>
  </si>
  <si>
    <t>世坤塑膠</t>
  </si>
  <si>
    <t>台南市麻豆區麻口里麻豆口32-26號</t>
  </si>
  <si>
    <t>台南市麻豆區農會行政大樓三樓會議室(地址：台南市麻豆區新生北路56號)</t>
  </si>
  <si>
    <t>東隆興業</t>
  </si>
  <si>
    <t>新北市板橋區三民路二段31號19樓</t>
  </si>
  <si>
    <t>彰化縣芳苑鄉芳苑工業區工區三路十一號</t>
  </si>
  <si>
    <t>台中市梧棲區港埠路一段二三七號</t>
  </si>
  <si>
    <t>台中港關連工業區服務中心會議室(台中市梧棲區自強路280號)</t>
  </si>
  <si>
    <t>新昕纖維</t>
  </si>
  <si>
    <t>台北市長安西路289號10樓之4</t>
  </si>
  <si>
    <t>飛寶動能</t>
  </si>
  <si>
    <t>三圓</t>
  </si>
  <si>
    <t>(104)台北市南京東路二段96號8樓</t>
  </si>
  <si>
    <t>金洲海洋</t>
  </si>
  <si>
    <t>屏東縣新園鄉港西村興安路12號</t>
  </si>
  <si>
    <t>高雄國賓飯店(高雄市民生二路202號)</t>
  </si>
  <si>
    <t>松懋工業</t>
  </si>
  <si>
    <t>彰化縣北斗鎮四海路一段1號</t>
  </si>
  <si>
    <t>彰化縣北斗鎮四海路一段1號(本公司會議室)</t>
  </si>
  <si>
    <t>光明絲織</t>
  </si>
  <si>
    <t>聚紡</t>
  </si>
  <si>
    <t>桃園市觀音區樹林村工業六路3號</t>
  </si>
  <si>
    <t>桃園市觀音區工業六路3號(本公司會議室)</t>
  </si>
  <si>
    <t>耀億工業</t>
  </si>
  <si>
    <t>彰化縣和美鎮彰美路六段334號</t>
  </si>
  <si>
    <t>彰化縣和美鎮彰美路六段334號(月會廳)</t>
  </si>
  <si>
    <t>銘旺實</t>
  </si>
  <si>
    <t>新北市五股區中興路一段6號9樓之5</t>
  </si>
  <si>
    <t>新北市五股區中興路1段6號1樓</t>
  </si>
  <si>
    <t>興采實業</t>
  </si>
  <si>
    <t>新北市新莊區五權二路10號1樓</t>
  </si>
  <si>
    <t>新北市新莊區五權二路十號</t>
  </si>
  <si>
    <t>彰化縣線西鄉彰濱東一路3號</t>
  </si>
  <si>
    <t>彰化市延和里埔內街411巷101號</t>
  </si>
  <si>
    <t>崇友</t>
  </si>
  <si>
    <t>北市南京東路二段88號13樓</t>
  </si>
  <si>
    <t>桃園市楊梅區梅獅路二段688號(崇友實業股份有限公司楊梅廠)</t>
  </si>
  <si>
    <t>高鋒工業</t>
  </si>
  <si>
    <t>台中市大雅區科雅路16號</t>
  </si>
  <si>
    <t>元富證券股份有限公司股務代理處</t>
  </si>
  <si>
    <t>福裕事業</t>
  </si>
  <si>
    <t>台中市大雅區龍善二街12號</t>
  </si>
  <si>
    <t>彰化縣伸港鄉溪底村興工路三十四號(本公司彰化全興廠)</t>
  </si>
  <si>
    <t>永彰機電</t>
  </si>
  <si>
    <t>台北市復興北路99號9樓</t>
  </si>
  <si>
    <t>桃園市觀音區崙坪里八鄰一四○號 永彰機電股份有限公司 觀音廠</t>
  </si>
  <si>
    <t>永彰機電股份有限公司</t>
  </si>
  <si>
    <t>霖</t>
  </si>
  <si>
    <t>高雄市三民區吉林街139巷12號</t>
  </si>
  <si>
    <t>高雄市梓官區赤崁東路57號（梓官區赤崁社區活動中心）</t>
  </si>
  <si>
    <t>江興鍛壓</t>
  </si>
  <si>
    <t>台中市西屯區協和里協和南巷3-1號</t>
  </si>
  <si>
    <t>台中市西屯區協和南巷3-1號</t>
  </si>
  <si>
    <t>昶洧</t>
  </si>
  <si>
    <t>台北市信義區基隆路2段149號11樓</t>
  </si>
  <si>
    <t>宏易精密</t>
  </si>
  <si>
    <t>台北市中山區南京東路二段137號12樓</t>
  </si>
  <si>
    <t>台北市新生北路二段53-3號2樓(中原區民活動中心）</t>
  </si>
  <si>
    <t>協易機械</t>
  </si>
  <si>
    <t>桃園市龜山區南上路446號</t>
  </si>
  <si>
    <t>慶騰精密</t>
  </si>
  <si>
    <t>苗栗縣頭份鎮田寮里13鄰134號（永貞宮活動中心）</t>
  </si>
  <si>
    <t>元富(綜合)證券股份有限公司</t>
  </si>
  <si>
    <t>至興精機</t>
  </si>
  <si>
    <t>彰化縣伸港鄉全興工業區工八路3號</t>
  </si>
  <si>
    <t>晟田科技</t>
  </si>
  <si>
    <t>高雄市路竹區北嶺二路11號</t>
  </si>
  <si>
    <t>科嶠</t>
  </si>
  <si>
    <t>桃園市桃園區桃鶯路398號(住都大飯店C棟M樓源隆廳)</t>
  </si>
  <si>
    <t>桓達</t>
  </si>
  <si>
    <t>新北市土城工業區自強街16號</t>
  </si>
  <si>
    <t>新北市土城區沛陂里三民路4號3樓(土城工業區服務中心)</t>
  </si>
  <si>
    <t>長佳</t>
  </si>
  <si>
    <t>台北市南港區三重路19-3號7樓之2</t>
  </si>
  <si>
    <t>台北市南港區三重路19-11號E棟4樓(447會議室)</t>
  </si>
  <si>
    <t>華南永昌證券股份有限公司</t>
  </si>
  <si>
    <t>唐鋒實業</t>
  </si>
  <si>
    <t>桃園市中壢區南園路2-20號(本公司大會議室)</t>
  </si>
  <si>
    <t>中美實</t>
  </si>
  <si>
    <t>台北市大安區敦化南路二段七十六號十二樓</t>
  </si>
  <si>
    <t>大恭化學</t>
  </si>
  <si>
    <t>台北市南港區八德路四段778號7樓</t>
  </si>
  <si>
    <t>台北市新生南路一段50號11樓</t>
  </si>
  <si>
    <t>台北市忠孝東路三段一號（北科大綜合科館地下一樓第二演講廳）</t>
  </si>
  <si>
    <t>磐亞股份有限公司</t>
  </si>
  <si>
    <t>永純化工</t>
  </si>
  <si>
    <t>台北市松江路168號11樓</t>
  </si>
  <si>
    <t>台北市長春路168號11樓(六福客棧富貴廳)</t>
  </si>
  <si>
    <t>南璋</t>
  </si>
  <si>
    <t>臺北市松山區民生東路3段134號4樓A室</t>
  </si>
  <si>
    <t>公務人力發展中心福華國際文教會館(臺北市大安區新生南路三段30號1樓103室)</t>
  </si>
  <si>
    <t>台南市安定區安加里258之26號</t>
  </si>
  <si>
    <t>台南市北區和緯路五段77號(湖美帝璟接待中心，台南市和緯路及賢北街路口統一超商斜對面)</t>
  </si>
  <si>
    <t>高雄市仁武區後安里永宏巷10號</t>
  </si>
  <si>
    <t>德淵企業</t>
  </si>
  <si>
    <t>新北市五股區五權六路9號</t>
  </si>
  <si>
    <t>美琪瑪</t>
  </si>
  <si>
    <t>桃園縣觀音鄉草漯村大同一路15號</t>
  </si>
  <si>
    <t>永昕生物</t>
  </si>
  <si>
    <t>(350)苗栗縣竹南鎮科東三路8號2樓</t>
  </si>
  <si>
    <t>台南市新市區環東路一段31巷10號1樓</t>
  </si>
  <si>
    <t>熒茂</t>
  </si>
  <si>
    <t>高雄市永安區維新里永工一路17號</t>
  </si>
  <si>
    <t>豪展醫療</t>
  </si>
  <si>
    <t>新北市三重區光復路一段78號9樓</t>
  </si>
  <si>
    <t>新北市三重區光復路一段67號2樓</t>
  </si>
  <si>
    <t>泰博</t>
  </si>
  <si>
    <t>新北市五股區五工二路127號6樓</t>
  </si>
  <si>
    <t>本公司(新北市五股區五工二路127號)</t>
  </si>
  <si>
    <t>康普材料</t>
  </si>
  <si>
    <t>新竹縣新竹工業區文化路11號</t>
  </si>
  <si>
    <t>經濟部工業局新竹工業區服務中心(新竹縣湖口鄉鳳山村中華路22號)</t>
  </si>
  <si>
    <t>合一生技</t>
  </si>
  <si>
    <t>台北市南港區園區街3-1號7樓之1</t>
  </si>
  <si>
    <t>台北市南港區三重路19-10號2樓(南港軟體園區一期A棟2樓視訊會議中心)</t>
  </si>
  <si>
    <t>F-合富</t>
  </si>
  <si>
    <t>台北市信義路四段236號7樓703會議室</t>
  </si>
  <si>
    <t>強生製藥</t>
  </si>
  <si>
    <t>台北市中山北路四段16號(救國團劍潭青年活動中心經國紀念堂1樓集賢廳)</t>
  </si>
  <si>
    <t>聯光通信</t>
  </si>
  <si>
    <t>新竹市科學工業園區研新四路12號</t>
  </si>
  <si>
    <t>新竹市科學園區研新四路12號3樓大會議室</t>
  </si>
  <si>
    <t>台聯電訊</t>
  </si>
  <si>
    <t>台北市內湖區瑞光路108號3樓</t>
  </si>
  <si>
    <t>富宇地產</t>
  </si>
  <si>
    <t>台中市西屯區市政北二路236號19樓之3</t>
  </si>
  <si>
    <t>前鼎光電</t>
  </si>
  <si>
    <t>新竹縣湖口鄉新竹工業區自強路三號</t>
  </si>
  <si>
    <t>新竹縣湖口鄉新竹工業區自強路3號(員工餐廳)</t>
  </si>
  <si>
    <t>桃園縣新屋鄉望間村10鄰十五間45號</t>
  </si>
  <si>
    <t>新屋區望間社區活動中心(桃園市新屋區望間里4鄰25號）</t>
  </si>
  <si>
    <t>德英</t>
  </si>
  <si>
    <t>台南市新市區(台南科學工業園區)環東路一段31巷26號</t>
  </si>
  <si>
    <t>F-聯德</t>
  </si>
  <si>
    <t>新北市樹林區味王街1號E032棟</t>
  </si>
  <si>
    <t>F-欣厚</t>
  </si>
  <si>
    <t>台北市大同區承德路一段70之1號10樓之1</t>
  </si>
  <si>
    <t>台北市松山區敦化北路205號5樓</t>
  </si>
  <si>
    <t>台北市民權東路二段41號亞都麗緻飯店地下一樓</t>
  </si>
  <si>
    <t>友輝</t>
  </si>
  <si>
    <t>新光證券股份有限公司</t>
  </si>
  <si>
    <t>新竹縣竹北市中華路676巷18號4樓</t>
  </si>
  <si>
    <t>兆遠科技</t>
  </si>
  <si>
    <t>苗栗縣竹南鎮科研路36號。(竹南科學園區行政服務中心202職訓教室)</t>
  </si>
  <si>
    <t>紅心辣椒</t>
  </si>
  <si>
    <t>台北市內湖區瑞光路583巷31號3樓</t>
  </si>
  <si>
    <t>台北市松山區東興路8號地下一樓(統一期貨多媒體中心)</t>
  </si>
  <si>
    <t>F-昂寶</t>
  </si>
  <si>
    <t>新北市新店區寶橋路235巷130之3號4樓(台灣聯絡處)</t>
  </si>
  <si>
    <t>新北市新店區北新路三段205號(豪鼎飯店豪華廳)</t>
  </si>
  <si>
    <t>牧東</t>
  </si>
  <si>
    <t>台北市大安區敦化南路二段76號24樓</t>
  </si>
  <si>
    <t>台北市信義路四段236號(宏遠證券七樓703會議室)</t>
  </si>
  <si>
    <t>緯創軟體</t>
  </si>
  <si>
    <t>台北市內湖區瑞光路302號6樓</t>
  </si>
  <si>
    <t>商店街</t>
  </si>
  <si>
    <t>106台北市敦化南路二段105號14樓</t>
  </si>
  <si>
    <t>F-譜瑞</t>
  </si>
  <si>
    <t>台北市信義路4段236號7樓</t>
  </si>
  <si>
    <t>台北市大安區忠孝東路3段193巷旁億光大樓三樓(北科大集思會議中心303室)</t>
  </si>
  <si>
    <t>湯石照明</t>
  </si>
  <si>
    <t>新北市樹林區博愛街236號4樓</t>
  </si>
  <si>
    <t>新北市樹林區博愛街236號5樓</t>
  </si>
  <si>
    <t>廣穎電通</t>
  </si>
  <si>
    <t>台北市內湖區洲子街106號7樓</t>
  </si>
  <si>
    <t>台北市內湖區港墘路221巷21號2樓（中華民國電梯協會教育訓練中心）</t>
  </si>
  <si>
    <t>亞泰</t>
  </si>
  <si>
    <t>新北市中和區中正路880號2樓</t>
  </si>
  <si>
    <t>新北市中和區中正路868號11樓(慈寶安全衛生環境科學暨社會福利教育基金會866會議室)</t>
  </si>
  <si>
    <t>桃園市中壢區合江路6號</t>
  </si>
  <si>
    <t>科誠</t>
  </si>
  <si>
    <t>新北市中和區建康路168號13樓</t>
  </si>
  <si>
    <t>F-環宇</t>
  </si>
  <si>
    <t>晶達光電</t>
  </si>
  <si>
    <t>新北市新店區寶橋路235巷137號8樓</t>
  </si>
  <si>
    <t>新北市新店區寶橋路235巷137號9樓</t>
  </si>
  <si>
    <t>台南市新營區新中路35號</t>
  </si>
  <si>
    <t>台南市柳營區工二路10號(本公司總部大樓)</t>
  </si>
  <si>
    <t>久陽</t>
  </si>
  <si>
    <t>高雄市橋頭區芋林路299號</t>
  </si>
  <si>
    <t>高雄市橋頭區芋林路299號（本公司會議室）</t>
  </si>
  <si>
    <t>強新工業</t>
  </si>
  <si>
    <t>台南市722佳里區海澄里萊芊寮12-19號</t>
  </si>
  <si>
    <t>本公司四樓會議室(台南市佳里區海澄里萊芊寮12之19號)</t>
  </si>
  <si>
    <t>建錩實業</t>
  </si>
  <si>
    <t>桃園市大園區大觀路178號</t>
  </si>
  <si>
    <t>華祺</t>
  </si>
  <si>
    <t>桃園市中壢區松江北路29號</t>
  </si>
  <si>
    <t>松和工業</t>
  </si>
  <si>
    <t>南投市南崗工業區南崗三路61號</t>
  </si>
  <si>
    <t>南投市南崗三路六十一號（松和工業股份有限公司）</t>
  </si>
  <si>
    <t>富強</t>
  </si>
  <si>
    <t>彰化縣員林鎮中央里田中央巷36-1號</t>
  </si>
  <si>
    <t>凱衛資訊</t>
  </si>
  <si>
    <t>台北市松山區光復北路11巷35號5樓</t>
  </si>
  <si>
    <t>日盛證券</t>
  </si>
  <si>
    <t>力新國際</t>
  </si>
  <si>
    <t>台北市114內湖區新湖一路128巷15號6樓</t>
  </si>
  <si>
    <t>台北市南港區三重路19-11號4樓(南港軟體育成中心)</t>
  </si>
  <si>
    <t>漢康科技</t>
  </si>
  <si>
    <t>台北市北平東路16號10樓</t>
  </si>
  <si>
    <t>台北市長沙街1段20號2樓(國軍英雄館)</t>
  </si>
  <si>
    <t>坤悅</t>
  </si>
  <si>
    <t>台中市西屯區文心路二段201號15樓之一</t>
  </si>
  <si>
    <t>台中市西屯區文心路二段201號B2國際廳會議室</t>
  </si>
  <si>
    <t>新鼎系統</t>
  </si>
  <si>
    <t>台北市中山北路六段89號10樓</t>
  </si>
  <si>
    <t>台北市八德路3段2號5樓(台北市電腦公會聯誼中心501室)</t>
  </si>
  <si>
    <t>台北市松山區八德路二段358號六樓之一</t>
  </si>
  <si>
    <t>全球科技廣場會議室(地址：台北市內湖區新湖二路三二九號地下一樓)</t>
  </si>
  <si>
    <t>蒙恬</t>
  </si>
  <si>
    <t>(30071)新竹市光復路二段二巷47號7樓</t>
  </si>
  <si>
    <t>新竹市光復路二段二巷47號一樓</t>
  </si>
  <si>
    <t>凌網科技</t>
  </si>
  <si>
    <t>新竹縣竹北市台元一街8號5樓之6</t>
  </si>
  <si>
    <t>新竹縣竹北市台元一街N棟會館2樓 (台元科技園區第三期多功能會議室)</t>
  </si>
  <si>
    <t>亞昕國際</t>
  </si>
  <si>
    <t>台北市松山區敦化南路一段25號12樓</t>
  </si>
  <si>
    <t>F-立凱</t>
  </si>
  <si>
    <t>桃園縣八德市豐田路68號</t>
  </si>
  <si>
    <t>雷笛克</t>
  </si>
  <si>
    <t>新北市中和區板南路655號15F</t>
  </si>
  <si>
    <t>福朋酒店 3F 東廳(新北市中和區中正路631號)</t>
  </si>
  <si>
    <t>新北市中和區中正路700號3樓之3</t>
  </si>
  <si>
    <t>新北市新店區北新路三段223號3樓(台北矽谷國際會議中心3B會議室)</t>
  </si>
  <si>
    <t>美桀</t>
  </si>
  <si>
    <t>新北市中和區中正路716號15樓之3</t>
  </si>
  <si>
    <t>智崴資訊</t>
  </si>
  <si>
    <t>高雄市前鎮區復興四路9號</t>
  </si>
  <si>
    <t>30078新竹科學工業園區力行一路一號一樓A3</t>
  </si>
  <si>
    <t>新竹科學工業園區力行一路一號(矽導竹科研發中心行政大樓B1訓練教室)</t>
  </si>
  <si>
    <t>信驊科技</t>
  </si>
  <si>
    <t>(300)新竹市科學園區工業東四路15號2樓</t>
  </si>
  <si>
    <t>新竹科技生活館2樓達爾文廳(新竹市科學園區工業東二路1號2樓)</t>
  </si>
  <si>
    <t>F-達輝</t>
  </si>
  <si>
    <t>尚凡</t>
  </si>
  <si>
    <t>(106)台北市大安區羅斯福路三段37號12樓</t>
  </si>
  <si>
    <t>台北市羅斯福路三段62號金融研訓院502室</t>
  </si>
  <si>
    <t>F-jpp</t>
  </si>
  <si>
    <t>台北市中山區松江路152號11樓1112室</t>
  </si>
  <si>
    <t>第一金證券股務部</t>
  </si>
  <si>
    <t>數字</t>
  </si>
  <si>
    <t>新北市新莊區思源路40號B劇場(晶宴新莊館)</t>
  </si>
  <si>
    <t>宜鼎國際</t>
  </si>
  <si>
    <t>新北市汐止區大同路一段237號5樓</t>
  </si>
  <si>
    <t>新北市汐止區大同路一段237號T1棟(RF1會議室)</t>
  </si>
  <si>
    <t>邑昇</t>
  </si>
  <si>
    <t>桃園市龜山區山鶯路中華巷2號</t>
  </si>
  <si>
    <t>桃園市龜山區山鶯路中華巷2號4樓本公司會議室</t>
  </si>
  <si>
    <t>寶得利</t>
  </si>
  <si>
    <t>台北市中山區長安東路二段112號12樓</t>
  </si>
  <si>
    <t>台北市松江路162-1號地下二樓</t>
  </si>
  <si>
    <t>太欣</t>
  </si>
  <si>
    <t>台北市內湖區瑞光路358巷30弄1號10樓</t>
  </si>
  <si>
    <t>新竹市科學工業園區新安路2-1號(D1 PLAZA活力科技館第一會議室)</t>
  </si>
  <si>
    <t>鼎創達</t>
  </si>
  <si>
    <t>新北市土城區中央路四段51號8樓之3</t>
  </si>
  <si>
    <t>新北市土城區中央路4段51號1F會議室</t>
  </si>
  <si>
    <t>桂盟</t>
  </si>
  <si>
    <t>台南市永康區中華路425號8F-5</t>
  </si>
  <si>
    <t>台南市東區大學路2號，成大會館C廳</t>
  </si>
  <si>
    <t>系統電子</t>
  </si>
  <si>
    <t>台北市內湖區堤頂大道一段1號6樓</t>
  </si>
  <si>
    <t>天剛資訊</t>
  </si>
  <si>
    <t>台北市中山北路三段27號3樓之5</t>
  </si>
  <si>
    <t>新北市新莊區五權一路一號2樓之2。（新北市工商發展投資策進會會議廳）</t>
  </si>
  <si>
    <t>寶島科</t>
  </si>
  <si>
    <t>新北市汐止區新台五路一段81號16F之6</t>
  </si>
  <si>
    <t>新北市汐止區新台五路一段81號14樓</t>
  </si>
  <si>
    <t>世紀民生</t>
  </si>
  <si>
    <t>新竹科學工業園區新竹市工業東四路24-2號2樓</t>
  </si>
  <si>
    <t>新竹科學工業園區工業東二路1號(科技生活館巴哈廳)</t>
  </si>
  <si>
    <t>光聯科技</t>
  </si>
  <si>
    <t>台中市潭子區台中加工出口區建國路12號</t>
  </si>
  <si>
    <t>台中市潭子區台中加工出口區復興路2號(員工餐廳)</t>
  </si>
  <si>
    <t>凱美</t>
  </si>
  <si>
    <t>新北市汐止區新台五路一段81號13樓之2</t>
  </si>
  <si>
    <t>友銓電子</t>
  </si>
  <si>
    <t>桃園縣桃園市龜山工業區興邦路34號</t>
  </si>
  <si>
    <t>台北市中山北路六段九十號八樓</t>
  </si>
  <si>
    <t>台北市中山北路六段88號B1樓(天母國際聯誼會)</t>
  </si>
  <si>
    <t>華容公司</t>
  </si>
  <si>
    <t>建榮工業</t>
  </si>
  <si>
    <t>桃園縣楊梅市民豐路277號</t>
  </si>
  <si>
    <t>桃園巿楊梅區大模街九號三樓(楊梅區農會三樓)</t>
  </si>
  <si>
    <t>立衛科技</t>
  </si>
  <si>
    <t>新竹市科學園區力行五路9號</t>
  </si>
  <si>
    <t>新竹市科學工業園區科技生活館2樓伽俐略廳。(新竹科學工業園區工業東二路一號)</t>
  </si>
  <si>
    <t>天揚</t>
  </si>
  <si>
    <t>古華花園飯店(桃園市中壢區民權路398號)</t>
  </si>
  <si>
    <t>世界</t>
  </si>
  <si>
    <t>新竹科學園區新竹縣園區三路123號</t>
  </si>
  <si>
    <t>新竹科學工業園區園區三路123號(本公司會議廳)</t>
  </si>
  <si>
    <t>系通科技</t>
  </si>
  <si>
    <t>新竹市科學工業園區力行一路一之二號</t>
  </si>
  <si>
    <t>先豐通訊</t>
  </si>
  <si>
    <t>桃園縣觀音鄉觀音工業區經建一路16號</t>
  </si>
  <si>
    <t>桃園市觀音區觀音工業區工業五路三號 觀音工業區管理中心三樓會議廳</t>
  </si>
  <si>
    <t>鈺創科技</t>
  </si>
  <si>
    <t>新竹科學園區科技五路六號</t>
  </si>
  <si>
    <t>台林電通</t>
  </si>
  <si>
    <t>桃園市蘆竹區榮安路10號</t>
  </si>
  <si>
    <t>桃園市大林里興邦路39-4號</t>
  </si>
  <si>
    <t>協益電子</t>
  </si>
  <si>
    <t>新北市三重區重新路五段609巷4號9樓之2</t>
  </si>
  <si>
    <t>桃園市觀音區工業五路3號(經濟部工業局觀音工業區服務中心三樓禮堂)</t>
  </si>
  <si>
    <t>台北市中山區松江路162號3樓</t>
  </si>
  <si>
    <t>台北市松江路162號地下二樓</t>
  </si>
  <si>
    <t>新竹科學工業園區新竹市東區力行路11號</t>
  </si>
  <si>
    <t>科學工業園區竹南園區(苗栗縣竹南鎮科北五路2號)</t>
  </si>
  <si>
    <t>合正科技</t>
  </si>
  <si>
    <t>桃園縣中壢市中壢工業區東園路38-1號</t>
  </si>
  <si>
    <t>金利精密</t>
  </si>
  <si>
    <t>桃園市平鎮區平鎮工業區工業五路四號</t>
  </si>
  <si>
    <t>捷元</t>
  </si>
  <si>
    <t>台北市內湖區瑞光路66巷36號</t>
  </si>
  <si>
    <t>臺北市南港區成功路一段76號B1 (會議廳)</t>
  </si>
  <si>
    <t>青雲國際</t>
  </si>
  <si>
    <t>新北市中和區中正路716號6樓</t>
  </si>
  <si>
    <t>應華精密</t>
  </si>
  <si>
    <t>台北市復興北路101號10樓</t>
  </si>
  <si>
    <t>圓方創新</t>
  </si>
  <si>
    <t>台北市基隆路一段333號20樓</t>
  </si>
  <si>
    <t>台北市基隆路一段333號33樓(國貿大樓聯誼社)</t>
  </si>
  <si>
    <t>力瑋</t>
  </si>
  <si>
    <t>康和證券股務代理部</t>
  </si>
  <si>
    <t>中菲電腦</t>
  </si>
  <si>
    <t>台北市內湖區行愛路151號8樓</t>
  </si>
  <si>
    <t>國眾電腦</t>
  </si>
  <si>
    <t>臺北市內湖區陽光街298號3樓</t>
  </si>
  <si>
    <t>台北市內湖區港墘路221巷21號2樓(中華民國電梯協會教育訓練中心)</t>
  </si>
  <si>
    <t>新北市新店區北新路3段205號11樓</t>
  </si>
  <si>
    <t>宜蘭縣宜蘭市梅洲二路96號(台灣半導體股份有限公司宜蘭廠)</t>
  </si>
  <si>
    <t>新北市三重區光復路二段二十五號</t>
  </si>
  <si>
    <t>新北市三重區重安街70號3樓(三重市立圖書館南區分館視聽教室)</t>
  </si>
  <si>
    <t>達威光電</t>
  </si>
  <si>
    <t>台北市內湖區行忠路42號6樓</t>
  </si>
  <si>
    <t>統一證券(股)公司股務代理部</t>
  </si>
  <si>
    <t>東友科技</t>
  </si>
  <si>
    <t>桃園市觀音區金湖里中山路一段1568-1號2樓</t>
  </si>
  <si>
    <t>桃園市觀音區金湖里中山路一段1568-1號(員工餐廳)</t>
  </si>
  <si>
    <t>桃園市桃園區興邦路43巷3號</t>
  </si>
  <si>
    <t>桃園市桃園區桃鶯路398號(住都大飯店)</t>
  </si>
  <si>
    <t>均豪精密</t>
  </si>
  <si>
    <t>新竹科學工業園區新竹縣創新一路5-1號4樓</t>
  </si>
  <si>
    <t>新竹科學園區工業東二路1號愛因斯坦廳(科技生活館)</t>
  </si>
  <si>
    <t>寶聯通</t>
  </si>
  <si>
    <t>台北市內湖區陽光街349號6樓</t>
  </si>
  <si>
    <t>台北市內湖區陽光街349號6樓(本公司大會議室)</t>
  </si>
  <si>
    <t>新北市土城區自強街8號</t>
  </si>
  <si>
    <t>訊利電</t>
  </si>
  <si>
    <t>新竹縣竹東鎮學府路442號</t>
  </si>
  <si>
    <t>宣德</t>
  </si>
  <si>
    <t>桃園市龜山區民生北路一段568號(本公司會議室)</t>
  </si>
  <si>
    <t>同協電子</t>
  </si>
  <si>
    <t>新北市新莊區民安路429巷1號</t>
  </si>
  <si>
    <t>新北市新莊區民安路420巷28號二樓</t>
  </si>
  <si>
    <t>霖宏科技</t>
  </si>
  <si>
    <t>嘉義縣民雄鄉福樂村中山路6號</t>
  </si>
  <si>
    <t>富驊</t>
  </si>
  <si>
    <t>桃園市經國路859號10樓之2</t>
  </si>
  <si>
    <t>凱鈺</t>
  </si>
  <si>
    <t>新竹縣科學工業園區研發一路3號</t>
  </si>
  <si>
    <t>聰泰科技</t>
  </si>
  <si>
    <t>臺北市忠孝東路2段88號18樓</t>
  </si>
  <si>
    <t>德宏工業</t>
  </si>
  <si>
    <t>桃園市楊梅區楊湖路二段718號</t>
  </si>
  <si>
    <t>桃園市楊梅區楊湖路二段491號(三湖社區活動中心)</t>
  </si>
  <si>
    <t>高雄市前鎮區擴建路1-16號13樓</t>
  </si>
  <si>
    <t>高雄國賓大飯店樓外樓(高雄市民生二路202號20樓)</t>
  </si>
  <si>
    <t>統盟電子</t>
  </si>
  <si>
    <t>桃園縣中壢市自強四路3號2樓</t>
  </si>
  <si>
    <t>華韡電子</t>
  </si>
  <si>
    <t>中美矽晶</t>
  </si>
  <si>
    <t>新竹市科學工業園區工業東二路八號</t>
  </si>
  <si>
    <t>新竹科學工業園區工業東二路1號2樓(科技生活館達爾文廳)</t>
  </si>
  <si>
    <t>新北市中和區建一路166號6樓</t>
  </si>
  <si>
    <t>松普科技</t>
  </si>
  <si>
    <t>桃園市龜山區大華里頂湖五街三號</t>
  </si>
  <si>
    <t>彩富電子</t>
  </si>
  <si>
    <t>台北市內湖區洲子街116號</t>
  </si>
  <si>
    <t>台北市中山北路七段113號沃田旅店(原天母國際會議中心)</t>
  </si>
  <si>
    <t>新竹縣科學園區工業東九路三十號四樓</t>
  </si>
  <si>
    <t>新竹科學園區工業東二路1號(科技生活館會議室)</t>
  </si>
  <si>
    <t>連展科技</t>
  </si>
  <si>
    <t>新北市新店區寶興路45巷9弄2號1樓、5樓</t>
  </si>
  <si>
    <t>新北市深坑區北深路三段265號（深坑假日飯店）</t>
  </si>
  <si>
    <t>三聯科技</t>
  </si>
  <si>
    <t>台北市大安區復興南路一段390號5樓之3</t>
  </si>
  <si>
    <t>台北市大安區復興南路一段390號11樓</t>
  </si>
  <si>
    <t>凱崴電子</t>
  </si>
  <si>
    <t>永信建設</t>
  </si>
  <si>
    <t>高雄市新興區六合路183號12樓</t>
  </si>
  <si>
    <t>德昌營造</t>
  </si>
  <si>
    <t>台中市北區五常里五權路401-1號1樓</t>
  </si>
  <si>
    <t>台中市北區力行路262之1號203會議室（台中市救國團力行社教中心）。</t>
  </si>
  <si>
    <t>104台北市中山區吉林路99號8樓</t>
  </si>
  <si>
    <t>台北市松江路一六二號地下二樓</t>
  </si>
  <si>
    <t>三豐建設</t>
  </si>
  <si>
    <t>台北市長安東路二段173號7樓</t>
  </si>
  <si>
    <t>台北市市民大道三段83號2樓(美麗信花園酒店翡翠廳)</t>
  </si>
  <si>
    <t>雙喜營造</t>
  </si>
  <si>
    <t>新竹市民族路186號</t>
  </si>
  <si>
    <t>雙喜營造股份有限公司1樓會議室(新竹市民族路186號)</t>
  </si>
  <si>
    <t>力泰建設</t>
  </si>
  <si>
    <t>台北市士林區延平北路七段七號</t>
  </si>
  <si>
    <t>豐謙</t>
  </si>
  <si>
    <t>40360臺中市西區臺灣大道2段501號19樓之2</t>
  </si>
  <si>
    <t>臺中市西區臺灣大道二段501號10樓之二會議室</t>
  </si>
  <si>
    <t>志嘉建設</t>
  </si>
  <si>
    <t>新竹市東區柴橋里瑞麟路1號1樓</t>
  </si>
  <si>
    <t>龍巖</t>
  </si>
  <si>
    <t>聖暉</t>
  </si>
  <si>
    <t>台中市南區忠明南路787號33樓之1</t>
  </si>
  <si>
    <t>台中市南區忠明南路787號33樓(本公司會議室)</t>
  </si>
  <si>
    <t>臺聯貨櫃</t>
  </si>
  <si>
    <t>基隆市七堵區堵南里三合街二號</t>
  </si>
  <si>
    <t>陸海</t>
  </si>
  <si>
    <t>新北市汐止區大同路2段171-1號12樓</t>
  </si>
  <si>
    <t>中連貨運</t>
  </si>
  <si>
    <t>台中市西屯區工業區一路7號</t>
  </si>
  <si>
    <t>台中酒廠(台中市西屯區工業28路2號)</t>
  </si>
  <si>
    <t>台北市114民權東路六段160號11樓</t>
  </si>
  <si>
    <t>維多麗亞酒店(台北市中山區敬業四路168號3樓-維多麗亞A區)</t>
  </si>
  <si>
    <t>雲林縣古坑鄉永光村大湖口六十七號</t>
  </si>
  <si>
    <t>嘉義市忠孝路600號(嘉義耐斯王子大飯店5樓宴會廳)</t>
  </si>
  <si>
    <t>亞都麗緻</t>
  </si>
  <si>
    <t>台北市民權東路2段41號</t>
  </si>
  <si>
    <t>知本老爺</t>
  </si>
  <si>
    <t>台東縣卑南鄉溫泉村龍泉路113巷23號</t>
  </si>
  <si>
    <t>台東縣卑南鄉溫泉村龍泉路113巷23號(本公司二樓會議室)</t>
  </si>
  <si>
    <t>日盛金控</t>
  </si>
  <si>
    <t>台北市中山區南京東路2段85.87號10樓</t>
  </si>
  <si>
    <t>新北市五股區五權路一號2樓「新北市工商展覽館中心會議廳」</t>
  </si>
  <si>
    <t>台名</t>
  </si>
  <si>
    <t>臺北市館前路49號11樓</t>
  </si>
  <si>
    <t>台北市中正區館前路49號11樓(本公司訓練教室)</t>
  </si>
  <si>
    <t>德記</t>
  </si>
  <si>
    <t>全家便利</t>
  </si>
  <si>
    <t>台北市中山北路二段61號7樓</t>
  </si>
  <si>
    <t>新北市淡水區中正東路二段29號4樓</t>
  </si>
  <si>
    <t>寶雅</t>
  </si>
  <si>
    <t>台南市民族路三段74號</t>
  </si>
  <si>
    <t>台南市民族路三段74號(本公司6樓會議室)</t>
  </si>
  <si>
    <t>屏東縣滿州鄉滿州村中山路205號(本公司會議室)</t>
  </si>
  <si>
    <t>台北市信義路四段236號3至7樓</t>
  </si>
  <si>
    <t>台北市信義路四段236號7樓(本公司七樓)</t>
  </si>
  <si>
    <t>宏遠證券股務代理部</t>
  </si>
  <si>
    <t>康和證券</t>
  </si>
  <si>
    <t>台北市基隆路一段176號B1-B2</t>
  </si>
  <si>
    <t>大展證</t>
  </si>
  <si>
    <t>台北市大同區承德路一段17號17樓</t>
  </si>
  <si>
    <t>台北市承德路一段十七號十三樓大會議室</t>
  </si>
  <si>
    <t>大慶證</t>
  </si>
  <si>
    <t>臺北市民生東路二段一七四、一七六號四樓</t>
  </si>
  <si>
    <t>臺北市松江路一六八號十三樓(臺灣省商業會之會議廳)</t>
  </si>
  <si>
    <t>中國信託股務代理部</t>
  </si>
  <si>
    <t>大眾證券</t>
  </si>
  <si>
    <t>高雄市三民區壽昌路93號2、3F</t>
  </si>
  <si>
    <t>高雄市國軍英雄館(高雄市五福三路一四五號三樓 第一會議室)</t>
  </si>
  <si>
    <t>元大期貨</t>
  </si>
  <si>
    <t>台北市大安區安和路一段27號13樓(中華民國期貨業商業同業公會會議室)</t>
  </si>
  <si>
    <t>群益期</t>
  </si>
  <si>
    <t>台北市大安區敦化南路2段97號地下1樓</t>
  </si>
  <si>
    <t>台北市大安區敦化南路二段97號B2</t>
  </si>
  <si>
    <t>弘捷</t>
  </si>
  <si>
    <t>合邦電子</t>
  </si>
  <si>
    <t>新竹巿科學工業園區園區二路11號4樓</t>
  </si>
  <si>
    <t>創惟科技</t>
  </si>
  <si>
    <t>新北市新店區北新路三段205號12、14樓</t>
  </si>
  <si>
    <t>新北市新店區北新路三段215號2樓(台北矽谷II台北矽谷國際會議中心C廳)</t>
  </si>
  <si>
    <t>瑞傳科技</t>
  </si>
  <si>
    <t>新北市樹林區博愛街242號10樓</t>
  </si>
  <si>
    <t>新北市三峽區插角里80號2樓A會議室</t>
  </si>
  <si>
    <t>華美電子</t>
  </si>
  <si>
    <t>高雄市橋頭區西林里芋林路305號</t>
  </si>
  <si>
    <t>高雄市橋頭區芋林路305號訓練教室</t>
  </si>
  <si>
    <t>宏遠證券股份有限公司代理部</t>
  </si>
  <si>
    <t>亞元科技</t>
  </si>
  <si>
    <t>台北市大安區基隆路4段43號研揚大樓7樓</t>
  </si>
  <si>
    <t>新北市新店區寶橋路235巷135號9樓</t>
  </si>
  <si>
    <t>大宇資訊</t>
  </si>
  <si>
    <t>亞矽科技</t>
  </si>
  <si>
    <t>台北市內湖區洲子街58號7樓</t>
  </si>
  <si>
    <t>台北市內湖區成功路二段320巷19號3樓(湖興活動中心)</t>
  </si>
  <si>
    <t>台北市內湖區陽光街365巷39號3樓</t>
  </si>
  <si>
    <t>建達國際</t>
  </si>
  <si>
    <t>新北市新店區中正路531號5樓</t>
  </si>
  <si>
    <t>新普</t>
  </si>
  <si>
    <t>新竹縣湖口鄉八德路二段471號</t>
  </si>
  <si>
    <t>新竹縣湖口鄉八德路二段471號(本公司地下室B1)</t>
  </si>
  <si>
    <t>擎邦國際</t>
  </si>
  <si>
    <t>台北市內湖區瑞光路210號5樓</t>
  </si>
  <si>
    <t>台北市濟南路一段2之1號(臺大校友聯誼 社)4樓會議室</t>
  </si>
  <si>
    <t>富邦綜合證券股份有限公司代理部</t>
  </si>
  <si>
    <t>上奇科技</t>
  </si>
  <si>
    <t>台北市內湖區瑞光路76巷33號3樓</t>
  </si>
  <si>
    <t>台北市內湖區成功路5段462號3樓（麗湖大飯店）</t>
  </si>
  <si>
    <t>業強科技</t>
  </si>
  <si>
    <t>(115)臺北市南港區三重路１９-１３號７樓</t>
  </si>
  <si>
    <t>台北市南港區三重路19-11號E棟4樓</t>
  </si>
  <si>
    <t>新北市瑞芳鎮瑞芳工業區頂坪路69號</t>
  </si>
  <si>
    <t>本公司瑞芳廠-新北市瑞芳區瑞芳工業區頂坪路69號</t>
  </si>
  <si>
    <t>信音企業</t>
  </si>
  <si>
    <t>新竹縣湖口鄉中正路二段209號</t>
  </si>
  <si>
    <t>新竹縣湖口鄉中正路二段209號〈本公司三樓員工餐廳〉</t>
  </si>
  <si>
    <t>九豪精密</t>
  </si>
  <si>
    <t>桃園縣平鎮市平東路一段160號</t>
  </si>
  <si>
    <t>桃園市平鎮區平東路一段160號(B1會議室)</t>
  </si>
  <si>
    <t>普誠科技</t>
  </si>
  <si>
    <t>新北市新店區寶橋路233-1號2樓</t>
  </si>
  <si>
    <t>基因</t>
  </si>
  <si>
    <t>台北市大安區復興南路一段209號10樓</t>
  </si>
  <si>
    <t>台北市中正區衡陽路51號3樓(基泰國際研訓中心世紀廳)</t>
  </si>
  <si>
    <t>萬旭電業</t>
  </si>
  <si>
    <t>新北市五股區工業區五工六路72號3樓</t>
  </si>
  <si>
    <t>日盛證券股務代理處</t>
  </si>
  <si>
    <t>茂達電子</t>
  </si>
  <si>
    <t>新竹市科學工業園區篤行一路6號</t>
  </si>
  <si>
    <t>新竹市新竹科學工業園區篤行一路6號（本公司）</t>
  </si>
  <si>
    <t>訊達電腦</t>
  </si>
  <si>
    <t>台北市中山區建國北路二段147號2樓</t>
  </si>
  <si>
    <t>振曜科技</t>
  </si>
  <si>
    <t>新竹縣竹北市博愛街945號</t>
  </si>
  <si>
    <t>新竹縣竹北市博愛街945號地下一樓。(本公司地下一樓)</t>
  </si>
  <si>
    <t>得利影視</t>
  </si>
  <si>
    <t>台北市民權西路53號B1(巴赫廳)</t>
  </si>
  <si>
    <t>新北市汐止區新台五路一段一０六號六樓</t>
  </si>
  <si>
    <t>桃園市龜山區華亞一路52號(本公司華亞實驗室三樓視廳室)</t>
  </si>
  <si>
    <t>頎邦科技</t>
  </si>
  <si>
    <t>新竹市新竹科學工業園區力行五路三號</t>
  </si>
  <si>
    <t>新竹科學工業園區展業一路10號8F(本公司展業二廠8F)</t>
  </si>
  <si>
    <t>台北市中正區北平東路30號5樓</t>
  </si>
  <si>
    <t>撼訊科技</t>
  </si>
  <si>
    <t>新北市汐止區新台五路一段79號7樓之7</t>
  </si>
  <si>
    <t>新北市汐止區新台五路一段96號3樓(東方園區C棟)</t>
  </si>
  <si>
    <t>晉倫科技</t>
  </si>
  <si>
    <t>桃園市大園區南港里許厝港29-45號</t>
  </si>
  <si>
    <t>桃園市大園區大觀路777號(桃禧航空城酒店)</t>
  </si>
  <si>
    <t>順發</t>
  </si>
  <si>
    <t>高雄市807三民區建國二路2號</t>
  </si>
  <si>
    <t>高雄市三民區建國二路50號5樓（本公司教育訓練中心）</t>
  </si>
  <si>
    <t>松上電子</t>
  </si>
  <si>
    <t>桃園市興華路9號</t>
  </si>
  <si>
    <t>桃園市桃鶯路398號(住都大飯店)</t>
  </si>
  <si>
    <t>欣技資訊</t>
  </si>
  <si>
    <t>台北市大安區敦化南路二段333號12樓</t>
  </si>
  <si>
    <t>新北市新店區北新路三段207號9樓</t>
  </si>
  <si>
    <t>新北市新店區中興路三段219之2號 中信商務會館</t>
  </si>
  <si>
    <t>新北市汐止區新台五路一段108號11樓B棟</t>
  </si>
  <si>
    <t>久正光電</t>
  </si>
  <si>
    <t>台中市西屯區工業區六路八號</t>
  </si>
  <si>
    <t>昱泉國際</t>
  </si>
  <si>
    <t>台北市南港區園區街3-2號11樓之一</t>
  </si>
  <si>
    <t>台北市南港區三重路19之10號2樓(南港軟體工業園區A棟會議室)</t>
  </si>
  <si>
    <t>富邦綜合證券﹝股﹞公司</t>
  </si>
  <si>
    <t>台北市內湖區安美街181號</t>
  </si>
  <si>
    <t>台北市內湖區安美街181號(統振股份有限公司)</t>
  </si>
  <si>
    <t>亞銳士</t>
  </si>
  <si>
    <t>台中市西屯區台灣大道四段839號6樓</t>
  </si>
  <si>
    <t>信昌電陶</t>
  </si>
  <si>
    <t>桃園市楊梅區高獅路566-1號</t>
  </si>
  <si>
    <t>桃園市蘆竹區南山路二段220-1號，本公司桃園廠區員工餐廳</t>
  </si>
  <si>
    <t>信昌電子陶瓷(股)公司股務辦事處</t>
  </si>
  <si>
    <t>安碁科技</t>
  </si>
  <si>
    <t>台中市潭子區台中加工出口區建國路11-3號</t>
  </si>
  <si>
    <t>立敦</t>
  </si>
  <si>
    <t>苗栗縣銅鑼鄉中興工業區中隆二路9號</t>
  </si>
  <si>
    <t>亞通</t>
  </si>
  <si>
    <t>新北市汐止區新台五路一段96號22樓</t>
  </si>
  <si>
    <t>新北市汐止區大同路三段611號 (那米哥宴會廣場)</t>
  </si>
  <si>
    <t>遊戲橘子</t>
  </si>
  <si>
    <t>新北市中和區中正路736號18樓</t>
  </si>
  <si>
    <t>中和福朋喜來登飯店三樓宴會廳(新北市中和區中正路631號)</t>
  </si>
  <si>
    <t>桃園市龍潭區龍潭科學園區龍園一路100號</t>
  </si>
  <si>
    <t>幃翔精密</t>
  </si>
  <si>
    <t>新北市土城區自強街11巷1號3樓</t>
  </si>
  <si>
    <t>經濟部工業局土城工業區服務中心三樓會議室(新北市土城區三民路四號)</t>
  </si>
  <si>
    <t>新潤</t>
  </si>
  <si>
    <t>台北市松山區基隆路一段8號13樓</t>
  </si>
  <si>
    <t>集思台大會議中心－亞歷山大廳（台北市羅斯福路四段８５號地下一樓）</t>
  </si>
  <si>
    <t>萬潤科技</t>
  </si>
  <si>
    <t>821 高雄市路竹區路科十路1號</t>
  </si>
  <si>
    <t>高雄市路竹區北嶺里民治路16巷22號(高雄市路竹區北嶺里社區活動中心)</t>
  </si>
  <si>
    <t>廣明光電</t>
  </si>
  <si>
    <t>桃園市龜山區文化二路188號3樓</t>
  </si>
  <si>
    <t>台電林口核能訓練中心(桃園市龜山區文明路27號)</t>
  </si>
  <si>
    <t>中國信託銀行代理部</t>
  </si>
  <si>
    <t>育富電子</t>
  </si>
  <si>
    <t>桃園市桃園區新埔六街101號24樓</t>
  </si>
  <si>
    <t>桃園市桃園區新埔六街95號R樓</t>
  </si>
  <si>
    <t>詩肯</t>
  </si>
  <si>
    <t>新北市新莊區新北大道2段312號10樓</t>
  </si>
  <si>
    <t>凌泰科技</t>
  </si>
  <si>
    <t>台北市內湖區瑞光路258巷2號7樓之2</t>
  </si>
  <si>
    <t>桃園市平鎮區洪圳路385~3號</t>
  </si>
  <si>
    <t>海韻電</t>
  </si>
  <si>
    <t>台北市內湖區內湖路一段360巷19號8樓</t>
  </si>
  <si>
    <t>艾華電子</t>
  </si>
  <si>
    <t>桃園市中正路1221、1223號9樓</t>
  </si>
  <si>
    <t>高雄市前鎮區新生路二四八之三十九號</t>
  </si>
  <si>
    <t>高雄市前鎮區新生路248-45號2樓(經濟部加工出口區管理處臨廣園區國際會議中心)</t>
  </si>
  <si>
    <t>日揚科技</t>
  </si>
  <si>
    <t>台南市安南區工明南二路106號</t>
  </si>
  <si>
    <t>台南市安南區長和路四段231巷60弄41號(安南區布袋里活動中心)</t>
  </si>
  <si>
    <t>慶生電子</t>
  </si>
  <si>
    <t>桃園市中壢區中壢工業區松江北路24號</t>
  </si>
  <si>
    <t>理銘</t>
  </si>
  <si>
    <t>中國探針</t>
  </si>
  <si>
    <t>新北市板橋區和平路24巷8號4樓</t>
  </si>
  <si>
    <t>新北市板橋區和平路24巷8號6樓</t>
  </si>
  <si>
    <t>豪勉科技</t>
  </si>
  <si>
    <t>臺北市大同區承德路一段70號3F</t>
  </si>
  <si>
    <t>富旺國際</t>
  </si>
  <si>
    <t>台中市西區大隆路20號4樓之5</t>
  </si>
  <si>
    <t>台中市西屯區台灣大道二段666號(長榮桂冠酒店)</t>
  </si>
  <si>
    <t>桃園市新屋區中山東路二段130巷12-9號</t>
  </si>
  <si>
    <t>晉泰</t>
  </si>
  <si>
    <t>新竹市光復路二段289號7F</t>
  </si>
  <si>
    <t>上揚科技</t>
  </si>
  <si>
    <t>新北市汐止區中興路34號1樓</t>
  </si>
  <si>
    <t>新北市汐止區中興路34號</t>
  </si>
  <si>
    <t>302新竹縣竹北市中和街 155號</t>
  </si>
  <si>
    <t>茂綸</t>
  </si>
  <si>
    <t>新北市新店區北新路三段207-2號14樓</t>
  </si>
  <si>
    <t>新北市新店區北新路3段213號2樓(台北矽谷國際會議中心)</t>
  </si>
  <si>
    <t>全譜科技</t>
  </si>
  <si>
    <t>新北市汐止區大同路一段239號7樓</t>
  </si>
  <si>
    <t>新北市汐止區大同路一段239號R2樓(台灣科學園區)</t>
  </si>
  <si>
    <t>新北市汐止區康寧街169巷29-1號3樓</t>
  </si>
  <si>
    <t>台北市中山區民生東路二段161號12樓</t>
  </si>
  <si>
    <t>旺玖科技</t>
  </si>
  <si>
    <t>台北市南港路三段48號7樓</t>
  </si>
  <si>
    <t>台北市內湖區成功路五段420巷28號B1（康寧生活會館第一會議廳）</t>
  </si>
  <si>
    <t>台中市437大甲區日南里工七路1號</t>
  </si>
  <si>
    <t>台中市大甲區日南里工七路1號</t>
  </si>
  <si>
    <t>康呈</t>
  </si>
  <si>
    <t>台北市承德路1段17號19樓</t>
  </si>
  <si>
    <t>台北市市民大道四段100號6樓</t>
  </si>
  <si>
    <t>勝麗國際</t>
  </si>
  <si>
    <t>新竹縣竹北市泰和路84號</t>
  </si>
  <si>
    <t>松崗資產</t>
  </si>
  <si>
    <t>臺北市忠孝西路1段50號1樓、5樓及11樓之6</t>
  </si>
  <si>
    <t>台北市中正區忠孝西路一段50號10樓(會議室)</t>
  </si>
  <si>
    <t>易通展</t>
  </si>
  <si>
    <t>台北市114內湖區行愛路77巷63號5樓</t>
  </si>
  <si>
    <t>台北市內湖區行愛路77巷63號8樓(會議室)</t>
  </si>
  <si>
    <t>立康</t>
  </si>
  <si>
    <t>台南巿永康區王行里環工路29號</t>
  </si>
  <si>
    <t>台南市永康區環工路29號</t>
  </si>
  <si>
    <t>新北市深坑區北深路3段248號6樓</t>
  </si>
  <si>
    <t>本公司台南園區分公司5廠1樓國際會議廳(台南市新市區大順九路十八號)</t>
  </si>
  <si>
    <t>立端科技</t>
  </si>
  <si>
    <t>新北市汐止區大同路2段173號7樓</t>
  </si>
  <si>
    <t>新北市汐止區新台五路一段268號11樓(新北市汐止區公所)</t>
  </si>
  <si>
    <t>新北市五股區五股工業區五工二路126號</t>
  </si>
  <si>
    <t>新北市五股區五工六路九號(五股工業區新北市五股勞工活動中心)</t>
  </si>
  <si>
    <t>淇譽電</t>
  </si>
  <si>
    <t>新北市中和區員山路512號2F</t>
  </si>
  <si>
    <t>新北市中和區員山路512號2樓</t>
  </si>
  <si>
    <t>沛波</t>
  </si>
  <si>
    <t>台北市內湖區行愛路77巷61號5樓</t>
  </si>
  <si>
    <t>宇加</t>
  </si>
  <si>
    <t>台北市內湖區瑞湖街199號3樓</t>
  </si>
  <si>
    <t>莉蓮會館-為美廳(地址:台北市內湖區堤頂大道一段三二七號)</t>
  </si>
  <si>
    <t>新竹市科學工業園區科技路5號4F</t>
  </si>
  <si>
    <t>新竹市科學園區科技路5號4樓(本公司餐廳)</t>
  </si>
  <si>
    <t>普萊德科</t>
  </si>
  <si>
    <t>新北市新店區民權路96號10樓</t>
  </si>
  <si>
    <t>富裔</t>
  </si>
  <si>
    <t>台北巿士林區中山北路五段453號1樓</t>
  </si>
  <si>
    <t>台北市士林運動中心（台北市士林區士商路1號9樓）</t>
  </si>
  <si>
    <t>新北市新店區寶中路92號10樓</t>
  </si>
  <si>
    <t>新北市新店區中興路三段219號二樓(天下一家共融廣場)</t>
  </si>
  <si>
    <t>泰詠電子</t>
  </si>
  <si>
    <t>新竹市牛埔東路480號</t>
  </si>
  <si>
    <t>泰詠電子股份有限公司(新竹市牛埔東路480號)</t>
  </si>
  <si>
    <t>倍微科技</t>
  </si>
  <si>
    <t>新北市汐止區新台五路一段75號5樓</t>
  </si>
  <si>
    <t>新北市深坑區北深路三段265號(假日飯店)</t>
  </si>
  <si>
    <t>新竹縣竹北市博愛街803號</t>
  </si>
  <si>
    <t>新竹縣竹北市縣政八街25號新竹縣工業會會議中心</t>
  </si>
  <si>
    <t>元山科技</t>
  </si>
  <si>
    <t>高雄市仁武區鳳仁路329號</t>
  </si>
  <si>
    <t>安鈦克</t>
  </si>
  <si>
    <t>台北市內湖區堤頂大道2段179號9樓</t>
  </si>
  <si>
    <t>台北市內湖區瑞光路399號1樓東側會議室</t>
  </si>
  <si>
    <t>胡連</t>
  </si>
  <si>
    <t>新北市汐止區環河街68號</t>
  </si>
  <si>
    <t>新北市汐止區環河街72巷6號2樓(本公司大禮堂)</t>
  </si>
  <si>
    <t>佳邦科技</t>
  </si>
  <si>
    <t>苗栗縣竹南鎮公義里11鄰科義街11號</t>
  </si>
  <si>
    <t>苗栗縣竹南鎮科義街11號(本公司地下一樓)</t>
  </si>
  <si>
    <t>元隆電子</t>
  </si>
  <si>
    <t>新竹科學工業園區新竹市研發二路18號</t>
  </si>
  <si>
    <t>新竹巿科學工業園區工業東二路一號（科技生活館）</t>
  </si>
  <si>
    <t>良維科技</t>
  </si>
  <si>
    <t>台北市長安東路一段36號10樓</t>
  </si>
  <si>
    <t>新竹科學園區力行一路1號(矽導研發中心會議室)</t>
  </si>
  <si>
    <t>迅德興業</t>
  </si>
  <si>
    <t>桃園縣龜山鄉民生北路一段38-1號</t>
  </si>
  <si>
    <t>桃園市龜山區民生北路一段38之1號(本公司七樓活動中心)</t>
  </si>
  <si>
    <t>智基科技</t>
  </si>
  <si>
    <t>台南市北區成功路114號10樓之1</t>
  </si>
  <si>
    <t>台南市中西區府前路一段258號(三民里活動中心一樓B館會議室)</t>
  </si>
  <si>
    <t>崴強科技</t>
  </si>
  <si>
    <t>新北市土城區中央路四段49號</t>
  </si>
  <si>
    <t>新北市土城區中央路四段49號二樓</t>
  </si>
  <si>
    <t>台北市信義區忠孝東路五段508號16樓</t>
  </si>
  <si>
    <t>23511新北市中和區中正路736號6樓之6</t>
  </si>
  <si>
    <t>京晨科</t>
  </si>
  <si>
    <t>新北市新店區北新路三段207-1號B1</t>
  </si>
  <si>
    <t>台大育成中心B棟1樓簡報室(台北市中正區思源街18號)</t>
  </si>
  <si>
    <t>統新</t>
  </si>
  <si>
    <t>台南市新市區南科三路7號4樓</t>
  </si>
  <si>
    <t>台南市新市區南科三路26號2樓</t>
  </si>
  <si>
    <t>(又又)邦</t>
  </si>
  <si>
    <t>南投縣南投市南崗工業區永興路3號</t>
  </si>
  <si>
    <t>惠光</t>
  </si>
  <si>
    <t>台南市麻豆區苓子林17-10號</t>
  </si>
  <si>
    <t>台南市麻豆區苓仔林17-10號</t>
  </si>
  <si>
    <t>高雄市大寮區潮寮里華東路28號</t>
  </si>
  <si>
    <t>本公司B1F會議室(高雄市大寮區潮寮里華東路28號)</t>
  </si>
  <si>
    <t>富強鑫</t>
  </si>
  <si>
    <t>台南市關廟區埤頭里保東路269號</t>
  </si>
  <si>
    <t>瀧澤科</t>
  </si>
  <si>
    <t>桃園市平鎮區延平路三段505號(本公司會議廳)</t>
  </si>
  <si>
    <t>崑鼎投控</t>
  </si>
  <si>
    <t>台北市內湖區行善路132號5樓</t>
  </si>
  <si>
    <t>台北市中山北路7段113號(沃田旅店天母會議中心202會議室)</t>
  </si>
  <si>
    <t>佑華</t>
  </si>
  <si>
    <t>新竹市光復路2段295號9樓之1</t>
  </si>
  <si>
    <t>新竹科學工業園區工業東二路1號科技生活館2樓愛迪生廳會議室</t>
  </si>
  <si>
    <t>光菱電子</t>
  </si>
  <si>
    <t>新北市汐止區新台五路一段79號9樓之7</t>
  </si>
  <si>
    <t>台北市南港區三重路19-11號E棟4樓(南港軟體育成中心443會議室)</t>
  </si>
  <si>
    <t>榮群電訊</t>
  </si>
  <si>
    <t>新竹科學工業園區工業東九路五號３樓</t>
  </si>
  <si>
    <t>(407)中部科學工業園區台中市西屯區科雅東路9號</t>
  </si>
  <si>
    <t>中部科學工業園區管理局4樓401會議室(台中市西屯區中科路2號4樓)</t>
  </si>
  <si>
    <t>九暘電子</t>
  </si>
  <si>
    <t>新竹市光復路2段2巷47號10樓之1</t>
  </si>
  <si>
    <t>金山電</t>
  </si>
  <si>
    <t>新北市三重區光復路一段六十八巷十一弄一號</t>
  </si>
  <si>
    <t>蜜望實企</t>
  </si>
  <si>
    <t>台北市內湖區內湖路1段316號8樓</t>
  </si>
  <si>
    <t>新北市五股區五權路1號2樓(新北巿工商展覽中心)</t>
  </si>
  <si>
    <t>網路家庭</t>
  </si>
  <si>
    <t>台北市敦化南路二段105號12樓</t>
  </si>
  <si>
    <t>星雲電腦</t>
  </si>
  <si>
    <t>新北市汐止區福德二路236號4樓</t>
  </si>
  <si>
    <t>新北市汐止區福德二路236號4樓本公司會議室</t>
  </si>
  <si>
    <t>德勝科技</t>
  </si>
  <si>
    <t>台北市南港路三段50巷1號3樓</t>
  </si>
  <si>
    <t>晶采光電</t>
  </si>
  <si>
    <t>新北市汐止區新台五路一段116號4樓</t>
  </si>
  <si>
    <t>新北市汐止區新台五路一段九十六號三樓</t>
  </si>
  <si>
    <t>廣積科技</t>
  </si>
  <si>
    <t>台北市南港區園區街3-1號11樓</t>
  </si>
  <si>
    <t>台北市南港區三重路19-10號2樓(南港軟體園區A棟2樓視訊會議中心)</t>
  </si>
  <si>
    <t>巨擘科技</t>
  </si>
  <si>
    <t>新竹科學工業園區新竹市研新四路六號</t>
  </si>
  <si>
    <t>臺北市南港區經貿二路66號16樓之3</t>
  </si>
  <si>
    <t>南港軟體工業園區視訊會議中心(台北市南港區三重路19-10號2樓)</t>
  </si>
  <si>
    <t>凱碩科技</t>
  </si>
  <si>
    <t>新北市土城區中山路64號</t>
  </si>
  <si>
    <t>台南科學工業園區台南市新市區南科六路9號</t>
  </si>
  <si>
    <t>來思達</t>
  </si>
  <si>
    <t>臺北市內湖區新湖一路86號3樓</t>
  </si>
  <si>
    <t>志旭國際</t>
  </si>
  <si>
    <t>新北市三重區新北大道二段260號十四樓</t>
  </si>
  <si>
    <t>全達</t>
  </si>
  <si>
    <t>新北市新店區中正路531-1號2樓</t>
  </si>
  <si>
    <t>天下一家共融廣場 (新北市新店區中興路三段219號202室)</t>
  </si>
  <si>
    <t>元太科技</t>
  </si>
  <si>
    <t>新竹市科學工業園區力行一路3號</t>
  </si>
  <si>
    <t>新竹市科學工業園區力行一路三號地下室會議廳</t>
  </si>
  <si>
    <t>能率豐</t>
  </si>
  <si>
    <t>台北縣汐止市康寧街169巷27號13樓之一</t>
  </si>
  <si>
    <t>康寧生活會館「台北市內湖區成功路5段420巷28號」</t>
  </si>
  <si>
    <t>鉅橡企業</t>
  </si>
  <si>
    <t>台南市佳里區海澄里萊芊寮12-27號</t>
  </si>
  <si>
    <t>伍豐科技</t>
  </si>
  <si>
    <t>新北市汐止區新台五路一段七十五號十樓</t>
  </si>
  <si>
    <t>新北市汐止區大同路一段308號6樓(本公司汐止工廠)</t>
  </si>
  <si>
    <t>臺北市中山區南京東路2段69號3樓</t>
  </si>
  <si>
    <t>台北市中山區南京東路二段63號11樓(第一大飯店-大會議室)</t>
  </si>
  <si>
    <t>誠遠科技</t>
  </si>
  <si>
    <t>新竹縣新竹工業區光復南路34號</t>
  </si>
  <si>
    <t>台北市南港區重陽路四五一號九樓</t>
  </si>
  <si>
    <t>新北市中和區板南路667號15樓</t>
  </si>
  <si>
    <t>本公司大會議室(新北市中和區板南路667號15樓)</t>
  </si>
  <si>
    <t>瑞穎</t>
  </si>
  <si>
    <t>新北市新莊區新北產業園區五權三路八號</t>
  </si>
  <si>
    <t>巨虹電子</t>
  </si>
  <si>
    <t>新北市中和區連城路258號9樓之1</t>
  </si>
  <si>
    <t>台北市中山北路三段22號</t>
  </si>
  <si>
    <t>新北市三峽區中正路一段393號</t>
  </si>
  <si>
    <t>宏捷科技</t>
  </si>
  <si>
    <t>南部科學工業園區台南市新市區大利一路6號</t>
  </si>
  <si>
    <t>台灣科學工業園區科學工業同業公會南部園區辦事處(台南科學工業園區台南市新市區南科三路26號2樓)</t>
  </si>
  <si>
    <t>華鎂鑫</t>
  </si>
  <si>
    <t>新北市汐止區大同路二段165號3樓</t>
  </si>
  <si>
    <t>新北市汐止區康寧街751巷13號(日月光加州餐廳會議廳)</t>
  </si>
  <si>
    <t>台北市內湖區成功路五段４６０號 9 樓</t>
  </si>
  <si>
    <t>翔名科技</t>
  </si>
  <si>
    <t>新竹巿香山區牛埔南路221號</t>
  </si>
  <si>
    <t>建暐精密</t>
  </si>
  <si>
    <t>高雄市鳳山區鎮北里鎮北北巷20-16號</t>
  </si>
  <si>
    <t>高雄市鳳山區鎮北里鎮北北巷20-16號本公司四樓會議室</t>
  </si>
  <si>
    <t>保銳科技</t>
  </si>
  <si>
    <t>桃園市桃園區經國路888號15樓之2</t>
  </si>
  <si>
    <t>統一綜合證券股務代理部</t>
  </si>
  <si>
    <t>擎亞科技</t>
  </si>
  <si>
    <t>台北市南港區園區街3-2號13樓</t>
  </si>
  <si>
    <t>台北市內湖區堤頂大道一段327號(莉蓮會館)</t>
  </si>
  <si>
    <t>常珵科技</t>
  </si>
  <si>
    <t>新北市樹林區博愛街236號6樓</t>
  </si>
  <si>
    <t>新北市樹林區博愛街236號5樓(本公司會議室)</t>
  </si>
  <si>
    <t>大同世界</t>
  </si>
  <si>
    <t>本公司(台北市中山北路三段22號北設工大樓18樓)</t>
  </si>
  <si>
    <t>大億科</t>
  </si>
  <si>
    <t>台南市新市區台南科學工業園區環西路一段6號1樓</t>
  </si>
  <si>
    <t>博大科技</t>
  </si>
  <si>
    <t>台中市工業區22路36號</t>
  </si>
  <si>
    <t>台中市工業區22路36號(本公司)</t>
  </si>
  <si>
    <t>立碁電子</t>
  </si>
  <si>
    <t>238新北市樹林區博愛街238號</t>
  </si>
  <si>
    <t>新北市樹林區鎮前街467號(東陽市民活動中心)</t>
  </si>
  <si>
    <t>越峰電子</t>
  </si>
  <si>
    <t>台北市內湖區基湖路39號8樓</t>
  </si>
  <si>
    <t>正淩精工</t>
  </si>
  <si>
    <t>新北市汐止區康寧街169巷31號2樓</t>
  </si>
  <si>
    <t>博智電子</t>
  </si>
  <si>
    <t>桃園市龍潭區烏林里工二路128號</t>
  </si>
  <si>
    <t>桃園市龍潭區烏林里工二路128號(本公司地下室一樓)</t>
  </si>
  <si>
    <t>天宇工業</t>
  </si>
  <si>
    <t>新北市新店區民權路130巷8號5樓</t>
  </si>
  <si>
    <t>30078新竹市科學工業園區新安路8號5樓</t>
  </si>
  <si>
    <t>加高電子</t>
  </si>
  <si>
    <t>高雄市大寮區大發工業區華東路39號</t>
  </si>
  <si>
    <t>台灣精星</t>
  </si>
  <si>
    <t>新竹縣湖口鄉鳳凰村實踐路12號</t>
  </si>
  <si>
    <t>新竹縣湖口鄉鳳凰村實踐路十二號三樓</t>
  </si>
  <si>
    <t>台灣精星股務辦事處</t>
  </si>
  <si>
    <t>新漢</t>
  </si>
  <si>
    <t>新北市中和區中正路920號9樓</t>
  </si>
  <si>
    <t>華宏新技</t>
  </si>
  <si>
    <t>高雄市前金區中正四路235號11樓6-7室</t>
  </si>
  <si>
    <t>朋程科技</t>
  </si>
  <si>
    <t>桃園縣蘆竹鄉南崁路2段22號1樓</t>
  </si>
  <si>
    <t>桃園市蘆竹區南崁路二段22號地下一樓</t>
  </si>
  <si>
    <t>朋程科技股份有限公司 股務室</t>
  </si>
  <si>
    <t>中日新</t>
  </si>
  <si>
    <t>商丞科技</t>
  </si>
  <si>
    <t>台北市內湖區瑞光路513巷22弄5號3樓</t>
  </si>
  <si>
    <t>英格爾科</t>
  </si>
  <si>
    <t>桃園市龜山區民生北路一段536號R樓</t>
  </si>
  <si>
    <t>泰藝電子</t>
  </si>
  <si>
    <t>台北市博愛路76號5樓</t>
  </si>
  <si>
    <t>新北市樹林區樹潭街5號(樹林廠)</t>
  </si>
  <si>
    <t>尚茂電子</t>
  </si>
  <si>
    <t>桃園市大園區濱海路二段208號</t>
  </si>
  <si>
    <t>群聯電子</t>
  </si>
  <si>
    <t>新竹縣竹北市復興一街251號10樓之6</t>
  </si>
  <si>
    <t>恒耀國際</t>
  </si>
  <si>
    <t>台南市東區長榮路一段203號3樓</t>
  </si>
  <si>
    <t>台南市仁德區上崙里中正路一段616號(本公司保安廠)</t>
  </si>
  <si>
    <t>冠好科技</t>
  </si>
  <si>
    <t>南投縣南投市工業路29號</t>
  </si>
  <si>
    <t>金居開發</t>
  </si>
  <si>
    <t>台北市內湖區瑞光路392號1樓(光寶科技大樓國際會議廳)</t>
  </si>
  <si>
    <t>桃園市蘆竹區南崁路一段99號8樓</t>
  </si>
  <si>
    <t>金益鼎</t>
  </si>
  <si>
    <t>新竹市西濱路六段五九九號</t>
  </si>
  <si>
    <t>新竹市鹽水里集會所(新竹市香山區長興街262巷38號)</t>
  </si>
  <si>
    <t>白紗科技</t>
  </si>
  <si>
    <t>台中市太平區祥順路1段116號</t>
  </si>
  <si>
    <t>台中市東區旱溪東路一段456號(新天地餐廳)</t>
  </si>
  <si>
    <t>盛弘醫藥</t>
  </si>
  <si>
    <t>桃園市經國路168號19樓</t>
  </si>
  <si>
    <t>桃園市桃園區經國路168號23樓會議室</t>
  </si>
  <si>
    <t>F-金可</t>
  </si>
  <si>
    <t>台中市大雅區中科路6號3樓之1</t>
  </si>
  <si>
    <t>商之器</t>
  </si>
  <si>
    <t>(11493)台北市內湖路一段516號5樓</t>
  </si>
  <si>
    <t>台北市內湖路一段516號5樓(本公司會議室)</t>
  </si>
  <si>
    <t>森田</t>
  </si>
  <si>
    <t>台南市安南區科技五路85號</t>
  </si>
  <si>
    <t>台南市安南區工業二路31號 經濟部南台灣創新園區 學習資源中心服務館二樓SS201會議室</t>
  </si>
  <si>
    <t>實威</t>
  </si>
  <si>
    <t>台北市內湖區行愛路78巷28號5樓之5</t>
  </si>
  <si>
    <t>F-必勝</t>
  </si>
  <si>
    <t>明揚</t>
  </si>
  <si>
    <t>(900)屏東縣屏東市前進里經建路38號</t>
  </si>
  <si>
    <t>屏東縣屏東市前進里屏加路一號（屏東加工出口區管理處會議室）</t>
  </si>
  <si>
    <t>旭源</t>
  </si>
  <si>
    <t>新竹縣湖口鄉新竹工業區中華路122-18號</t>
  </si>
  <si>
    <t>F-保綠</t>
  </si>
  <si>
    <t>惠普</t>
  </si>
  <si>
    <t>台北市大同區鄭州路139號5樓之1</t>
  </si>
  <si>
    <t>台北市鄭州路137號1樓會議室</t>
  </si>
  <si>
    <t>F-紅木</t>
  </si>
  <si>
    <t>新北產業園區服務中心三樓會議室(新北市新莊區五工路95號)</t>
  </si>
  <si>
    <t>凱碁證券股份有限公司</t>
  </si>
  <si>
    <t>匯鑽科</t>
  </si>
  <si>
    <t>(114)台北市內湖區新湖一路151號7樓</t>
  </si>
  <si>
    <t>東生華</t>
  </si>
  <si>
    <t>台北市南港區園區街3之1號3樓之1</t>
  </si>
  <si>
    <t>弘帆</t>
  </si>
  <si>
    <t>台北市內湖區內湖路一段360巷17號5樓</t>
  </si>
  <si>
    <t>鉅邁</t>
  </si>
  <si>
    <t>新北市汐止區新台五路一段77號5樓之4</t>
  </si>
  <si>
    <t>台北市中山南路11號10樓(張榮發基金會)</t>
  </si>
  <si>
    <t>大江生醫</t>
  </si>
  <si>
    <t>(11494)台北市內湖區港墘路187號8樓</t>
  </si>
  <si>
    <t>華研音樂</t>
  </si>
  <si>
    <t>(104)台北市中山區建國北路二段135號15樓</t>
  </si>
  <si>
    <t>台北市忠孝東路二段95號13樓會議室</t>
  </si>
  <si>
    <t>霹靂</t>
  </si>
  <si>
    <t>台北市南港區南港路1段209號A 棟6樓</t>
  </si>
  <si>
    <t>雲林縣虎尾鎮中溪里中興路88號</t>
  </si>
  <si>
    <t>裕國冷凍</t>
  </si>
  <si>
    <t>台中市西屯區工業二路三號</t>
  </si>
  <si>
    <t>花王企業</t>
  </si>
  <si>
    <t>新北市土城區中山路六十五號</t>
  </si>
  <si>
    <t>欣雄</t>
  </si>
  <si>
    <t>高雄市鳳山區國泰路一段99號</t>
  </si>
  <si>
    <t>全銓</t>
  </si>
  <si>
    <t>台北市大安區敦化南路2段69號9樓</t>
  </si>
  <si>
    <t>光隆</t>
  </si>
  <si>
    <t>台北市敦化南路二段105號16樓</t>
  </si>
  <si>
    <t>欣泰</t>
  </si>
  <si>
    <t>新北市土城區中華路2段221號</t>
  </si>
  <si>
    <t>新北市五股區五工二路134號4樓會議室</t>
  </si>
  <si>
    <t>沈氏藝印</t>
  </si>
  <si>
    <t>新北市土城區中央路1段365巷7號3樓</t>
  </si>
  <si>
    <t>新北市板橋區重慶路66號4樓(新北市工業會)</t>
  </si>
  <si>
    <t>時報文化</t>
  </si>
  <si>
    <t>台北市萬華區大理街132號</t>
  </si>
  <si>
    <t>台北市萬華區和平西路3段240號2樓</t>
  </si>
  <si>
    <t>大田精密</t>
  </si>
  <si>
    <t>屏東縣內埔鄉豐田村建富路8號</t>
  </si>
  <si>
    <t>新竹縣芎林鄉五龍村2鄰五和街236號</t>
  </si>
  <si>
    <t>新北市板橋區新海路137號</t>
  </si>
  <si>
    <t>新北市板橋區中正路375巷48號2樓（國光公園活動中心）</t>
  </si>
  <si>
    <t>鉅明</t>
  </si>
  <si>
    <t>高雄縣大寮鄉光明路一段121巷53號</t>
  </si>
  <si>
    <t>高雄市大寮區華中路一號(大發工業區管理中心禮堂)</t>
  </si>
  <si>
    <t>富堡</t>
  </si>
  <si>
    <t>台北市中正區忠孝東路2段130號2樓之3</t>
  </si>
  <si>
    <t>桃園市蘆竹區南山路2段205巷14號(本公司桃園廠3樓)</t>
  </si>
  <si>
    <t>永豐金證券</t>
  </si>
  <si>
    <t>青鋼</t>
  </si>
  <si>
    <t>台南市官田區二鎮里工業路九號</t>
  </si>
  <si>
    <t>台南市官田區二鎮里工業路九號(本公司3A會議室)</t>
  </si>
  <si>
    <t>大園汽電</t>
  </si>
  <si>
    <t>宏大拉鍊</t>
  </si>
  <si>
    <t>台北市內湖區洲子街196號7樓</t>
  </si>
  <si>
    <t>桃園市龍潭區烏林里工二路十七號ㄧ樓會議室</t>
  </si>
  <si>
    <t>台中市梧棲區港埠路一段497號</t>
  </si>
  <si>
    <t>台中市梧棲區港埠路一段497號(本公司二樓員工餐廳)舉行</t>
  </si>
  <si>
    <t>愛地雅工業股份有限公司股務室</t>
  </si>
  <si>
    <t>衡平</t>
  </si>
  <si>
    <t>台北市信義區信義路四段460號19樓之1</t>
  </si>
  <si>
    <t>台中市潭子區豐興路二段龍興巷23-6號</t>
  </si>
  <si>
    <t>本公司(台中市潭子區豐興路二段龍興巷23-6號)科技大樓五樓</t>
  </si>
  <si>
    <t>國統國際</t>
  </si>
  <si>
    <t>屏東縣新園鄉媽祖路400號</t>
  </si>
  <si>
    <t>高雄市鳥松區圓山路2號(高雄澄清湖圓山大飯店五樓松鶴廳)</t>
  </si>
  <si>
    <t>合騏工業</t>
  </si>
  <si>
    <t>嘉義縣義竹鄉義竹工業區義工二路二號</t>
  </si>
  <si>
    <t>嘉義縣義竹鄉義竹工業區義工二路二號(本公司會議室)</t>
  </si>
  <si>
    <t>明安</t>
  </si>
  <si>
    <t>高雄市小港區中林路26號</t>
  </si>
  <si>
    <t>關中</t>
  </si>
  <si>
    <t>台北市內湖區瑞光路298號9樓</t>
  </si>
  <si>
    <t>森鉅</t>
  </si>
  <si>
    <t>台南市歸仁區中山路一段411號7樓</t>
  </si>
  <si>
    <t>台南市歸仁區信義南路78號</t>
  </si>
  <si>
    <t>兆豐證券(股)公司</t>
  </si>
  <si>
    <t>琉園</t>
  </si>
  <si>
    <t>新北市永和區成功路一段80號22樓</t>
  </si>
  <si>
    <t>新北市永和區成功路一段80號3樓</t>
  </si>
  <si>
    <t>萬國通路</t>
  </si>
  <si>
    <t>台南市歸仁區中山九街40號</t>
  </si>
  <si>
    <t>皇田工業</t>
  </si>
  <si>
    <t>台南市永康區王行里16鄰永科五路6號</t>
  </si>
  <si>
    <t>高雄市苓雅區海邊路29號2樓</t>
  </si>
  <si>
    <t>高雄市苓雅區海邊路二十九號二樓之一</t>
  </si>
  <si>
    <t>有益鋼鐵</t>
  </si>
  <si>
    <t>高雄市永安區永工十路2號</t>
  </si>
  <si>
    <t>高雄市路竹區北嶺社區活動中心(地址:高雄市路竹區北嶺里民治路16巷22號)</t>
  </si>
  <si>
    <t>富味鄉</t>
  </si>
  <si>
    <t>彰化縣芳苑鄉仁愛村斗苑路芳苑段73號</t>
  </si>
  <si>
    <t>彰化縣芳苑鄉仁愛村斗苑路芳苑段73號本公司會議室</t>
  </si>
  <si>
    <t>巧新科技</t>
  </si>
  <si>
    <t>640雲林縣斗六市雲科路三段八十號</t>
  </si>
  <si>
    <t>雲林縣斗六市雲科路三段八十號本公司地下一樓會議室</t>
  </si>
  <si>
    <t>鎧鉅</t>
  </si>
  <si>
    <t>(238)新北市樹林區柑園街2段122巷1號10樓</t>
  </si>
  <si>
    <t>新北市樹林區柑園街2段122巷1號11樓</t>
  </si>
  <si>
    <t>吉茂</t>
  </si>
  <si>
    <t>(52861)彰化縣芳苑鄉後寮村工區路28號</t>
  </si>
  <si>
    <t>日高</t>
  </si>
  <si>
    <t>(80147)高雄市前金區中正四路136號11樓</t>
  </si>
  <si>
    <t>高雄市前金區中正四路136號10樓</t>
  </si>
  <si>
    <t>岱宇國際</t>
  </si>
  <si>
    <t>(104)台北市中山區松江路111號12樓</t>
  </si>
  <si>
    <t>彰化縣和美鎮全興工業區工一路1號</t>
  </si>
  <si>
    <t>寶齡富錦</t>
  </si>
  <si>
    <t>台北市南港區園區街3號16F(F棟)</t>
  </si>
  <si>
    <t>臺北市南港區三重路19-11號E棟4樓(南港軟體育成中心四樓會議室)</t>
  </si>
  <si>
    <t>展宇科技</t>
  </si>
  <si>
    <t>立弘生化</t>
  </si>
  <si>
    <t>(106)台北市敦化南路二段71號13樓</t>
  </si>
  <si>
    <t>東光訊</t>
  </si>
  <si>
    <t>桃園市蘆竹區南崁路一段108號B1(尊爵天際大飯店紫雲一廳)</t>
  </si>
  <si>
    <t>願景國際</t>
  </si>
  <si>
    <t>新竹市牛埔路287號4樓</t>
  </si>
  <si>
    <t>運錩</t>
  </si>
  <si>
    <t>高雄市前金區中正四路235號13樓之一</t>
  </si>
  <si>
    <t>高雄市前金區中正四路211號5樓(兆豐國際商銀南區員工訓練中心)</t>
  </si>
  <si>
    <t>華德動</t>
  </si>
  <si>
    <t>樂揚建設</t>
  </si>
  <si>
    <t>10490台北市中山區長安東路二段199號8樓</t>
  </si>
  <si>
    <t>台灣高鐵</t>
  </si>
  <si>
    <t>(11568)台北市南港區經貿二路66號13樓</t>
  </si>
  <si>
    <t>捷迅</t>
  </si>
  <si>
    <t>台北市內湖區瑞光路34號4樓</t>
  </si>
  <si>
    <t>和昇休閒</t>
  </si>
  <si>
    <t>台北市中山區松江路369號4樓</t>
  </si>
  <si>
    <t>F-楷捷</t>
  </si>
  <si>
    <t>台北市大安區敦化南路二段97號敦南摩天大樓B2會議室</t>
  </si>
  <si>
    <t>104台北市市民大道三段83號</t>
  </si>
  <si>
    <t>維格餅家</t>
  </si>
  <si>
    <t>(103)臺北市大同區承德路三段27號</t>
  </si>
  <si>
    <t>新北市五股區成泰路一段87號(本公司M樓)</t>
  </si>
  <si>
    <t>高野</t>
  </si>
  <si>
    <t>台東縣卑南鄉溫泉村龍泉路30-2號5樓之41</t>
  </si>
  <si>
    <t>富野溫泉休閒會館〔台東縣卑南鄉溫泉村龍泉路16號〕</t>
  </si>
  <si>
    <t>F-MHG</t>
  </si>
  <si>
    <t>寒舍餐旅</t>
  </si>
  <si>
    <t>台北市中正區忠孝東路一段12號</t>
  </si>
  <si>
    <t>天蔥</t>
  </si>
  <si>
    <t>台北市內湖區港墘路221巷35號4樓</t>
  </si>
  <si>
    <t>台北市大安區敦化南路二段333號19樓(國泰大樓)</t>
  </si>
  <si>
    <t>老四川</t>
  </si>
  <si>
    <t>高雄市左營區文學路597號</t>
  </si>
  <si>
    <t>山富旅遊</t>
  </si>
  <si>
    <t>台北市中山區南京東路二段85號4樓</t>
  </si>
  <si>
    <t>台北市南京東路2段85號4樓</t>
  </si>
  <si>
    <t>臺灣工銀</t>
  </si>
  <si>
    <t>(114)台北市堤頂大道二段九十九號</t>
  </si>
  <si>
    <t>台北市大安區長興街75號中華經濟研究院之蔣碩傑國際會議廳</t>
  </si>
  <si>
    <t>群環</t>
  </si>
  <si>
    <t>台北市大同區重慶北路二段243號8樓</t>
  </si>
  <si>
    <t>台北市重慶北路二段243號9樓</t>
  </si>
  <si>
    <t>聯亞光電</t>
  </si>
  <si>
    <t>台南市善化區南科九路12號</t>
  </si>
  <si>
    <t>台南市新市區南科二路12號(南科育成中心B105會議室)</t>
  </si>
  <si>
    <t>拍檔</t>
  </si>
  <si>
    <t>(231)新北市新店區寶橋路233-2號10樓</t>
  </si>
  <si>
    <t>年程科技</t>
  </si>
  <si>
    <t>326桃園縣楊梅市高獅路820之1號(聯絡地:高獅路813巷22弄7號)</t>
  </si>
  <si>
    <t>中華汽車人才培訓中心(桃園市楊梅區幼獅工業區青年路3號)</t>
  </si>
  <si>
    <t>耀登科技</t>
  </si>
  <si>
    <t>桃園市八德區和平路772巷19號2樓</t>
  </si>
  <si>
    <t>大綜電腦</t>
  </si>
  <si>
    <t>高雄市左營區民族一路1163號</t>
  </si>
  <si>
    <t>高雄市民族一路1163號 3樓（本公司會議室）</t>
  </si>
  <si>
    <t>鈺寶</t>
  </si>
  <si>
    <t>新竹市公道五路2段101號10樓之1</t>
  </si>
  <si>
    <t>新竹科學園區工業東二路1號2樓牛頓廳</t>
  </si>
  <si>
    <t>眾福科技</t>
  </si>
  <si>
    <t>(221)新北市汐止區新台五路一段96號2F</t>
  </si>
  <si>
    <t>東方科學園區c棟(新北市汐止區新台五路一段96號2樓）</t>
  </si>
  <si>
    <t>公準精密</t>
  </si>
  <si>
    <t>814 高雄市仁武區五和里八德二路168號</t>
  </si>
  <si>
    <t>第一金證券股務代理部</t>
  </si>
  <si>
    <t>微邦科技</t>
  </si>
  <si>
    <t>桃園市八德區茄苳里1鄰茄苳路756號</t>
  </si>
  <si>
    <t>遠業科技</t>
  </si>
  <si>
    <t>台北市信義區松智路1號18樓</t>
  </si>
  <si>
    <t>台北市信義區松仁路38號2樓</t>
  </si>
  <si>
    <t>和光</t>
  </si>
  <si>
    <t>桃園縣平鎮市中豐路南勢二段460巷108號</t>
  </si>
  <si>
    <t>桃園市平鎮區中豐路南勢二段460巷108號(本公司地下室餐廳)</t>
  </si>
  <si>
    <t>同泰電子</t>
  </si>
  <si>
    <t>台中市大甲區青年路123號</t>
  </si>
  <si>
    <t>本公司教育訓練中心（台中市大甲區青年路123號5樓）</t>
  </si>
  <si>
    <t>慶良電子</t>
  </si>
  <si>
    <t>新北市五股區五權五路八號</t>
  </si>
  <si>
    <t>新北市五股區五權五路八號(本公司四樓交誼廳)</t>
  </si>
  <si>
    <t>麗清</t>
  </si>
  <si>
    <t>新北市中和區民享街4號</t>
  </si>
  <si>
    <t>寶德科技</t>
  </si>
  <si>
    <t>235 新北市中和區連城路258號14樓之8</t>
  </si>
  <si>
    <t>新北市中和區連城路258號14樓之8(本公司會議室)</t>
  </si>
  <si>
    <t>臺慶科</t>
  </si>
  <si>
    <t>健格</t>
  </si>
  <si>
    <t>(114)臺北市內湖區民權東路6段21巷33號3樓</t>
  </si>
  <si>
    <t>(302)新竹縣竹北市台元街30號6樓之2</t>
  </si>
  <si>
    <t>京鼎</t>
  </si>
  <si>
    <t>(35053)新竹科學工業園區苗栗縣竹南鎮科中路16號</t>
  </si>
  <si>
    <t>彥陽科技</t>
  </si>
  <si>
    <t>(231)新北市新店區中興路二段192號9樓</t>
  </si>
  <si>
    <t>新北市新店區中興路二段192號9樓</t>
  </si>
  <si>
    <t>奇鈦科</t>
  </si>
  <si>
    <t>(106)台北市大安區敦化南路二段57號20樓</t>
  </si>
  <si>
    <t>敘豐</t>
  </si>
  <si>
    <t>長盛科技</t>
  </si>
  <si>
    <t>251新北市淡水區中正東路二段69號10樓</t>
  </si>
  <si>
    <t>新北市淡水區中正東路二段69號10樓(本公司會議室)</t>
  </si>
  <si>
    <t>聯合線上</t>
  </si>
  <si>
    <t>新北市汐止區大同路一段369號3樓</t>
  </si>
  <si>
    <t>新北市汐止區大同路一段369號2樓(會議室)</t>
  </si>
  <si>
    <t>力群</t>
  </si>
  <si>
    <t>23679新北市土城區土城工業區福安街120號</t>
  </si>
  <si>
    <t>新北市土城區三民路4號（土城工業區服務中心3樓禮堂）</t>
  </si>
  <si>
    <t>晶相光</t>
  </si>
  <si>
    <t>州巧</t>
  </si>
  <si>
    <t>(30351)新竹縣湖口鄉新竹工業區光復路42號</t>
  </si>
  <si>
    <t>(303)新竹縣湖口鄉新興路458-9號</t>
  </si>
  <si>
    <t>新竹科學園區展業一路2號(台灣科學工業園區科學工業同業公會)</t>
  </si>
  <si>
    <t>聯致</t>
  </si>
  <si>
    <t>桃園市蘆竹區南山路二段498-2號(本公司員工教育訓練室)</t>
  </si>
  <si>
    <t>瑞鼎科技</t>
  </si>
  <si>
    <t>(30078)新竹科學園區新竹市力行路23號2樓</t>
  </si>
  <si>
    <t>新竹市科學園區展業一路2號會議室</t>
  </si>
  <si>
    <t>山太士</t>
  </si>
  <si>
    <t>(302)新竹縣竹北市中和街191巷15弄1號</t>
  </si>
  <si>
    <t>新竹縣竹北市中和街191巷15弄1號(本公司會議室)</t>
  </si>
  <si>
    <t>映興電子</t>
  </si>
  <si>
    <t>台中市南屯區工業區19路10號</t>
  </si>
  <si>
    <t>連營</t>
  </si>
  <si>
    <t>(241)新北市三重區重新路5段609巷14號9樓之15</t>
  </si>
  <si>
    <t>湯城園區會議室(新北市三重區重新路5段609巷10號2樓之2)</t>
  </si>
  <si>
    <t>華信光電</t>
  </si>
  <si>
    <t>桃園巿平鎮區中興路平鎮段458號9樓</t>
  </si>
  <si>
    <t>新北巿鶯歌區鶯桃路658巷16號</t>
  </si>
  <si>
    <t>云光</t>
  </si>
  <si>
    <t>302新竹縣竹北市新泰路35號5樓之1</t>
  </si>
  <si>
    <t>新竹縣竹北市新泰路35號9樓（聯合科技大樓大會議室）</t>
  </si>
  <si>
    <t>鉅景</t>
  </si>
  <si>
    <t>(235)新北市中和區建一路186號8樓之1</t>
  </si>
  <si>
    <t>新北市中和區中正路716號B2 (L棟B2 服務中心裡面)</t>
  </si>
  <si>
    <t>華南永昌綜合證券</t>
  </si>
  <si>
    <t>凌嘉科</t>
  </si>
  <si>
    <t>台中市西屯區科園一路16號(本公司會議室)</t>
  </si>
  <si>
    <t>旭晶能源</t>
  </si>
  <si>
    <t>百辰光電</t>
  </si>
  <si>
    <t>(11492)台北市內湖區瑞光路583巷28號3樓</t>
  </si>
  <si>
    <t>台北市內湖區瑞光路583巷22號6樓(本公司之會議室)</t>
  </si>
  <si>
    <t>摩幻潛艇</t>
  </si>
  <si>
    <t>(106)台北市大安區金華街249-2號1樓</t>
  </si>
  <si>
    <t>康訊科技</t>
  </si>
  <si>
    <t>(221)新北市汐止區新台五路一段79號3樓之7</t>
  </si>
  <si>
    <t>新北市汐止區新台五路一段79號5樓之13</t>
  </si>
  <si>
    <t>聯享</t>
  </si>
  <si>
    <t>302新竹縣竹北市環北路三段199號</t>
  </si>
  <si>
    <t>華立捷</t>
  </si>
  <si>
    <t>新竹縣湖口鄉光復南路2號(本公司會議室)</t>
  </si>
  <si>
    <t>群豐科技</t>
  </si>
  <si>
    <t>(303)新竹縣湖口鄉中興村光復北路65號5樓</t>
  </si>
  <si>
    <t>明基醫</t>
  </si>
  <si>
    <t>台北市內湖區洲子街46號7樓</t>
  </si>
  <si>
    <t>普生</t>
  </si>
  <si>
    <t>(30076)新竹科學園區創新一路6號</t>
  </si>
  <si>
    <t>新竹市科學園區創新一路6號(本公司會議室)</t>
  </si>
  <si>
    <t>國鼎生技</t>
  </si>
  <si>
    <t>(25170)新北市淡水區中正東路二段27之6號15樓</t>
  </si>
  <si>
    <t>新北市淡水區中正東路二段27-6 號17 樓(會議中心)</t>
  </si>
  <si>
    <t>台欣生物</t>
  </si>
  <si>
    <t>35053新竹科學工業園區苗栗縣竹南鎮科東三路22號5樓</t>
  </si>
  <si>
    <t>苗栗縣竹南鎮科研路36號竹南科學園區行政服務中心2樓訓練教室</t>
  </si>
  <si>
    <t>天賜爾</t>
  </si>
  <si>
    <t>(26943)宜蘭縣冬山鄉梅花路732號</t>
  </si>
  <si>
    <t>宜蘭縣羅東鎮純精路一段109號5樓(羅東鎮農會第一會議廳)</t>
  </si>
  <si>
    <t>中裕新藥</t>
  </si>
  <si>
    <t>台北市內湖區瑞光路607號3樓</t>
  </si>
  <si>
    <t>元富證券股份有限公司教育訓練中心（台北市大安區敦化南路二段97號11樓）</t>
  </si>
  <si>
    <t>優你康</t>
  </si>
  <si>
    <t>(30075)新竹科學工業園區新竹縣工業東九路16號</t>
  </si>
  <si>
    <t>明躍國際</t>
  </si>
  <si>
    <t>彰化縣埔心鄉瑤鳳路一段398號</t>
  </si>
  <si>
    <t>彰化縣埔心鄉瑤鳳路一段398號 (本公司2F會議室)</t>
  </si>
  <si>
    <t>300新竹市公道五路二段91號</t>
  </si>
  <si>
    <t>新竹市公道五路二段91號</t>
  </si>
  <si>
    <t>11503台北市南港區園區街3號19樓之1</t>
  </si>
  <si>
    <t>友霖</t>
  </si>
  <si>
    <t>展旺</t>
  </si>
  <si>
    <t>350新竹科學工業園區苗栗縣竹南鎮科中路29號</t>
  </si>
  <si>
    <t>苗栗縣竹南鎮科研路36號(竹南園區服務處)</t>
  </si>
  <si>
    <t>泰宗</t>
  </si>
  <si>
    <t>(114)台北市內湖區基湖路35巷11號7樓</t>
  </si>
  <si>
    <t>鑫品生醫</t>
  </si>
  <si>
    <t>因華</t>
  </si>
  <si>
    <t>台北市內湖區堤頂大道二段207號（學學文創志業一樓）</t>
  </si>
  <si>
    <t>柏登</t>
  </si>
  <si>
    <t>百丹特</t>
  </si>
  <si>
    <t>23675新北市土城區中央路4段51號2樓</t>
  </si>
  <si>
    <t>福永生物</t>
  </si>
  <si>
    <t>(30077)新竹科學工業園區新竹縣研發三路8號</t>
  </si>
  <si>
    <t>新竹科學工業園區研發三路8號(本公司地下室)</t>
  </si>
  <si>
    <t>尖端醫</t>
  </si>
  <si>
    <t>(10663)台北市復興南路二段363號5樓</t>
  </si>
  <si>
    <t>新北市汐止區康寧街169巷21號(活動中心)</t>
  </si>
  <si>
    <t>得榮</t>
  </si>
  <si>
    <t>(62158)嘉義縣民雄鄉北斗村26鄰新生街10號</t>
  </si>
  <si>
    <t>群益金鼎證券</t>
  </si>
  <si>
    <t>法德藥</t>
  </si>
  <si>
    <t>新北市中和區連城路236號5樓之1</t>
  </si>
  <si>
    <t>禾生技</t>
  </si>
  <si>
    <t>台北市內湖區內湖路一段88號4樓</t>
  </si>
  <si>
    <t>新北市汐止區新台五路一段100號14樓</t>
  </si>
  <si>
    <t>暐世</t>
  </si>
  <si>
    <t>展頌</t>
  </si>
  <si>
    <t>(407)台中市西屯區市政路386號19樓之6</t>
  </si>
  <si>
    <t>雲林縣斗六市斗六擴大工業區斗工十路156號(斗六廠3F會議室)</t>
  </si>
  <si>
    <t>敏成</t>
  </si>
  <si>
    <t>桃園市中壢區合圳北路二段545號(敏成公司會議室)</t>
  </si>
  <si>
    <t>旭東機械</t>
  </si>
  <si>
    <t>42152台中市后里區后里里后科南路30號</t>
  </si>
  <si>
    <t>台中市后里區后科南路30號</t>
  </si>
  <si>
    <t>大詠城</t>
  </si>
  <si>
    <t>(50544)彰化縣鹿港鎮鹿工南六路23號</t>
  </si>
  <si>
    <t>彰化縣鹿港鎮鹿工南六路23號(大詠城機械股份有限公司2樓會議室)</t>
  </si>
  <si>
    <t>全球傳動</t>
  </si>
  <si>
    <t>萬在</t>
  </si>
  <si>
    <t>台南市關廟區中山路二段260號</t>
  </si>
  <si>
    <t>台南市歸仁區信義南路78號(歸仁文化中心B1會議室)</t>
  </si>
  <si>
    <t>春日</t>
  </si>
  <si>
    <t>(82063)高雄市岡山區大寶街50號</t>
  </si>
  <si>
    <t>高雄市岡山區大寶街50號(本公司會議室)</t>
  </si>
  <si>
    <t>銘鈺</t>
  </si>
  <si>
    <t>桃園市觀音工業區國瑞路2號</t>
  </si>
  <si>
    <t>觀音工業區服務中心三樓禮堂(桃園市觀音區工業五路3號)</t>
  </si>
  <si>
    <t>長亨</t>
  </si>
  <si>
    <t>高雄市路竹區竹南里路科十路9號</t>
  </si>
  <si>
    <t>高雄市路竹區路科五路23號(南部科學工業園區管理局高雄園區401會議室)</t>
  </si>
  <si>
    <t>智伸科</t>
  </si>
  <si>
    <t>新北市汐止區新台五路一段102號16樓</t>
  </si>
  <si>
    <t>盛復</t>
  </si>
  <si>
    <t>台中市南屯區工業區19路8號</t>
  </si>
  <si>
    <t>橙的</t>
  </si>
  <si>
    <t>台中市中部科學工業園區科雅路29號5樓</t>
  </si>
  <si>
    <t>台中市西屯區東大路一段951號四樓(逢甲大學中科校區 A401講堂)</t>
  </si>
  <si>
    <t>台灣氣立</t>
  </si>
  <si>
    <t>新北市泰山區貴鳳街21 號</t>
  </si>
  <si>
    <t>旭然國際</t>
  </si>
  <si>
    <t>雲林縣斗六市科工一路5號</t>
  </si>
  <si>
    <t>寶緯</t>
  </si>
  <si>
    <t>彰化縣北斗鎮財神路30號</t>
  </si>
  <si>
    <t>彰化縣北斗鎮財神路30號(本公司二樓大會議室)</t>
  </si>
  <si>
    <t>久裕興</t>
  </si>
  <si>
    <t>台中市大雅區西寶里昌平路4段462巷9號</t>
  </si>
  <si>
    <t>台中市大雅區西寶里昌平路4段462巷9號(本公司三樓會議室)</t>
  </si>
  <si>
    <t>通用矽酮</t>
  </si>
  <si>
    <t>(300) 新竹市香山區南港街52巷9-1號</t>
  </si>
  <si>
    <t>新竹市香山區南港街52巷9-1號(本公司學習會議室)</t>
  </si>
  <si>
    <t>彥臣生技</t>
  </si>
  <si>
    <t>(105)台北市松山區八德路三段36號6樓</t>
  </si>
  <si>
    <t>正揚</t>
  </si>
  <si>
    <t>台北市士林區基河路10號12樓(會議室)</t>
  </si>
  <si>
    <t>尚化</t>
  </si>
  <si>
    <t>104台北市中山區中山北路三段22號</t>
  </si>
  <si>
    <t>慕德生</t>
  </si>
  <si>
    <t>(11570) 台北市南港區成功路一段32號9樓之1</t>
  </si>
  <si>
    <t>台北市南港區成功路一段32號9樓</t>
  </si>
  <si>
    <t>泓瀚科技</t>
  </si>
  <si>
    <t>(30094)新竹市中華路四段402-1號</t>
  </si>
  <si>
    <t>皇將</t>
  </si>
  <si>
    <t>41280台中市大里區仁化里工業九路190號</t>
  </si>
  <si>
    <t>台中市大里區工業九路190號4樓</t>
  </si>
  <si>
    <t>聯超</t>
  </si>
  <si>
    <t>台北市南京東路二段206號13樓之5</t>
  </si>
  <si>
    <t>台北市建國北路二段7號15樓(首都大飯店紐約廳)</t>
  </si>
  <si>
    <t>國碳科</t>
  </si>
  <si>
    <t>桃園市蘆竹區海湖里海湖東路217號(海湖活動中心)</t>
  </si>
  <si>
    <t>樂美館</t>
  </si>
  <si>
    <t>F-大略</t>
  </si>
  <si>
    <t>昇華</t>
  </si>
  <si>
    <t>台北市內湖區行愛路176號4樓</t>
  </si>
  <si>
    <t>台北市內湖區行愛路176號4樓(本公司會議室)</t>
  </si>
  <si>
    <t>尚芳國際</t>
  </si>
  <si>
    <t>23875新北市樹林區忠義街21號</t>
  </si>
  <si>
    <t>新北市樹林區忠義街21號 (本公司一樓會議室)</t>
  </si>
  <si>
    <t>宏陽</t>
  </si>
  <si>
    <t>新竹科學園區創新一路19-1號6樓</t>
  </si>
  <si>
    <t>新竹科學工業園區研發五路六號二樓會議室</t>
  </si>
  <si>
    <t>力士科技</t>
  </si>
  <si>
    <t>(248)新北市五股區中興路一段10號9樓之1</t>
  </si>
  <si>
    <t>智微</t>
  </si>
  <si>
    <t>(30076)新竹科學工業園區新竹縣創新一路13號1樓</t>
  </si>
  <si>
    <t>晶積</t>
  </si>
  <si>
    <t>F-康控</t>
  </si>
  <si>
    <t>23674新北市土城區忠承路32號7樓</t>
  </si>
  <si>
    <t>新北市土城區忠承路32號7樓(本公司會議室)</t>
  </si>
  <si>
    <t>有成精密</t>
  </si>
  <si>
    <t>精拓科技</t>
  </si>
  <si>
    <t>(302)新竹縣竹北市台元街36號3樓之7</t>
  </si>
  <si>
    <t>新竹縣竹北市台元街26號2樓(台元一期會館2樓多功能會議室)</t>
  </si>
  <si>
    <t>天鈺</t>
  </si>
  <si>
    <t>(30078)新竹科學工業園區新竹市篤行路6-8號3樓</t>
  </si>
  <si>
    <t>十銓</t>
  </si>
  <si>
    <t>(235)新北巿中和區建一路166號3樓</t>
  </si>
  <si>
    <t>立積</t>
  </si>
  <si>
    <t>台北市114內湖區堤頂大道二段407巷20弄1號3樓</t>
  </si>
  <si>
    <t>(30075) 新竹市科學工業園區園區二路9-1號</t>
  </si>
  <si>
    <t>佐臻</t>
  </si>
  <si>
    <t>(22161)新北市汐止區大同路一段239號17樓之1</t>
  </si>
  <si>
    <t>晶美</t>
  </si>
  <si>
    <t>苗栗縣竹南鎮仁義街5號</t>
  </si>
  <si>
    <t>新竹科學工業園區新竹市新安路2號(第一會議室)</t>
  </si>
  <si>
    <t>(30077)新竹科學工業園區新竹巿研新二路1號6樓</t>
  </si>
  <si>
    <t>萬達光電</t>
  </si>
  <si>
    <t>兆豐證券</t>
  </si>
  <si>
    <t>全訊科技</t>
  </si>
  <si>
    <t>74145台南科學工業園區 台南市新市區大順七路90號</t>
  </si>
  <si>
    <t>南部科學工業園區台南市新市區南科三路26號2樓台灣科學工業園區同業公會南區辦事處201會議室</t>
  </si>
  <si>
    <t>台中市南屯區精科東路15號</t>
  </si>
  <si>
    <t>立宇高新</t>
  </si>
  <si>
    <t>(813)高雄市左營區菜公一路62巷15號</t>
  </si>
  <si>
    <t>有量科技</t>
  </si>
  <si>
    <t>永豐金證券(股)公司 股務代理部</t>
  </si>
  <si>
    <t>威力能</t>
  </si>
  <si>
    <t>(11492)台北市內湖區瑞光路407號10樓</t>
  </si>
  <si>
    <t>台北市內湖區堤頂大道二段207號4樓</t>
  </si>
  <si>
    <t>建騰創達</t>
  </si>
  <si>
    <t>11493 台北市內湖區堤頂大道二段407巷20弄1號7F</t>
  </si>
  <si>
    <t>佳晶科</t>
  </si>
  <si>
    <t>27049宜蘭縣蘇澳鎮頂寮里頂平路22號</t>
  </si>
  <si>
    <t>宜蘭縣蘇澳鎮頂寮里頂寮路2號「頂寮文教活動中心」</t>
  </si>
  <si>
    <t>弘凱光電</t>
  </si>
  <si>
    <t>智晶</t>
  </si>
  <si>
    <t>350新竹科學工業園區苗栗縣竹南鎮科北二路8號</t>
  </si>
  <si>
    <t>景傳光電</t>
  </si>
  <si>
    <t>(23142)新北市新店區建國路276號5樓</t>
  </si>
  <si>
    <t>新北市新店區北新路1段92號3樓文化劇場演藝廳</t>
  </si>
  <si>
    <t>台新國際商業銀行</t>
  </si>
  <si>
    <t>維鈦光</t>
  </si>
  <si>
    <t>11492台北市內湖區瑞光路358巷30弄12號</t>
  </si>
  <si>
    <t>銳捷</t>
  </si>
  <si>
    <t>33341桃園市龜山區山頂里山鶯路文華巷5號</t>
  </si>
  <si>
    <t>桃園市桃園區大誠路9號(經濟部工業局龜山工業區服務中心第一會議室)</t>
  </si>
  <si>
    <t>虹堡</t>
  </si>
  <si>
    <t>(23143)新北市新店區北新路3段207-5號6樓</t>
  </si>
  <si>
    <t>新北市新店區北新路三段213號3樓D室(台北矽谷國際會議中心)</t>
  </si>
  <si>
    <t>立達國際</t>
  </si>
  <si>
    <t>台北市內湖區西湖里瑞光路480號12樓</t>
  </si>
  <si>
    <t>立達國際電子股份有限公司(地址：台北市內湖區瑞光路480號12樓)</t>
  </si>
  <si>
    <t>龍翩真空</t>
  </si>
  <si>
    <t>(435)台中市梧棲區草湳里大通路二號</t>
  </si>
  <si>
    <t>龍翩真空科技股份有限公司，台中市梧棲區大通路2號</t>
  </si>
  <si>
    <t>華南永昌</t>
  </si>
  <si>
    <t>紘通企業</t>
  </si>
  <si>
    <t>(248)新北市五股區中興路一段8號3樓之7之8</t>
  </si>
  <si>
    <t>葳天科技</t>
  </si>
  <si>
    <t>桃園市中壢區西園路89號一樓</t>
  </si>
  <si>
    <t>禾聯碩</t>
  </si>
  <si>
    <t>桃園市龜山區華亞科技園區科技三路88號1樓</t>
  </si>
  <si>
    <t>育駿科技</t>
  </si>
  <si>
    <t>105台北市松山區南京東路三段248號16樓之2</t>
  </si>
  <si>
    <t>台北市八德路三段2號B1</t>
  </si>
  <si>
    <t>捷音特</t>
  </si>
  <si>
    <t>(330)桃園縣桃園市大林路22號</t>
  </si>
  <si>
    <t>懷藝</t>
  </si>
  <si>
    <t>(70955)台南市安南區工業二路59號</t>
  </si>
  <si>
    <t>杰力</t>
  </si>
  <si>
    <t>(302)新竹縣竹北市台元街22號4樓之1</t>
  </si>
  <si>
    <t>新竹縣竹北市台元街22號4樓之1</t>
  </si>
  <si>
    <t>廣朋建設</t>
  </si>
  <si>
    <t>台北市中山區長安東路一段18號7樓</t>
  </si>
  <si>
    <t>台北市中正區衡陽路51號11樓(祥瑞廳)</t>
  </si>
  <si>
    <t>瑞興銀行</t>
  </si>
  <si>
    <t>台北市延平北路2段133號及135巷2號</t>
  </si>
  <si>
    <t>台北市徐州路46號，市長官邸藝文沙龍</t>
  </si>
  <si>
    <t>新光證券股份有限公司股務代理部</t>
  </si>
  <si>
    <t>致和證券</t>
  </si>
  <si>
    <t>台南市北區西門路三段十號</t>
  </si>
  <si>
    <t>台南勞工育樂中心（台南市南門路261號）</t>
  </si>
  <si>
    <t>上海商銀</t>
  </si>
  <si>
    <t>台北市中山區民權東路一段２號</t>
  </si>
  <si>
    <t>福邦證券</t>
  </si>
  <si>
    <t>驊陞科技</t>
  </si>
  <si>
    <t>(221)新北市汐止區大同路一段237號15樓之1</t>
  </si>
  <si>
    <t>台北市南港區三重路19-11號E棟四樓(南港軟體育成中心)</t>
  </si>
  <si>
    <t>聯嘉光電</t>
  </si>
  <si>
    <t>(35053)新竹科學工業園區苗栗縣竹南鎮科東一路二號</t>
  </si>
  <si>
    <t>新竹科學工業園區苗栗縣竹南鎮科東一路二號</t>
  </si>
  <si>
    <t>助群營造</t>
  </si>
  <si>
    <t>台北市民生東路三段156號19樓</t>
  </si>
  <si>
    <t>台北市敦化北路100號2樓王朝大酒店</t>
  </si>
  <si>
    <t>群登科技</t>
  </si>
  <si>
    <t>桃園市桃園區延平路147號(婦女館101會議室1F)</t>
  </si>
  <si>
    <t>相互</t>
  </si>
  <si>
    <t>新北市新莊區化成路195巷25號</t>
  </si>
  <si>
    <t>新北市新莊區頭前路2巷5號1樓(新莊安國宮活動中心)</t>
  </si>
  <si>
    <t>瑞祺電通</t>
  </si>
  <si>
    <t>新北市樹林區博愛街242號8樓</t>
  </si>
  <si>
    <t>新北市樹林區博愛街242號綜合棟1樓會議室</t>
  </si>
  <si>
    <t>韋僑</t>
  </si>
  <si>
    <t>台中市大里區工業九路一號</t>
  </si>
  <si>
    <t>詠昇</t>
  </si>
  <si>
    <t>億而得</t>
  </si>
  <si>
    <t>新竹縣竹北市台元街28號7樓之2</t>
  </si>
  <si>
    <t>易發</t>
  </si>
  <si>
    <t>桃園市中壢區自強四路3-2號(本公司)</t>
  </si>
  <si>
    <t>台灣淘米</t>
  </si>
  <si>
    <t>今展科技</t>
  </si>
  <si>
    <t>新北市三重區重新路五段646號14樓</t>
  </si>
  <si>
    <t>達輝光</t>
  </si>
  <si>
    <t>新竹科學工業園區苗栗縣竹南鎮科北二路3號</t>
  </si>
  <si>
    <t>新竹科學工業園區苗栗縣竹南鎮科北二路3號1樓會議室</t>
  </si>
  <si>
    <t>大中</t>
  </si>
  <si>
    <t>新竹科學工業園區篤行一路6號5樓</t>
  </si>
  <si>
    <t>邑鋒</t>
  </si>
  <si>
    <t>台北市內湖區瑞光路302號2樓</t>
  </si>
  <si>
    <t>台北市內湖區瑞光路302號2樓(邑鋒會議室)</t>
  </si>
  <si>
    <t>中國信託商業銀行股務代理</t>
  </si>
  <si>
    <t>迅得</t>
  </si>
  <si>
    <t>桃園市中壢區榮民路396號2樓(中壢區中山里集會所)</t>
  </si>
  <si>
    <t>廣錠</t>
  </si>
  <si>
    <t>台北市北投區立德路121巷12號3樓</t>
  </si>
  <si>
    <t>元晶</t>
  </si>
  <si>
    <t>新北市新店區北新路3段225號8樓</t>
  </si>
  <si>
    <t>新竹縣湖口鄉光復北路85號4樓(本公司新竹廠)</t>
  </si>
  <si>
    <t>經絡動力</t>
  </si>
  <si>
    <t>台北市承德路四段222號8樓</t>
  </si>
  <si>
    <t>藥華醫藥</t>
  </si>
  <si>
    <t>台北市南港區園區街3號13樓</t>
  </si>
  <si>
    <t>南港展覽館504a會議室(台北市南港區經貿二路1號5F)</t>
  </si>
  <si>
    <t>健永生技</t>
  </si>
  <si>
    <t>台北市基隆路二段51號五樓之6</t>
  </si>
  <si>
    <t>台北市濟南路一段2-1號台大校友會館(3A會議室)</t>
  </si>
  <si>
    <t>兆鑫</t>
  </si>
  <si>
    <t>台南市南區彰南里中華西路一段21號</t>
  </si>
  <si>
    <t>紘康科技</t>
  </si>
  <si>
    <t>台北市士林區承德路四段172號5樓</t>
  </si>
  <si>
    <t>益得</t>
  </si>
  <si>
    <t>台北市內湖區瑞光路358巷36號3樓</t>
  </si>
  <si>
    <t>台北市內湖區堤頂大道二段207號(學學文創志業)</t>
  </si>
  <si>
    <t>神盾</t>
  </si>
  <si>
    <t>台北市內湖區瑞光路360號2樓</t>
  </si>
  <si>
    <t>台數科</t>
  </si>
  <si>
    <t>威潤</t>
  </si>
  <si>
    <t>泰合生技</t>
  </si>
  <si>
    <t>棒辣椒</t>
  </si>
  <si>
    <t>台北市內湖區內湖路一段300號5樓之2</t>
  </si>
  <si>
    <t>大樹醫藥</t>
  </si>
  <si>
    <t>桃園市中壢區成章四街143號</t>
  </si>
  <si>
    <t>宇智</t>
  </si>
  <si>
    <t>新竹市金山八街1號3樓</t>
  </si>
  <si>
    <t>聯生藥</t>
  </si>
  <si>
    <t>新竹縣湖口鄉光復北路45號</t>
  </si>
  <si>
    <t>保瑞藥業</t>
  </si>
  <si>
    <t>台北市內湖區行愛路69號6樓</t>
  </si>
  <si>
    <t>台北市內湖區瑞光路399號1樓(自由時報會議中心)</t>
  </si>
  <si>
    <t>*玩家</t>
  </si>
  <si>
    <t>新北市新店區北新路3段213號6樓</t>
  </si>
  <si>
    <t>台北矽谷國際會議中心(新北市新店區北新路三段213號2樓)</t>
  </si>
  <si>
    <t>岱煒</t>
  </si>
  <si>
    <t>新北市土城區民權街17號</t>
  </si>
  <si>
    <t>安集</t>
  </si>
  <si>
    <t>台南市安南區科技五路19號</t>
  </si>
  <si>
    <t>台南市安南區工業二路31號經濟部南台灣創新園區服務館</t>
  </si>
  <si>
    <t>瑞寶</t>
  </si>
  <si>
    <t>台北市大安區仁愛路4段25-1號3樓</t>
  </si>
  <si>
    <t>世界科</t>
  </si>
  <si>
    <t>台中市梧棲區中港加工區經三路1號</t>
  </si>
  <si>
    <t>中國信託</t>
  </si>
  <si>
    <t>弘煜科技</t>
  </si>
  <si>
    <t>台中市臺灣大道二段186號15樓之2</t>
  </si>
  <si>
    <t>日盛證券(股)公司股務代理部</t>
  </si>
  <si>
    <t>原創生醫</t>
  </si>
  <si>
    <t>台南市新市區環東路一段31巷6號2樓</t>
  </si>
  <si>
    <t>點序</t>
  </si>
  <si>
    <t>新竹市水源街93號7樓-2</t>
  </si>
  <si>
    <t>互動</t>
  </si>
  <si>
    <t>新北市五股區五工五路三十八之一號</t>
  </si>
  <si>
    <t>新北市五股區五工五路38-1號(一樓會議室)</t>
  </si>
  <si>
    <t>源一</t>
  </si>
  <si>
    <t>新北市汐止區新台五路一段75號8樓之7</t>
  </si>
  <si>
    <t>台北市南港區三重路19-11號E棟4樓會議室</t>
  </si>
  <si>
    <t>環球晶圓</t>
  </si>
  <si>
    <t>新竹科學工業園區工業東二路1號2樓(新竹科學工業園區科技生活館達  爾文廳)</t>
  </si>
  <si>
    <t>德晶</t>
  </si>
  <si>
    <t>台北市大安區羅斯福路三段171號12樓之1</t>
  </si>
  <si>
    <t>新竹縣竹北市中和街191巷5號(本公司會議室)</t>
  </si>
  <si>
    <t>凌昇科</t>
  </si>
  <si>
    <t>桃園市龜山區頂湖路54號</t>
  </si>
  <si>
    <t>桃園市龜山區文二一街68號(福容大飯店林口一樓水晶廳)</t>
  </si>
  <si>
    <t>國票綜合證券股務代理部</t>
  </si>
  <si>
    <t>晶碩</t>
  </si>
  <si>
    <t>桃園市龜山區興業街5號2樓之1</t>
  </si>
  <si>
    <t>本公司桃園廠(桃園市龜山區興業街5號)</t>
  </si>
  <si>
    <t>生華科</t>
  </si>
  <si>
    <t>新北市新店區北新路3段205之1號9樓</t>
  </si>
  <si>
    <t>新北市新店區北新路三段223號2樓(國際會議中心)</t>
  </si>
  <si>
    <t>雷虎生技</t>
  </si>
  <si>
    <t>台中市西屯區工業區六路七號2樓</t>
  </si>
  <si>
    <t>九齊科技</t>
  </si>
  <si>
    <t>新竹市水利路81號7樓之1</t>
  </si>
  <si>
    <t>科懋生技</t>
  </si>
  <si>
    <t>台北市南港區園區街3號14樓之6</t>
  </si>
  <si>
    <t>久禾光電</t>
  </si>
  <si>
    <t>臺中市西屯區工業區六路8號3樓</t>
  </si>
  <si>
    <t>台中市西屯區工業區六路八號(本公司會議室)</t>
  </si>
  <si>
    <t>永豐金證券(股)公司</t>
  </si>
  <si>
    <t>益安</t>
  </si>
  <si>
    <t>台北市士林區後港街116號7F</t>
  </si>
  <si>
    <t>台北市敦化南路二段97號11樓(元富證券會議室)</t>
  </si>
  <si>
    <t>新力美</t>
  </si>
  <si>
    <t>(111)台北市士林區中山北路6段88號6樓</t>
  </si>
  <si>
    <t>彰濱廠會議室（彰化縣線西鄉彰濱東三路6號）</t>
  </si>
  <si>
    <t>精測</t>
  </si>
  <si>
    <t>桃園巿平鎮區工業三路15號</t>
  </si>
  <si>
    <t>啟發電子</t>
  </si>
  <si>
    <t>新竹縣竹北市復興一街251號5樓之1</t>
  </si>
  <si>
    <t>新竹縣竹北巿復興一街251號5樓(寰宇廳)</t>
  </si>
  <si>
    <t>勤崴國際</t>
  </si>
  <si>
    <t>台北市中正區羅斯福路二段100號3樓</t>
  </si>
  <si>
    <t>台北市中正區羅斯福路二段100號4樓</t>
  </si>
  <si>
    <t>保勝光學</t>
  </si>
  <si>
    <t>台中市潭子區台中加工出口區建國路14號</t>
  </si>
  <si>
    <t>金樺</t>
  </si>
  <si>
    <t>邑錡</t>
  </si>
  <si>
    <t>台北市內湖區洲子街105及107號4樓</t>
  </si>
  <si>
    <t>鈦昇科技</t>
  </si>
  <si>
    <t>高雄市燕巢區橫山路六十一號</t>
  </si>
  <si>
    <t>高雄市燕巢區橫山路61號</t>
  </si>
  <si>
    <t>昇陽國際</t>
  </si>
  <si>
    <t>新竹科學園區新竹市力行路6號</t>
  </si>
  <si>
    <t>東元精電</t>
  </si>
  <si>
    <t>天瑞企業</t>
  </si>
  <si>
    <t>桃園市蘆竹區新南路一段305巷5弄1-3號(本公司會議室)</t>
  </si>
  <si>
    <t>帝聞</t>
  </si>
  <si>
    <t>(231444)新北市新店區寶高路5號</t>
  </si>
  <si>
    <t>新北市新店區寶高路5號</t>
  </si>
  <si>
    <t>神通電腦</t>
  </si>
  <si>
    <t>(114)北市內湖區堤頂大道2段187號</t>
  </si>
  <si>
    <t>台北市內湖區堤頂大道二段187號一樓視訊會議廳</t>
  </si>
  <si>
    <t>利汎科技</t>
  </si>
  <si>
    <t>(30648)新竹縣關西鎮大同里13鄰水坑40號</t>
  </si>
  <si>
    <t>台北市萬華區莒光路310號7樓</t>
  </si>
  <si>
    <t>旭德科技</t>
  </si>
  <si>
    <t>新竹縣湖口鄉光復北路8號</t>
  </si>
  <si>
    <t>研能科技</t>
  </si>
  <si>
    <t>新竹科學園區研發二路28號1樓</t>
  </si>
  <si>
    <t>桃園市觀音區榮工南路6號(本公司會議室)</t>
  </si>
  <si>
    <t>生展生技</t>
  </si>
  <si>
    <t>台南市新營區開元路154號A棟</t>
  </si>
  <si>
    <t>台南市新營區開元路154號(生達化學製藥股份有限公司第三會議室)</t>
  </si>
  <si>
    <t>三竹資訊</t>
  </si>
  <si>
    <t>(10459)台北市新生北路二段39號11樓</t>
  </si>
  <si>
    <t>台北市新生北路二段三十九號四樓（本公司會議室）</t>
  </si>
  <si>
    <t>臺視</t>
  </si>
  <si>
    <t>臺北市八德路三段十號</t>
  </si>
  <si>
    <t>臺北市八德路三段十號本公司大會議廳</t>
  </si>
  <si>
    <t>新東亞</t>
  </si>
  <si>
    <t>桃園市觀音區樹林里工業一路7號</t>
  </si>
  <si>
    <t>錢櫃企業</t>
  </si>
  <si>
    <t>110 臺北市信義區忠孝東路5段293號5樓</t>
  </si>
  <si>
    <t>台北市內湖區瑞湖街39號11樓</t>
  </si>
  <si>
    <t>大國鋼</t>
  </si>
  <si>
    <t>(717)台南市仁德區義林路122號</t>
  </si>
  <si>
    <t>台南市仁德區義林路122號員工餐廳</t>
  </si>
  <si>
    <t>昶昕</t>
  </si>
  <si>
    <t>33845 桃園市蘆竹區南興里忠孝西路185號2樓</t>
  </si>
  <si>
    <t>中國信託商業銀行-代理部</t>
  </si>
  <si>
    <t>綠電再生</t>
  </si>
  <si>
    <t>23674新北市土城區承天路85之2號</t>
  </si>
  <si>
    <t>F-綠河</t>
  </si>
  <si>
    <t>高雄市楠梓區高雄大學路700號(工學院地下室育成中心)</t>
  </si>
  <si>
    <t>影一</t>
  </si>
  <si>
    <t>台北市松山區光復南路35號7樓</t>
  </si>
  <si>
    <t>柏文</t>
  </si>
  <si>
    <t>高雄市左營區博愛三路102號1-2樓</t>
  </si>
  <si>
    <t>高雄市左營區崇德路801號(蓮潭國際會館會議室)</t>
  </si>
  <si>
    <t>潤泰精材</t>
  </si>
  <si>
    <t>台北市八德路2段308號10F</t>
  </si>
  <si>
    <t>億豐</t>
  </si>
  <si>
    <t>夠麻吉</t>
  </si>
  <si>
    <t>台北市大安區市民大道四段100號4樓</t>
  </si>
  <si>
    <t>台北市敦化南路一段1號10樓 (財團法人土地改革紀念館)</t>
  </si>
  <si>
    <t>燁聯鋼鐵</t>
  </si>
  <si>
    <t>高雄市岡山區興隆街600號</t>
  </si>
  <si>
    <t>台北股務室</t>
  </si>
  <si>
    <t>儀大</t>
  </si>
  <si>
    <t>台南市安平工業區新樂路36號</t>
  </si>
  <si>
    <t>台南市新樂路36號(本公司四樓教育訓練中心)</t>
  </si>
  <si>
    <t>address</t>
    <phoneticPr fontId="2" type="noConversion"/>
  </si>
  <si>
    <t>match</t>
    <phoneticPr fontId="2" type="noConversion"/>
  </si>
  <si>
    <t>台灣集中保管結算所股份有限公司</t>
  </si>
  <si>
    <t>http://www.stockvote.com.tw</t>
  </si>
  <si>
    <t>強制</t>
  </si>
  <si>
    <t>(02)2702-3999</t>
  </si>
  <si>
    <t>02-23892999</t>
  </si>
  <si>
    <t>2381-6288</t>
  </si>
  <si>
    <t>--</t>
  </si>
  <si>
    <t>(02)6636-5566</t>
  </si>
  <si>
    <t>02-25865859</t>
  </si>
  <si>
    <t>&lt;b&gt;&lt;font color='red'&gt;自願&lt;/font&gt;&lt;/b&gt;</t>
  </si>
  <si>
    <t>02-66365566</t>
  </si>
  <si>
    <t>(02)2746-3797</t>
  </si>
  <si>
    <t>02-27023999</t>
  </si>
  <si>
    <t>02-23148800</t>
  </si>
  <si>
    <t>02-2746-3797</t>
  </si>
  <si>
    <t>(02)7719-8899</t>
  </si>
  <si>
    <t>02-25936666</t>
  </si>
  <si>
    <t>02-23816288</t>
  </si>
  <si>
    <t>(02)2586-5859</t>
  </si>
  <si>
    <t>(02)23148800</t>
  </si>
  <si>
    <t>02-33930898</t>
  </si>
  <si>
    <t>02-27463797</t>
  </si>
  <si>
    <t>(02)2381-6288</t>
  </si>
  <si>
    <t>02-23118787</t>
  </si>
  <si>
    <t>2586-5859</t>
  </si>
  <si>
    <t>02-27186425</t>
  </si>
  <si>
    <t>2389-2999</t>
  </si>
  <si>
    <t>(02)2504-8125</t>
  </si>
  <si>
    <t>02-25419977</t>
  </si>
  <si>
    <t>(02)27035000</t>
  </si>
  <si>
    <t>(02)2361-1300</t>
  </si>
  <si>
    <t>02-23618608</t>
  </si>
  <si>
    <t>(02)2768-6668</t>
  </si>
  <si>
    <t>02-25048125</t>
  </si>
  <si>
    <t>(02)2389-2999</t>
  </si>
  <si>
    <t>02-2586-5859</t>
  </si>
  <si>
    <t>02-23611300</t>
  </si>
  <si>
    <t>02-6636-5566</t>
  </si>
  <si>
    <t>02-2702-3999</t>
  </si>
  <si>
    <t>02-27035000</t>
  </si>
  <si>
    <t>(02)2541-9977</t>
  </si>
  <si>
    <t>(02)2593-6666</t>
  </si>
  <si>
    <t>(02)2718-6425</t>
  </si>
  <si>
    <t>02-27686668</t>
  </si>
  <si>
    <t>2541-9977</t>
  </si>
  <si>
    <t>(02)2181-2688</t>
  </si>
  <si>
    <t>02-2768-6668</t>
  </si>
  <si>
    <t>02-87871888</t>
  </si>
  <si>
    <t>02-27478266</t>
  </si>
  <si>
    <t>(02)2703-5000</t>
  </si>
  <si>
    <t>02-2562-1658</t>
  </si>
  <si>
    <t>02-2504-8125</t>
  </si>
  <si>
    <t>02-25635711</t>
  </si>
  <si>
    <t>(02)25863117</t>
  </si>
  <si>
    <t>02-2381-6288</t>
  </si>
  <si>
    <t>(02)3393-0898</t>
  </si>
  <si>
    <t>02-2747-8266</t>
  </si>
  <si>
    <t>02-2361-1300</t>
  </si>
  <si>
    <t>(02)2563-5711</t>
  </si>
  <si>
    <t>02-23268818</t>
  </si>
  <si>
    <t>2747-8266</t>
  </si>
  <si>
    <t>02-2389-2999</t>
  </si>
  <si>
    <t>(02)-25048125</t>
  </si>
  <si>
    <t>02-7719-8899</t>
  </si>
  <si>
    <t>2746-3797</t>
  </si>
  <si>
    <t>(02)2747-8266</t>
  </si>
  <si>
    <t>2504-8125</t>
  </si>
  <si>
    <t>(02)2361-8600</t>
  </si>
  <si>
    <t>2361-1300</t>
  </si>
  <si>
    <t>02-77198899</t>
  </si>
  <si>
    <t>02-2181-2688</t>
  </si>
  <si>
    <t>02-2563-5711</t>
  </si>
  <si>
    <t>02-2541-9977</t>
  </si>
  <si>
    <t>(02)8787-1888</t>
  </si>
  <si>
    <t>2702-3999</t>
  </si>
  <si>
    <t>02-3393-0898</t>
  </si>
  <si>
    <t>????</t>
  </si>
  <si>
    <t>02-27905885</t>
  </si>
  <si>
    <t>(02)2326-8818</t>
  </si>
  <si>
    <t>02-2586-3117</t>
  </si>
  <si>
    <t>尚未確定</t>
  </si>
  <si>
    <t>(02)2518-4933</t>
  </si>
  <si>
    <t>(02)2567-5001</t>
  </si>
  <si>
    <t>(02)2298-1347</t>
  </si>
  <si>
    <t>(02)8993-1760</t>
  </si>
  <si>
    <t>02-22902258</t>
  </si>
  <si>
    <t>(02)8691-6000</t>
  </si>
  <si>
    <t>03-5878575</t>
  </si>
  <si>
    <t>07-7871521</t>
  </si>
  <si>
    <t>(02)2619-5619</t>
  </si>
  <si>
    <t>02-27033337</t>
  </si>
  <si>
    <t>06-6235143</t>
  </si>
  <si>
    <t>04-8655701</t>
  </si>
  <si>
    <t>03-6992860</t>
  </si>
  <si>
    <t>03-3249948</t>
  </si>
  <si>
    <t>(06)505-5858</t>
  </si>
  <si>
    <t>06-5783988</t>
  </si>
  <si>
    <t>05-2219180</t>
  </si>
  <si>
    <t>06-5984121</t>
  </si>
  <si>
    <t>06-6362121~3</t>
  </si>
  <si>
    <t>(02)27951777</t>
  </si>
  <si>
    <t>06-5110123</t>
  </si>
  <si>
    <t>02-27025999</t>
  </si>
  <si>
    <t>(02)2578-8999</t>
  </si>
  <si>
    <t>6626-1166</t>
  </si>
  <si>
    <t>(03)666-9596</t>
  </si>
  <si>
    <t>03-3853934</t>
  </si>
  <si>
    <t>02-27357658</t>
  </si>
  <si>
    <t>02-2705-1333</t>
  </si>
  <si>
    <t>07-8022811</t>
  </si>
  <si>
    <t>07-7873942</t>
  </si>
  <si>
    <t>07-6225669</t>
  </si>
  <si>
    <t>04-7810000</t>
  </si>
  <si>
    <t>07-7889168</t>
  </si>
  <si>
    <t>(05)2211411</t>
  </si>
  <si>
    <t>04-26815496</t>
  </si>
  <si>
    <t>06-6991235</t>
  </si>
  <si>
    <t>04-26575790</t>
  </si>
  <si>
    <t>(03)3973868</t>
  </si>
  <si>
    <t>(02)27478266</t>
  </si>
  <si>
    <t>(02)8787-8096</t>
  </si>
  <si>
    <t>02-2703-5000</t>
  </si>
  <si>
    <t>02-25160966</t>
  </si>
  <si>
    <t>07-9697988</t>
  </si>
  <si>
    <t>03-3255688</t>
  </si>
  <si>
    <t>(02)8178-3100</t>
  </si>
  <si>
    <t>(02)5572-0798</t>
  </si>
  <si>
    <t>(02)2248-3988</t>
  </si>
  <si>
    <t>(03)550-7750</t>
  </si>
  <si>
    <t>(02)7725-0800</t>
  </si>
  <si>
    <t>02-22997755</t>
  </si>
  <si>
    <t>(02)2789-3636</t>
  </si>
  <si>
    <t>(02)6638-5168</t>
  </si>
  <si>
    <t>(02)85110555</t>
  </si>
  <si>
    <t>(02)8768-2628</t>
  </si>
  <si>
    <t>(07)2695166</t>
  </si>
  <si>
    <t>03-2220268</t>
  </si>
  <si>
    <t>02-2652-2689</t>
  </si>
  <si>
    <t>(04)22966999</t>
  </si>
  <si>
    <t>(02)29174550</t>
  </si>
  <si>
    <t>02-87518337</t>
  </si>
  <si>
    <t>2792-8558</t>
  </si>
  <si>
    <t>03-3529333</t>
  </si>
  <si>
    <t>(02)2222-6638</t>
  </si>
  <si>
    <t>03-397-5999</t>
  </si>
  <si>
    <t>02-25708818</t>
  </si>
  <si>
    <t>02-23253800</t>
  </si>
  <si>
    <t>(03)3125599</t>
  </si>
  <si>
    <t>02-26959935</t>
  </si>
  <si>
    <t>03-5601501</t>
  </si>
  <si>
    <t>03-3653121</t>
  </si>
  <si>
    <t>03-5183030</t>
  </si>
  <si>
    <t>02-87978947</t>
  </si>
  <si>
    <t>07-6955236</t>
  </si>
  <si>
    <t>(03)5987008</t>
  </si>
  <si>
    <t>03-4775846</t>
  </si>
  <si>
    <t>03-5799500</t>
  </si>
  <si>
    <t>[02]2653-5200</t>
  </si>
  <si>
    <t>(02)2627-8687</t>
  </si>
  <si>
    <t>02-26557166</t>
  </si>
  <si>
    <t>02-2809-5651</t>
  </si>
  <si>
    <t>02-22693789</t>
  </si>
  <si>
    <t>(03)396-3399</t>
  </si>
  <si>
    <t>(02)2662-6074</t>
  </si>
  <si>
    <t>03-5302747</t>
  </si>
  <si>
    <t>02-26558000</t>
  </si>
  <si>
    <t>03-469-0038</t>
  </si>
  <si>
    <t>(02)2698-3466</t>
  </si>
  <si>
    <t>02-8787-1888</t>
  </si>
  <si>
    <t>(02)2912-9198</t>
  </si>
  <si>
    <t>03-5795317</t>
  </si>
  <si>
    <t>02-2326-8818</t>
  </si>
  <si>
    <t>03-6662866</t>
  </si>
  <si>
    <t>03-3573689</t>
  </si>
  <si>
    <t>8797-5025</t>
  </si>
  <si>
    <t>03-5780080</t>
  </si>
  <si>
    <t>03-4788188</t>
  </si>
  <si>
    <t>04-23026088</t>
  </si>
  <si>
    <t>03-5526568</t>
  </si>
  <si>
    <t>02-8228-0886</t>
  </si>
  <si>
    <t>03-5976688</t>
  </si>
  <si>
    <t>03-5936565</t>
  </si>
  <si>
    <t>02- 2586-5859</t>
  </si>
  <si>
    <t>(04)2355-0011</t>
  </si>
  <si>
    <t>03-4624068</t>
  </si>
  <si>
    <t>07-7877690</t>
  </si>
  <si>
    <t>(02)2692-3889</t>
  </si>
  <si>
    <t>(02)8228-6088</t>
  </si>
  <si>
    <t>03-5645656</t>
  </si>
  <si>
    <t>(03)5799909</t>
  </si>
  <si>
    <t>(04)23105088</t>
  </si>
  <si>
    <t>03-5600588</t>
  </si>
  <si>
    <t>(02)22995048</t>
  </si>
  <si>
    <t>(02)8692-7999</t>
  </si>
  <si>
    <t>06-3840155</t>
  </si>
  <si>
    <t>06-5703853</t>
  </si>
  <si>
    <t>(03)396-0001</t>
  </si>
  <si>
    <t>03-3858181</t>
  </si>
  <si>
    <t>07-3358639</t>
  </si>
  <si>
    <t>(02)26426789</t>
  </si>
  <si>
    <t>03-4899054</t>
  </si>
  <si>
    <t>02-89901653</t>
  </si>
  <si>
    <t>2999-8658</t>
  </si>
  <si>
    <t>049-2261626</t>
  </si>
  <si>
    <t>(06)5050662</t>
  </si>
  <si>
    <t>02-87973566</t>
  </si>
  <si>
    <t>04-25659888</t>
  </si>
  <si>
    <t>03-5770099</t>
  </si>
  <si>
    <t>07-8158800</t>
  </si>
  <si>
    <t>03-6111666</t>
  </si>
  <si>
    <t>(03)433-1818</t>
  </si>
  <si>
    <t>(02)8751-1222</t>
  </si>
  <si>
    <t>02-27517878</t>
  </si>
  <si>
    <t>03-2220998</t>
  </si>
  <si>
    <t>03-5228823</t>
  </si>
  <si>
    <t>(04)25587889</t>
  </si>
  <si>
    <t>03-6687000</t>
  </si>
  <si>
    <t>03-3135577</t>
  </si>
  <si>
    <t>049-2323825</t>
  </si>
  <si>
    <t>(04)23588966</t>
  </si>
  <si>
    <t>(06)3840777</t>
  </si>
  <si>
    <t>02-8226-2088</t>
  </si>
  <si>
    <t>03-3756899</t>
  </si>
  <si>
    <t>02-85123068</t>
  </si>
  <si>
    <t>(02)82262345</t>
  </si>
  <si>
    <t>03-5512035</t>
  </si>
  <si>
    <t>03-3162168</t>
  </si>
  <si>
    <t>(03)326-7897</t>
  </si>
  <si>
    <t>02-32340101</t>
  </si>
  <si>
    <t>(02)2452-5533</t>
  </si>
  <si>
    <t>03-3852628</t>
  </si>
  <si>
    <t>(02)82263799</t>
  </si>
  <si>
    <t>03-4965000</t>
  </si>
  <si>
    <t>(03)301-0008</t>
  </si>
  <si>
    <t>02-27998166</t>
  </si>
  <si>
    <t>03-5513355</t>
  </si>
  <si>
    <t>(06)3841313</t>
  </si>
  <si>
    <t>02  22251688</t>
  </si>
  <si>
    <t>03-5790068</t>
  </si>
  <si>
    <t>03-5601168</t>
  </si>
  <si>
    <t>04-23590111</t>
  </si>
  <si>
    <t>02-25219090</t>
  </si>
  <si>
    <t>02-8797-5788</t>
  </si>
  <si>
    <t>02-22269586</t>
  </si>
  <si>
    <t>02-82269989</t>
  </si>
  <si>
    <t>02-22982666</t>
  </si>
  <si>
    <t>02-23816228</t>
  </si>
  <si>
    <t>(03)322-2901</t>
  </si>
  <si>
    <t>03-5799-599</t>
  </si>
  <si>
    <t>(02)8751-5191</t>
  </si>
  <si>
    <t>03-3289289</t>
  </si>
  <si>
    <t>03-5181686</t>
  </si>
  <si>
    <t>(03)5638599</t>
  </si>
  <si>
    <t>(02)86926677</t>
  </si>
  <si>
    <t>03-5544308</t>
  </si>
  <si>
    <t>(02)8964-6668</t>
  </si>
  <si>
    <t>03-5973366</t>
  </si>
  <si>
    <t>(03)2126201</t>
  </si>
  <si>
    <t>03-5599999</t>
  </si>
  <si>
    <t>03-6116678</t>
  </si>
  <si>
    <t>02-82269396</t>
  </si>
  <si>
    <t>04-35009325</t>
  </si>
  <si>
    <t>02-22186789</t>
  </si>
  <si>
    <t>03-5986336</t>
  </si>
  <si>
    <t>03-397-8800</t>
  </si>
  <si>
    <t>(02)29016600</t>
  </si>
  <si>
    <t>02-29176857</t>
  </si>
  <si>
    <t>037-484199</t>
  </si>
  <si>
    <t>04-26864526</t>
  </si>
  <si>
    <t>(02)8209-2883</t>
  </si>
  <si>
    <t>(02)23823358</t>
  </si>
  <si>
    <t>02-87510123</t>
  </si>
  <si>
    <t>(02)2267-8151</t>
  </si>
  <si>
    <t>(02)87510777</t>
  </si>
  <si>
    <t>(02)89121122</t>
  </si>
  <si>
    <t>03-6669229</t>
  </si>
  <si>
    <t>(02)29123662</t>
  </si>
  <si>
    <t>07-6955125</t>
  </si>
  <si>
    <t>1-4082408797</t>
  </si>
  <si>
    <t>03-5776686</t>
  </si>
  <si>
    <t>02-26989661</t>
  </si>
  <si>
    <t>(02)2662-0011</t>
  </si>
  <si>
    <t>02-2268-9141</t>
  </si>
  <si>
    <t>(02)2917-7353</t>
  </si>
  <si>
    <t>03-3568600</t>
  </si>
  <si>
    <t>03-5981886</t>
  </si>
  <si>
    <t>(03)313-8386</t>
  </si>
  <si>
    <t>04-26811344</t>
  </si>
  <si>
    <t>(02)8797-1288</t>
  </si>
  <si>
    <t>26525999-2311</t>
  </si>
  <si>
    <t>(02)25710269</t>
  </si>
  <si>
    <t>07-9700568</t>
  </si>
  <si>
    <t>(03)5983811</t>
  </si>
  <si>
    <t>07-5575242</t>
  </si>
  <si>
    <t>(02)8797-7100</t>
  </si>
  <si>
    <t>02-28955050</t>
  </si>
  <si>
    <t>02-26483099</t>
  </si>
  <si>
    <t>02-26558558</t>
  </si>
  <si>
    <t>(03)577-3351</t>
  </si>
  <si>
    <t>03-5982221</t>
  </si>
  <si>
    <t>037-585585</t>
  </si>
  <si>
    <t>(02)2221-7733</t>
  </si>
  <si>
    <t>(07)555-0864</t>
  </si>
  <si>
    <t>02) 2541-9977</t>
  </si>
  <si>
    <t>(02)22268631</t>
  </si>
  <si>
    <t>65-6281-3888</t>
  </si>
  <si>
    <t>(02)2795-1777</t>
  </si>
  <si>
    <t>037-626699</t>
  </si>
  <si>
    <t>02-25158228</t>
  </si>
  <si>
    <t>04-23595336</t>
  </si>
  <si>
    <t>(02)2695-2968</t>
  </si>
  <si>
    <t>04-24639869</t>
  </si>
  <si>
    <t>(02)8227-7999</t>
  </si>
  <si>
    <t>(02)2655-8799</t>
  </si>
  <si>
    <t>(03)3970761</t>
  </si>
  <si>
    <t>02-2657-3350</t>
  </si>
  <si>
    <t>02-27136227</t>
  </si>
  <si>
    <t>(02)2764-0826</t>
  </si>
  <si>
    <t>(02)8792-2699</t>
  </si>
  <si>
    <t>07-6515511</t>
  </si>
  <si>
    <t>03-2125889</t>
  </si>
  <si>
    <t>02-2361-8600</t>
  </si>
  <si>
    <t>06-7835100</t>
  </si>
  <si>
    <t>(06)5701211</t>
  </si>
  <si>
    <t>(02)2961-2112</t>
  </si>
  <si>
    <t>04-26393256</t>
  </si>
  <si>
    <t>2552-5757</t>
  </si>
  <si>
    <t>(02)2563-9136</t>
  </si>
  <si>
    <t>07-5352939</t>
  </si>
  <si>
    <t>04-8883072</t>
  </si>
  <si>
    <t>(03) 438-9538</t>
  </si>
  <si>
    <t>04-7556111</t>
  </si>
  <si>
    <t>(02)8976-9056</t>
  </si>
  <si>
    <t>02-85127888</t>
  </si>
  <si>
    <t>04-7582899</t>
  </si>
  <si>
    <t>04-7115298</t>
  </si>
  <si>
    <t>02-2551-1166</t>
  </si>
  <si>
    <t>04-25662116</t>
  </si>
  <si>
    <t>(047)991126</t>
  </si>
  <si>
    <t>02-2717-5757</t>
  </si>
  <si>
    <t>07-6192345</t>
  </si>
  <si>
    <t>04-23592000</t>
  </si>
  <si>
    <t>02-27037300</t>
  </si>
  <si>
    <t>02-25060911</t>
  </si>
  <si>
    <t>02-27186211</t>
  </si>
  <si>
    <t>(03)3525466</t>
  </si>
  <si>
    <t>(037)626123</t>
  </si>
  <si>
    <t>04-7990118</t>
  </si>
  <si>
    <t>07-6955331</t>
  </si>
  <si>
    <t>(03)359-1777</t>
  </si>
  <si>
    <t>(02)22696789</t>
  </si>
  <si>
    <t>02-26552288</t>
  </si>
  <si>
    <t>03-4529888</t>
  </si>
  <si>
    <t>(02)-27859081</t>
  </si>
  <si>
    <t>2351-1212</t>
  </si>
  <si>
    <t>(02)25620950</t>
  </si>
  <si>
    <t>(02)87126883</t>
  </si>
  <si>
    <t>06-5920381</t>
  </si>
  <si>
    <t>07-3711321</t>
  </si>
  <si>
    <t>03-4833788</t>
  </si>
  <si>
    <t>06-5053288</t>
  </si>
  <si>
    <t>(07)6243769</t>
  </si>
  <si>
    <t>(02)85121568</t>
  </si>
  <si>
    <t>02-66258188</t>
  </si>
  <si>
    <t>(03)598-3101</t>
  </si>
  <si>
    <t>02-26558098</t>
  </si>
  <si>
    <t>(02)2325-2008</t>
  </si>
  <si>
    <t>(02)2989-4756</t>
  </si>
  <si>
    <t>03-5779211</t>
  </si>
  <si>
    <t>02-26583000</t>
  </si>
  <si>
    <t>(04)2258-5357</t>
  </si>
  <si>
    <t>(03)5986799</t>
  </si>
  <si>
    <t>03-4722191</t>
  </si>
  <si>
    <t>02-2550-3425</t>
  </si>
  <si>
    <t>03-3074830</t>
  </si>
  <si>
    <t>03-6569308</t>
  </si>
  <si>
    <t>02-8751-1699</t>
  </si>
  <si>
    <t>02-8912-1818</t>
  </si>
  <si>
    <t>02-27006958</t>
  </si>
  <si>
    <t>02-27008899</t>
  </si>
  <si>
    <t>02-77458888</t>
  </si>
  <si>
    <t>02-27005658</t>
  </si>
  <si>
    <t>02-2627-9109</t>
  </si>
  <si>
    <t>02-86857855</t>
  </si>
  <si>
    <t>02-8797-8833</t>
  </si>
  <si>
    <t>(02)8228-6401</t>
  </si>
  <si>
    <t>(03)452-5188</t>
  </si>
  <si>
    <t>02-2225-8580</t>
  </si>
  <si>
    <t>02-87986922</t>
  </si>
  <si>
    <t>(02)8919-1858</t>
  </si>
  <si>
    <t>06-6520031</t>
  </si>
  <si>
    <t>07-6125899</t>
  </si>
  <si>
    <t>06-7263311</t>
  </si>
  <si>
    <t>(03)385-6985</t>
  </si>
  <si>
    <t>03-4511493</t>
  </si>
  <si>
    <t>049-2253551</t>
  </si>
  <si>
    <t>04-8323161</t>
  </si>
  <si>
    <t>(02)2528-1335</t>
  </si>
  <si>
    <t>(02)7721-0111</t>
  </si>
  <si>
    <t>(02)2395-5616</t>
  </si>
  <si>
    <t>(04)2258-8809</t>
  </si>
  <si>
    <t>(02)2785-3839</t>
  </si>
  <si>
    <t>02-8791-9799</t>
  </si>
  <si>
    <t>03-5722691</t>
  </si>
  <si>
    <t>03-5601296</t>
  </si>
  <si>
    <t>02-2578-9393</t>
  </si>
  <si>
    <t>03-368-9520</t>
  </si>
  <si>
    <t>02-82276126</t>
  </si>
  <si>
    <t>02-82278582</t>
  </si>
  <si>
    <t>02-82273366</t>
  </si>
  <si>
    <t>07-5372869</t>
  </si>
  <si>
    <t>(03)5785818</t>
  </si>
  <si>
    <t>03-5789568</t>
  </si>
  <si>
    <t>02-2649-7298</t>
  </si>
  <si>
    <t>886-287871888</t>
  </si>
  <si>
    <t>02-23650103</t>
  </si>
  <si>
    <t>02-25415566</t>
  </si>
  <si>
    <t>(02)2999-5691</t>
  </si>
  <si>
    <t>02-77033000</t>
  </si>
  <si>
    <t>03-3596066</t>
  </si>
  <si>
    <t>02-25022577</t>
  </si>
  <si>
    <t>2659-0055</t>
  </si>
  <si>
    <t>(06)3037111</t>
  </si>
  <si>
    <t>(02)2790-0088</t>
  </si>
  <si>
    <t>03-5784866</t>
  </si>
  <si>
    <t>04-25314277</t>
  </si>
  <si>
    <t>(03)262-1888</t>
  </si>
  <si>
    <t>(02)2834-8392</t>
  </si>
  <si>
    <t>(07)7015333</t>
  </si>
  <si>
    <t>03-4754728</t>
  </si>
  <si>
    <t>03-5770345</t>
  </si>
  <si>
    <t>03-2805160</t>
  </si>
  <si>
    <t>02-33227981</t>
  </si>
  <si>
    <t>03-5770355</t>
  </si>
  <si>
    <t>(03)5780393</t>
  </si>
  <si>
    <t>(02)2311-8787</t>
  </si>
  <si>
    <t>(03)4839611</t>
  </si>
  <si>
    <t>(03)5782345</t>
  </si>
  <si>
    <t>03-3222201</t>
  </si>
  <si>
    <t>03-3667382</t>
  </si>
  <si>
    <t>(02)7725-5356</t>
  </si>
  <si>
    <t>03-4610732</t>
  </si>
  <si>
    <t>(03)4696175</t>
  </si>
  <si>
    <t>02-82273277</t>
  </si>
  <si>
    <t>(02)25472089</t>
  </si>
  <si>
    <t>02-27576099</t>
  </si>
  <si>
    <t>(02)2799-6789</t>
  </si>
  <si>
    <t>2995-1436</t>
  </si>
  <si>
    <t>2361-8600</t>
  </si>
  <si>
    <t>(03)4733112</t>
  </si>
  <si>
    <t>03-3767800</t>
  </si>
  <si>
    <t>03-5639999</t>
  </si>
  <si>
    <t>2659-1588</t>
  </si>
  <si>
    <t>2269-6669</t>
  </si>
  <si>
    <t>03-5822863</t>
  </si>
  <si>
    <t>03-2120088</t>
  </si>
  <si>
    <t>(02)22022241</t>
  </si>
  <si>
    <t>05-2216696</t>
  </si>
  <si>
    <t>(03)326-9123</t>
  </si>
  <si>
    <t>03-5787720</t>
  </si>
  <si>
    <t>(02)23921233</t>
  </si>
  <si>
    <t>03-4726448</t>
  </si>
  <si>
    <t>(07)815-0988</t>
  </si>
  <si>
    <t>(03)4623949</t>
  </si>
  <si>
    <t>03-4528650</t>
  </si>
  <si>
    <t>03-577-2233</t>
  </si>
  <si>
    <t>02-82265916</t>
  </si>
  <si>
    <t>2563-5711</t>
  </si>
  <si>
    <t>03-3285480</t>
  </si>
  <si>
    <t>(02)2659-8898</t>
  </si>
  <si>
    <t>03-5772738</t>
  </si>
  <si>
    <t>(02)2917-5598</t>
  </si>
  <si>
    <t>02-27081730</t>
  </si>
  <si>
    <t>(03)366-0667</t>
  </si>
  <si>
    <t>07-2229460</t>
  </si>
  <si>
    <t>02-25863117</t>
  </si>
  <si>
    <t>(04)22013611</t>
  </si>
  <si>
    <t>(02)21002288</t>
  </si>
  <si>
    <t>02-27720267</t>
  </si>
  <si>
    <t>03-5348168</t>
  </si>
  <si>
    <t>(02)2810-3001</t>
  </si>
  <si>
    <t>04-23262593</t>
  </si>
  <si>
    <t>03-6126000</t>
  </si>
  <si>
    <t>04-22615288</t>
  </si>
  <si>
    <t>(02)24515151</t>
  </si>
  <si>
    <t>02-86926001</t>
  </si>
  <si>
    <t>04-23598181</t>
  </si>
  <si>
    <t>(02)27963660</t>
  </si>
  <si>
    <t>05-5825789</t>
  </si>
  <si>
    <t>(02)2561-5888</t>
  </si>
  <si>
    <t>(02)5558-5988</t>
  </si>
  <si>
    <t>(02)-27478266</t>
  </si>
  <si>
    <t>(02)2523-9588</t>
  </si>
  <si>
    <t>06-2411000</t>
  </si>
  <si>
    <t>07-2247799</t>
  </si>
  <si>
    <t>(02)2779-0866</t>
  </si>
  <si>
    <t>2717-6000</t>
  </si>
  <si>
    <t>2700-2888</t>
  </si>
  <si>
    <t>2703-5000</t>
  </si>
  <si>
    <t>(03)579-5222</t>
  </si>
  <si>
    <t>02-8913-1888</t>
  </si>
  <si>
    <t>(02)77318888</t>
  </si>
  <si>
    <t>(07)6116156</t>
  </si>
  <si>
    <t>02-23770282</t>
  </si>
  <si>
    <t>(02)87525858</t>
  </si>
  <si>
    <t>(02)26577675</t>
  </si>
  <si>
    <t>(02)22191600</t>
  </si>
  <si>
    <t>03-5695920</t>
  </si>
  <si>
    <t>8751-0858</t>
  </si>
  <si>
    <t>02-87923001</t>
  </si>
  <si>
    <t>(02)2655-1166</t>
  </si>
  <si>
    <t>(02)2786-3797</t>
  </si>
  <si>
    <t>(03)5992862</t>
  </si>
  <si>
    <t>(03)450-7531</t>
  </si>
  <si>
    <t>02-66296288</t>
  </si>
  <si>
    <t>02-27511005</t>
  </si>
  <si>
    <t>(02)2298-8066</t>
  </si>
  <si>
    <t>(03)5642000</t>
  </si>
  <si>
    <t>02-2501-5568</t>
  </si>
  <si>
    <t>(03)6006066</t>
  </si>
  <si>
    <t>(02)26962468</t>
  </si>
  <si>
    <t>(03)567-8788</t>
  </si>
  <si>
    <t>(02)2356-3996</t>
  </si>
  <si>
    <t>(03)386-8820</t>
  </si>
  <si>
    <t>(07)2366221</t>
  </si>
  <si>
    <t>(03)4781089</t>
  </si>
  <si>
    <t>03-3766666</t>
  </si>
  <si>
    <t>02-86471166</t>
  </si>
  <si>
    <t>(02)8913-2711</t>
  </si>
  <si>
    <t>02)2702-3999</t>
  </si>
  <si>
    <t>(02)26967155</t>
  </si>
  <si>
    <t>(02)2717-1033</t>
  </si>
  <si>
    <t>04-23558168</t>
  </si>
  <si>
    <t>02-2655-7000</t>
  </si>
  <si>
    <t>(02)27965959</t>
  </si>
  <si>
    <t>(04)23580031</t>
  </si>
  <si>
    <t>(03)475-3355</t>
  </si>
  <si>
    <t>04-25335978</t>
  </si>
  <si>
    <t>(037)222899</t>
  </si>
  <si>
    <t>02-86961585</t>
  </si>
  <si>
    <t>(02)82269166</t>
  </si>
  <si>
    <t>(03)4815001</t>
  </si>
  <si>
    <t>(07)607-1828</t>
  </si>
  <si>
    <t>03-3288090</t>
  </si>
  <si>
    <t>03-452-7777</t>
  </si>
  <si>
    <t>03-3460289</t>
  </si>
  <si>
    <t>(02)8522-5188</t>
  </si>
  <si>
    <t>(02)87523988</t>
  </si>
  <si>
    <t>(03)4604000</t>
  </si>
  <si>
    <t>02-26590338</t>
  </si>
  <si>
    <t>02-27463666</t>
  </si>
  <si>
    <t>(03)357-7799</t>
  </si>
  <si>
    <t>07-8159877</t>
  </si>
  <si>
    <t>(06)246-0296</t>
  </si>
  <si>
    <t>(03)4529556</t>
  </si>
  <si>
    <t>(03)6886188</t>
  </si>
  <si>
    <t>02-29612525</t>
  </si>
  <si>
    <t>(02)2559-6163</t>
  </si>
  <si>
    <t>04-23273030</t>
  </si>
  <si>
    <t>03-4778846</t>
  </si>
  <si>
    <t>03-5163089</t>
  </si>
  <si>
    <t>2586-5859　</t>
  </si>
  <si>
    <t>03-5551771</t>
  </si>
  <si>
    <t>02-25456888</t>
  </si>
  <si>
    <t>(02)8913-2200</t>
  </si>
  <si>
    <t>(02)2695-1620</t>
  </si>
  <si>
    <t>02-26546363</t>
  </si>
  <si>
    <t>04-26820177</t>
  </si>
  <si>
    <t>02-77230555</t>
  </si>
  <si>
    <t>02-87731100</t>
  </si>
  <si>
    <t>02-23830383</t>
  </si>
  <si>
    <t>02-27938818</t>
  </si>
  <si>
    <t>(06)2012452</t>
  </si>
  <si>
    <t>(06)5050789</t>
  </si>
  <si>
    <t>02-86926060</t>
  </si>
  <si>
    <t>(02)22990175</t>
  </si>
  <si>
    <t>(02)2222-5678</t>
  </si>
  <si>
    <t>(02)27463666</t>
  </si>
  <si>
    <t>02-2795-2801</t>
  </si>
  <si>
    <t>02)8792-7788</t>
  </si>
  <si>
    <t>03-6669968</t>
  </si>
  <si>
    <t>2219-9518</t>
  </si>
  <si>
    <t>(02)88615558</t>
  </si>
  <si>
    <t>(02)2916-1997</t>
  </si>
  <si>
    <t>03-5386139</t>
  </si>
  <si>
    <t>02-26980098</t>
  </si>
  <si>
    <t>03-5551103</t>
  </si>
  <si>
    <t>(07)3713588</t>
  </si>
  <si>
    <t>02-2799-0022</t>
  </si>
  <si>
    <t>037 585 555</t>
  </si>
  <si>
    <t>03-5770033</t>
  </si>
  <si>
    <t>02-25433567</t>
  </si>
  <si>
    <t>03-5772500</t>
  </si>
  <si>
    <t>03-3554556</t>
  </si>
  <si>
    <t>06-2258899</t>
  </si>
  <si>
    <t>(02)22699888</t>
  </si>
  <si>
    <t>02-27276801</t>
  </si>
  <si>
    <t>(02)82278989</t>
  </si>
  <si>
    <t>(02)77392260</t>
  </si>
  <si>
    <t>(06)5053700</t>
  </si>
  <si>
    <t>049-2257450</t>
  </si>
  <si>
    <t>06-5702181</t>
  </si>
  <si>
    <t>07-7887600</t>
  </si>
  <si>
    <t>06-5950688</t>
  </si>
  <si>
    <t>03-4643166</t>
  </si>
  <si>
    <t>(02)2162-1689</t>
  </si>
  <si>
    <t>03-5736660</t>
  </si>
  <si>
    <t>(02)26981143</t>
  </si>
  <si>
    <t>03-5788693</t>
  </si>
  <si>
    <t>04-25658768</t>
  </si>
  <si>
    <t>03-5750275</t>
  </si>
  <si>
    <t>(02)29950535</t>
  </si>
  <si>
    <t>(02)87511779</t>
  </si>
  <si>
    <t>2700-0898</t>
  </si>
  <si>
    <t>02 26946687</t>
  </si>
  <si>
    <t>02 25419977</t>
  </si>
  <si>
    <t>02-27853961</t>
  </si>
  <si>
    <t>(02)2696-7269</t>
  </si>
  <si>
    <t>03-5773177</t>
  </si>
  <si>
    <t>02-2653-5000</t>
  </si>
  <si>
    <t>02-2267-3858</t>
  </si>
  <si>
    <t>(06)5051188</t>
  </si>
  <si>
    <t>(02)87925189</t>
  </si>
  <si>
    <t>02-29953666</t>
  </si>
  <si>
    <t>02-22186500</t>
  </si>
  <si>
    <t>02-26923636</t>
  </si>
  <si>
    <t>06-7266335</t>
  </si>
  <si>
    <t>(02)26981446</t>
  </si>
  <si>
    <t>02-25633200</t>
  </si>
  <si>
    <t>03-5970670</t>
  </si>
  <si>
    <t>(02)2782-0018</t>
  </si>
  <si>
    <t>02-8221-8385</t>
  </si>
  <si>
    <t>02-82218385</t>
  </si>
  <si>
    <t>(02)26730411</t>
  </si>
  <si>
    <t>06-5050999</t>
  </si>
  <si>
    <t>02-86926538</t>
  </si>
  <si>
    <t>02-2631-8809</t>
  </si>
  <si>
    <t>(03)5384900</t>
  </si>
  <si>
    <t>07-7313911</t>
  </si>
  <si>
    <t>03-3161675</t>
  </si>
  <si>
    <t>2655-7699</t>
  </si>
  <si>
    <t>02 86857300</t>
  </si>
  <si>
    <t>02 25048125</t>
  </si>
  <si>
    <t>(02)25915266</t>
  </si>
  <si>
    <t>06-2651288</t>
  </si>
  <si>
    <t>(04)23590668</t>
  </si>
  <si>
    <t>02-77036000</t>
  </si>
  <si>
    <t>02-2798-0337</t>
  </si>
  <si>
    <t>02-2650-3773</t>
  </si>
  <si>
    <t>02-66162000</t>
  </si>
  <si>
    <t>03-4992500</t>
  </si>
  <si>
    <t>02-2218-7688</t>
  </si>
  <si>
    <t>03-5777364</t>
  </si>
  <si>
    <t>07-7871555</t>
  </si>
  <si>
    <t>03-5979999</t>
  </si>
  <si>
    <t>(02)8226-7786</t>
  </si>
  <si>
    <t>07-9717777</t>
  </si>
  <si>
    <t>03-3115555</t>
  </si>
  <si>
    <t>02-87982301</t>
  </si>
  <si>
    <t>02-26598159</t>
  </si>
  <si>
    <t>(02)87971108</t>
  </si>
  <si>
    <t>03-2121199</t>
  </si>
  <si>
    <t>2381-1183</t>
  </si>
  <si>
    <t>6636-5566</t>
  </si>
  <si>
    <t>03-386-4289</t>
  </si>
  <si>
    <t>037-586896</t>
  </si>
  <si>
    <t>06-2081997</t>
  </si>
  <si>
    <t>049-2257852</t>
  </si>
  <si>
    <t>02-6615-8899</t>
  </si>
  <si>
    <t>03-3220022</t>
  </si>
  <si>
    <t>(03)5182368</t>
  </si>
  <si>
    <t>04-36083888</t>
  </si>
  <si>
    <t>03-3469595</t>
  </si>
  <si>
    <t>04-25658333</t>
  </si>
  <si>
    <t>(02)8751-4567</t>
  </si>
  <si>
    <t>(06)3842811</t>
  </si>
  <si>
    <t>02-2795-1618</t>
  </si>
  <si>
    <t>(02)23881991</t>
  </si>
  <si>
    <t>08-7510505</t>
  </si>
  <si>
    <t>03-5982727</t>
  </si>
  <si>
    <t>603-3176 2602</t>
  </si>
  <si>
    <t>(02)2553-3099</t>
  </si>
  <si>
    <t>(02)8522-3008</t>
  </si>
  <si>
    <t>02-27926918</t>
  </si>
  <si>
    <t>02-26558525</t>
  </si>
  <si>
    <t>(02)87972000</t>
  </si>
  <si>
    <t>02-26988112</t>
  </si>
  <si>
    <t>(02)8797-7811</t>
  </si>
  <si>
    <t>02-25121919</t>
  </si>
  <si>
    <t>(02)8978-0555</t>
  </si>
  <si>
    <t>04-23591313</t>
  </si>
  <si>
    <t>2267-3777</t>
  </si>
  <si>
    <t>(07)7416101</t>
  </si>
  <si>
    <t>(02)2755-6180</t>
  </si>
  <si>
    <t>02-27092550</t>
  </si>
  <si>
    <t>(02)77033700</t>
  </si>
  <si>
    <t>(02)2270-6161</t>
  </si>
  <si>
    <t>(02)23066600</t>
  </si>
  <si>
    <t>08-7783855</t>
  </si>
  <si>
    <t>(02)2795-3131</t>
  </si>
  <si>
    <t>(02)2259-6969</t>
  </si>
  <si>
    <t>07-7875510</t>
  </si>
  <si>
    <t>03-352-9862</t>
  </si>
  <si>
    <t>(06)6986623</t>
  </si>
  <si>
    <t>(03)386-8066</t>
  </si>
  <si>
    <t>(02)2627-1828</t>
  </si>
  <si>
    <t>04-26393242</t>
  </si>
  <si>
    <t>02-27051333</t>
  </si>
  <si>
    <t>02-77182918</t>
  </si>
  <si>
    <t>04-25384121</t>
  </si>
  <si>
    <t>07-5573755</t>
  </si>
  <si>
    <t>05-3426621</t>
  </si>
  <si>
    <t>07-8721410</t>
  </si>
  <si>
    <t>02-26591119</t>
  </si>
  <si>
    <t>06-2397257</t>
  </si>
  <si>
    <t>(02)77055168</t>
  </si>
  <si>
    <t>06-2303952</t>
  </si>
  <si>
    <t>(06)2331088</t>
  </si>
  <si>
    <t>07-5369536</t>
  </si>
  <si>
    <t>07-6225616</t>
  </si>
  <si>
    <t>(02)8792-9897</t>
  </si>
  <si>
    <t>089-515005</t>
  </si>
  <si>
    <t>(02)2797-5767</t>
  </si>
  <si>
    <t>(06)5058999</t>
  </si>
  <si>
    <t>(02)88091060</t>
  </si>
  <si>
    <t>(02)87975533</t>
  </si>
  <si>
    <t>(02)26580058</t>
  </si>
  <si>
    <t>037-580100</t>
  </si>
  <si>
    <t>06-5952614</t>
  </si>
  <si>
    <t>(05)551-2322</t>
  </si>
  <si>
    <t>02-2795-5112</t>
  </si>
  <si>
    <t>(037)587168</t>
  </si>
  <si>
    <t>04-24925298</t>
  </si>
  <si>
    <t>02-29998313</t>
  </si>
  <si>
    <t>(03)563-5818</t>
  </si>
  <si>
    <t>(02)2880-4288</t>
  </si>
  <si>
    <t>(02)26589768</t>
  </si>
  <si>
    <t>02-2797-5852</t>
  </si>
  <si>
    <t>03-5797969</t>
  </si>
  <si>
    <t>03-5736032</t>
  </si>
  <si>
    <t>03-5772255</t>
  </si>
  <si>
    <t>(02)2655-7568</t>
  </si>
  <si>
    <t>(03)4691234</t>
  </si>
  <si>
    <t>03-6681958</t>
  </si>
  <si>
    <t>02-87510306</t>
  </si>
  <si>
    <t>(07)6156600</t>
  </si>
  <si>
    <t>07-3453838</t>
  </si>
  <si>
    <t>02-2711-8177</t>
  </si>
  <si>
    <t>永光</t>
  </si>
  <si>
    <t>小包裝臺灣米</t>
  </si>
  <si>
    <t>台北</t>
  </si>
  <si>
    <t>兆豐</t>
  </si>
  <si>
    <t>無</t>
  </si>
  <si>
    <t>華上</t>
  </si>
  <si>
    <t>全家禮物卡50元</t>
  </si>
  <si>
    <t>台北市內湖區瑞湖街58號1樓</t>
  </si>
  <si>
    <t>台新股代,全通,長龍</t>
  </si>
  <si>
    <t>新北</t>
  </si>
  <si>
    <t>(02)26587718</t>
  </si>
  <si>
    <t>邦特</t>
  </si>
  <si>
    <t>毛寶洗衣精</t>
  </si>
  <si>
    <t>亞東股代</t>
  </si>
  <si>
    <t>宜蘭</t>
  </si>
  <si>
    <t>千</t>
  </si>
  <si>
    <t>董監</t>
  </si>
  <si>
    <t>普誠</t>
  </si>
  <si>
    <t>全家禮券50元</t>
  </si>
  <si>
    <t>凱基</t>
  </si>
  <si>
    <t>晶透耐熱玻璃茶具組</t>
  </si>
  <si>
    <t>凱基股代</t>
  </si>
  <si>
    <t>全通,長龍,聯洲,中信股代,日盛股代,永豐股代,富邦股代</t>
  </si>
  <si>
    <t>光聯</t>
  </si>
  <si>
    <t>臺灣米</t>
  </si>
  <si>
    <t>台中</t>
  </si>
  <si>
    <t>永豐</t>
  </si>
  <si>
    <t>鉅橡</t>
  </si>
  <si>
    <t>華南股代</t>
  </si>
  <si>
    <t>台南</t>
  </si>
  <si>
    <t>華南</t>
  </si>
  <si>
    <t>新竹</t>
  </si>
  <si>
    <t>福邦</t>
  </si>
  <si>
    <t>(02)23711658</t>
  </si>
  <si>
    <t>元富</t>
  </si>
  <si>
    <t>類比科</t>
  </si>
  <si>
    <t>柔軟熊天然橘油酵素洗衣粉1KG</t>
  </si>
  <si>
    <t>日盛股代</t>
  </si>
  <si>
    <t>凱基股代,全通,長龍</t>
  </si>
  <si>
    <t>日盛</t>
  </si>
  <si>
    <t>董</t>
  </si>
  <si>
    <t>宏益纖</t>
  </si>
  <si>
    <t>高級香皂</t>
  </si>
  <si>
    <t>桃園</t>
  </si>
  <si>
    <t>群益</t>
  </si>
  <si>
    <t>麗仕香皂禮盒</t>
  </si>
  <si>
    <t>中信</t>
  </si>
  <si>
    <t>池上多力米</t>
  </si>
  <si>
    <t>兆豐股代,全通</t>
  </si>
  <si>
    <t>歌林聲波電動牙刷</t>
  </si>
  <si>
    <t>護牙鴻運好禮</t>
  </si>
  <si>
    <t>良得</t>
  </si>
  <si>
    <t>手工皂</t>
  </si>
  <si>
    <t>康和</t>
  </si>
  <si>
    <t>魔乾超細纖維組合包</t>
  </si>
  <si>
    <t>彰化</t>
  </si>
  <si>
    <t>麗台</t>
  </si>
  <si>
    <t>304不銹鋼碗</t>
  </si>
  <si>
    <t>台新</t>
  </si>
  <si>
    <t>台中銀</t>
  </si>
  <si>
    <t>洗衣精</t>
  </si>
  <si>
    <t>(02)23957388</t>
  </si>
  <si>
    <t>7-11商品卡50元</t>
  </si>
  <si>
    <t>信邦</t>
  </si>
  <si>
    <t>食物料理秤</t>
  </si>
  <si>
    <t>苗栗</t>
  </si>
  <si>
    <t>燙金資料夾</t>
  </si>
  <si>
    <t>台灣產製真空包裝白米600公克</t>
  </si>
  <si>
    <t>抗菌潔手慕斯</t>
  </si>
  <si>
    <t>晶宇</t>
  </si>
  <si>
    <t>機能性軟糖</t>
  </si>
  <si>
    <t>宇瞻</t>
  </si>
  <si>
    <t>隨身碟</t>
  </si>
  <si>
    <t>包裝米</t>
  </si>
  <si>
    <t>愛啟兒愛心襪</t>
  </si>
  <si>
    <t>友勁</t>
  </si>
  <si>
    <t>小包裝米</t>
  </si>
  <si>
    <t>昇貿</t>
  </si>
  <si>
    <t>餐具組</t>
  </si>
  <si>
    <t>第一金股代</t>
  </si>
  <si>
    <t>群益股代,全通</t>
  </si>
  <si>
    <t>第一金</t>
  </si>
  <si>
    <t>昆盈</t>
  </si>
  <si>
    <t>有線耳機</t>
  </si>
  <si>
    <t>建準</t>
  </si>
  <si>
    <t>泡舒天然洗潔精</t>
  </si>
  <si>
    <t>高雄</t>
  </si>
  <si>
    <t>USB 傳輸線</t>
  </si>
  <si>
    <t>崁城黑咖啡(12入)</t>
  </si>
  <si>
    <t>嘉義</t>
  </si>
  <si>
    <t>中裕</t>
  </si>
  <si>
    <t>志聯</t>
  </si>
  <si>
    <t>香皂禮盒</t>
  </si>
  <si>
    <t>菱格紋購物袋</t>
  </si>
  <si>
    <t>米</t>
  </si>
  <si>
    <t>大亞</t>
  </si>
  <si>
    <t>3M菜瓜布</t>
  </si>
  <si>
    <t>宏捷科</t>
  </si>
  <si>
    <t>7-11商品卡200元</t>
  </si>
  <si>
    <t>欣銓</t>
  </si>
  <si>
    <t>發芽玄米</t>
  </si>
  <si>
    <t>東和紡</t>
  </si>
  <si>
    <t>雙肩環保收納袋</t>
  </si>
  <si>
    <t>宜特</t>
  </si>
  <si>
    <t>禮券</t>
  </si>
  <si>
    <t>台驊</t>
  </si>
  <si>
    <t>精美禮品一份</t>
  </si>
  <si>
    <t>晉倫</t>
  </si>
  <si>
    <t>全家禮券</t>
  </si>
  <si>
    <t>宏亞</t>
  </si>
  <si>
    <t>宏亞產品</t>
  </si>
  <si>
    <t>高級原子筆一支</t>
  </si>
  <si>
    <t>南僑</t>
  </si>
  <si>
    <t>葡萄柚籽抗菌水晶洗衣用肥皂液體1.2公斤</t>
  </si>
  <si>
    <t>監</t>
  </si>
  <si>
    <t>全家禮券100元</t>
  </si>
  <si>
    <t>陶瓷刀組</t>
  </si>
  <si>
    <t>元大</t>
  </si>
  <si>
    <t>LED隨身燈</t>
  </si>
  <si>
    <t>明基材</t>
  </si>
  <si>
    <t>精美帆布包</t>
  </si>
  <si>
    <t>春風面紙一串</t>
  </si>
  <si>
    <t>友旺</t>
  </si>
  <si>
    <t>保溫袋</t>
  </si>
  <si>
    <t>毛球修剪器</t>
  </si>
  <si>
    <t>全家禮物卡88元</t>
  </si>
  <si>
    <t>太極</t>
  </si>
  <si>
    <t>全家禮物卡</t>
  </si>
  <si>
    <t>飛宏</t>
  </si>
  <si>
    <t>LED手提露營燈</t>
  </si>
  <si>
    <t>偉詮</t>
  </si>
  <si>
    <t>尚水米一包(300g)</t>
  </si>
  <si>
    <t>環保杯</t>
  </si>
  <si>
    <t>泰豐</t>
  </si>
  <si>
    <t>超商禮券</t>
  </si>
  <si>
    <t>香皂</t>
  </si>
  <si>
    <t>旺玖</t>
  </si>
  <si>
    <t>東隆興</t>
  </si>
  <si>
    <t>機能襪</t>
  </si>
  <si>
    <t>中信股代</t>
  </si>
  <si>
    <t>振曜</t>
  </si>
  <si>
    <t>時報</t>
  </si>
  <si>
    <t>書籍</t>
  </si>
  <si>
    <t>頎邦</t>
  </si>
  <si>
    <t>LED球泡燈</t>
  </si>
  <si>
    <t>阿隆索特級初榨橄欖油</t>
  </si>
  <si>
    <t>全家禮物卡100元</t>
  </si>
  <si>
    <t>LED手電筒開瓶器鎖圈</t>
  </si>
  <si>
    <t>農林</t>
  </si>
  <si>
    <t>農林小舖柚子醋(375ml)一瓶</t>
  </si>
  <si>
    <t>精緻小禮</t>
  </si>
  <si>
    <t>輕薄環保購物袋</t>
  </si>
  <si>
    <t>濕紙巾</t>
  </si>
  <si>
    <t>U型記憶枕</t>
  </si>
  <si>
    <t>清潔用品</t>
  </si>
  <si>
    <t>台新股代</t>
  </si>
  <si>
    <t>台新股代,長龍,全通</t>
  </si>
  <si>
    <t>7-11商品卡100元</t>
  </si>
  <si>
    <t>盛達</t>
  </si>
  <si>
    <t>馬卡龍行李吊牌</t>
  </si>
  <si>
    <t>曜亞</t>
  </si>
  <si>
    <t>面膜</t>
  </si>
  <si>
    <t>矽統</t>
  </si>
  <si>
    <t>陶瓷摺疊刀及削皮器</t>
  </si>
  <si>
    <t>F-佐登</t>
  </si>
  <si>
    <t>(02)23937111</t>
  </si>
  <si>
    <t>漢康</t>
  </si>
  <si>
    <t>洗手露</t>
  </si>
  <si>
    <t>建舜電</t>
  </si>
  <si>
    <t>南僑抗菌洗衣精</t>
  </si>
  <si>
    <t>OhMyGod遊戲點數卡</t>
  </si>
  <si>
    <t>金像</t>
  </si>
  <si>
    <t>高露潔牙膏旅行組</t>
  </si>
  <si>
    <t>杏輝</t>
  </si>
  <si>
    <t>保健食品</t>
  </si>
  <si>
    <t>抗菌精靈護手型乾洗手</t>
  </si>
  <si>
    <t>水潤保濕精華面膜</t>
  </si>
  <si>
    <t>凱碩</t>
  </si>
  <si>
    <t>計算機</t>
  </si>
  <si>
    <t>長龍</t>
  </si>
  <si>
    <t>洗碗精</t>
  </si>
  <si>
    <t>(02)23511212</t>
  </si>
  <si>
    <t>清潔品</t>
  </si>
  <si>
    <t>國眾</t>
  </si>
  <si>
    <t>志聖</t>
  </si>
  <si>
    <t>魔術頭巾</t>
  </si>
  <si>
    <t>群聯</t>
  </si>
  <si>
    <t>精美隨身碟</t>
  </si>
  <si>
    <t>合世</t>
  </si>
  <si>
    <t>萬潤</t>
  </si>
  <si>
    <t>禮卷50元</t>
  </si>
  <si>
    <t>順達</t>
  </si>
  <si>
    <t>北基油票50元</t>
  </si>
  <si>
    <t>不銹鋼叉匙組</t>
  </si>
  <si>
    <t>(02)23956780</t>
  </si>
  <si>
    <t>濟生</t>
  </si>
  <si>
    <t>超保濕多醣玻尿酸保養品</t>
  </si>
  <si>
    <t>今國</t>
  </si>
  <si>
    <t>台灣茶摳橘子衣物去污潔白皂</t>
  </si>
  <si>
    <t>工具組手電筒</t>
  </si>
  <si>
    <t>凌陽</t>
  </si>
  <si>
    <t>7-11商品卡88元</t>
  </si>
  <si>
    <t>蜂王香皂</t>
  </si>
  <si>
    <t>尼克森</t>
  </si>
  <si>
    <t>Maluta梅森瓶450ml(2入/盒)</t>
  </si>
  <si>
    <t>中美晶</t>
  </si>
  <si>
    <t>英國熊陶瓷保鮮碗組</t>
  </si>
  <si>
    <t>晶品米</t>
  </si>
  <si>
    <t>好勁道麵條</t>
  </si>
  <si>
    <t>奇鋐</t>
  </si>
  <si>
    <t>南帝</t>
  </si>
  <si>
    <t>珍珍休閒食品組合包</t>
  </si>
  <si>
    <t>National Pen筆中寶一枝</t>
  </si>
  <si>
    <t>聯合骨</t>
  </si>
  <si>
    <t>指甲剪</t>
  </si>
  <si>
    <t>錸德</t>
  </si>
  <si>
    <t>高級餐巾墊</t>
  </si>
  <si>
    <t>耐熱玻璃烤盤</t>
  </si>
  <si>
    <t>國喬</t>
  </si>
  <si>
    <t>台揚</t>
  </si>
  <si>
    <t>8合1 - LED手電筒</t>
  </si>
  <si>
    <t>毛寶好無比超淨能洗衣精</t>
  </si>
  <si>
    <t>安淨環保酵素洗潔劑</t>
  </si>
  <si>
    <t>櫻花</t>
  </si>
  <si>
    <t>永豐麵禮盒</t>
  </si>
  <si>
    <t>雨傘</t>
  </si>
  <si>
    <t>手工香皂</t>
  </si>
  <si>
    <t>大東</t>
  </si>
  <si>
    <t>潔白牙膏</t>
  </si>
  <si>
    <t>建國</t>
  </si>
  <si>
    <t>商品禮券50元</t>
  </si>
  <si>
    <t>卜蜂</t>
  </si>
  <si>
    <t>雞肉鬆乙包</t>
  </si>
  <si>
    <t>南投</t>
  </si>
  <si>
    <t>統一證</t>
  </si>
  <si>
    <t>好勁道家常麵條</t>
  </si>
  <si>
    <t>兆赫</t>
  </si>
  <si>
    <t>APP撲滿</t>
  </si>
  <si>
    <t>健常活益菌(30粒/瓶)</t>
  </si>
  <si>
    <t>均豪</t>
  </si>
  <si>
    <t>多功能提袋</t>
  </si>
  <si>
    <t>宏遠證</t>
  </si>
  <si>
    <t>修容組</t>
  </si>
  <si>
    <t>光磊</t>
  </si>
  <si>
    <t>精美廚房妙用兩件組</t>
  </si>
  <si>
    <t>高級清潔用品</t>
  </si>
  <si>
    <t>永日</t>
  </si>
  <si>
    <t>永信HAC綠蜂膠噴劑乙瓶</t>
  </si>
  <si>
    <t>菱光</t>
  </si>
  <si>
    <t>耳機</t>
  </si>
  <si>
    <t>健喬</t>
  </si>
  <si>
    <t>鈣質強化甜心嚼錠</t>
  </si>
  <si>
    <t>撼訊</t>
  </si>
  <si>
    <t>麵條</t>
  </si>
  <si>
    <t>德國雙人國際指甲鉗</t>
  </si>
  <si>
    <t>(02)25925252</t>
  </si>
  <si>
    <t>瑞士刀型四合一傳輸線</t>
  </si>
  <si>
    <t>自拍器</t>
  </si>
  <si>
    <t>便利商店商品卷50元</t>
  </si>
  <si>
    <t>安可</t>
  </si>
  <si>
    <t>真空包裝米</t>
  </si>
  <si>
    <t>燜燒杯</t>
  </si>
  <si>
    <t>競國</t>
  </si>
  <si>
    <t>生活用品</t>
  </si>
  <si>
    <t>聯昌</t>
  </si>
  <si>
    <t>盥洗旅行組</t>
  </si>
  <si>
    <t>久正</t>
  </si>
  <si>
    <t>應華</t>
  </si>
  <si>
    <t>超商禮券50元</t>
  </si>
  <si>
    <t>台鹽亮白晶鹽牙膏</t>
  </si>
  <si>
    <t>一詮</t>
  </si>
  <si>
    <t>禮券50元</t>
  </si>
  <si>
    <t>虹光</t>
  </si>
  <si>
    <t>統一超商商品卡</t>
  </si>
  <si>
    <t>凡甲</t>
  </si>
  <si>
    <t>Karrimor環保餐具2入組</t>
  </si>
  <si>
    <t>炫彩LED手電筒</t>
  </si>
  <si>
    <t>崇越</t>
  </si>
  <si>
    <t>健康砂糖</t>
  </si>
  <si>
    <t>香皂2入</t>
  </si>
  <si>
    <t>不鏽鋼餐具組</t>
  </si>
  <si>
    <t>華孚</t>
  </si>
  <si>
    <t>顏帝亞香皂面膜組合</t>
  </si>
  <si>
    <t>華韡</t>
  </si>
  <si>
    <t>毛寶洗衣精一瓶</t>
  </si>
  <si>
    <t>中壢</t>
  </si>
  <si>
    <t>訊聯</t>
  </si>
  <si>
    <t>旅行三件組</t>
  </si>
  <si>
    <t>信音</t>
  </si>
  <si>
    <t>迷美線控自拍桿-混色</t>
  </si>
  <si>
    <t>密扣式玻璃保鮮盒</t>
  </si>
  <si>
    <t>(02)27717953</t>
  </si>
  <si>
    <t>鍋寶玻璃定量油壼</t>
  </si>
  <si>
    <t>單面穿夾克</t>
  </si>
  <si>
    <t>至上</t>
  </si>
  <si>
    <t>LED燈</t>
  </si>
  <si>
    <t>全家禮券60元</t>
  </si>
  <si>
    <t>襪子</t>
  </si>
  <si>
    <t>憶聲</t>
  </si>
  <si>
    <t>精美禮品LED手電筒</t>
  </si>
  <si>
    <t>第一產</t>
  </si>
  <si>
    <t>高級原子筆</t>
  </si>
  <si>
    <t>銀鈦抗菌蔬果保鮮袋</t>
  </si>
  <si>
    <t>洗衣粉</t>
  </si>
  <si>
    <t>長天</t>
  </si>
  <si>
    <t>魔術腰帶</t>
  </si>
  <si>
    <t>超商100元禮券</t>
  </si>
  <si>
    <t>國票金</t>
  </si>
  <si>
    <t>國票</t>
  </si>
  <si>
    <t>好無比超麗潔洗衣精</t>
  </si>
  <si>
    <t>山隆</t>
  </si>
  <si>
    <t>僑威</t>
  </si>
  <si>
    <t>濃縮洗衣粉</t>
  </si>
  <si>
    <t>魔樂神奇牙刷</t>
  </si>
  <si>
    <t>友訊</t>
  </si>
  <si>
    <t>健康陽光米</t>
  </si>
  <si>
    <t>永豐金</t>
  </si>
  <si>
    <t>石斛滋養洗髮精禮盒</t>
  </si>
  <si>
    <t>達方</t>
  </si>
  <si>
    <t>台灣茶樞馬油滋潤皂禮盒</t>
  </si>
  <si>
    <t>泰碩</t>
  </si>
  <si>
    <t>喬鼎</t>
  </si>
  <si>
    <t>便利商店禮券</t>
  </si>
  <si>
    <t>亞東</t>
  </si>
  <si>
    <t>清潔用品組</t>
  </si>
  <si>
    <t>矽創</t>
  </si>
  <si>
    <t>漢科</t>
  </si>
  <si>
    <t>環保餐具組</t>
  </si>
  <si>
    <t>國碩</t>
  </si>
  <si>
    <t>BES手提袋</t>
  </si>
  <si>
    <t>統一股代</t>
  </si>
  <si>
    <t>全通,台總,長龍,聯洲</t>
  </si>
  <si>
    <t>九豪</t>
  </si>
  <si>
    <t>碗碟一套</t>
  </si>
  <si>
    <t>便利商店商品禮券50元</t>
  </si>
  <si>
    <t>伸縮照明燈</t>
  </si>
  <si>
    <t>華新麗華</t>
  </si>
  <si>
    <t>玻璃保鮮盒</t>
  </si>
  <si>
    <t>華泰電</t>
  </si>
  <si>
    <t>愛盲環保購物袋</t>
  </si>
  <si>
    <t>蘭麗綿羊皂</t>
  </si>
  <si>
    <t>休閒後背包</t>
  </si>
  <si>
    <t>飛狼晶漾雙層玻璃瓶</t>
  </si>
  <si>
    <t>自粘便利貼紙組</t>
  </si>
  <si>
    <t>華容</t>
  </si>
  <si>
    <t>LED節能燈泡</t>
  </si>
  <si>
    <t>享食單把鍋</t>
  </si>
  <si>
    <t>吸盤手機架</t>
  </si>
  <si>
    <t>九暘</t>
  </si>
  <si>
    <t>烤盤</t>
  </si>
  <si>
    <t>7-11禮券100元</t>
  </si>
  <si>
    <t>系統</t>
  </si>
  <si>
    <t>3M魔潔吸水巾</t>
  </si>
  <si>
    <t>樺晟</t>
  </si>
  <si>
    <t>台鹽</t>
  </si>
  <si>
    <t>艾草包</t>
  </si>
  <si>
    <t>衣物專用毛絮黏把</t>
  </si>
  <si>
    <t>金寶</t>
  </si>
  <si>
    <t>口袋型計算機</t>
  </si>
  <si>
    <t>玻尿酸精華液</t>
  </si>
  <si>
    <t>掌廚多功能廚房剪刀組</t>
  </si>
  <si>
    <t>和桐</t>
  </si>
  <si>
    <t>環保洗衣精</t>
  </si>
  <si>
    <t>(02)89769268</t>
  </si>
  <si>
    <t>台虹</t>
  </si>
  <si>
    <t>字得其樂</t>
  </si>
  <si>
    <t>高級玻璃水瓶</t>
  </si>
  <si>
    <t>光群雷</t>
  </si>
  <si>
    <t>敦陽科</t>
  </si>
  <si>
    <t>定穎</t>
  </si>
  <si>
    <t>楷捷</t>
  </si>
  <si>
    <t>鑰匙圈</t>
  </si>
  <si>
    <t>黑色後背包乙個</t>
  </si>
  <si>
    <t>繽紛樂活保冷保溫袋</t>
  </si>
  <si>
    <t>USB小米燈</t>
  </si>
  <si>
    <t>味全</t>
  </si>
  <si>
    <t>蔬果多穀穀粉</t>
  </si>
  <si>
    <t>大同娃娃造型燈</t>
  </si>
  <si>
    <t>欣興</t>
  </si>
  <si>
    <t>三陽</t>
  </si>
  <si>
    <t>迷你型家用工具組</t>
  </si>
  <si>
    <t>上緯</t>
  </si>
  <si>
    <t>本公司產品</t>
  </si>
  <si>
    <t>龍邦</t>
  </si>
  <si>
    <t>元大股代</t>
  </si>
  <si>
    <t>福邦股代,全通,長龍,聯洲</t>
  </si>
  <si>
    <t>需電子投票</t>
  </si>
  <si>
    <t>超細纖維眼鏡布</t>
  </si>
  <si>
    <t>新光</t>
  </si>
  <si>
    <t>好無比洗衣精</t>
  </si>
  <si>
    <t>7-11商品卡</t>
  </si>
  <si>
    <t>造型點心碟</t>
  </si>
  <si>
    <t>美亞鋼</t>
  </si>
  <si>
    <t>便利商店禮物卡</t>
  </si>
  <si>
    <t>精美馬克杯</t>
  </si>
  <si>
    <t>同開</t>
  </si>
  <si>
    <t>帛漢寶寶馬克湯杯</t>
  </si>
  <si>
    <t>彬台</t>
  </si>
  <si>
    <t>瓷碗一個</t>
  </si>
  <si>
    <t>東友</t>
  </si>
  <si>
    <t>摩斯漢堡商品兌換券</t>
  </si>
  <si>
    <t>伸縮30LED露營燈</t>
  </si>
  <si>
    <t>神基</t>
  </si>
  <si>
    <t>利華</t>
  </si>
  <si>
    <t>香皂1盒(3入)</t>
  </si>
  <si>
    <t>華義</t>
  </si>
  <si>
    <t>華義服飾商品</t>
  </si>
  <si>
    <t>時尚料理杯</t>
  </si>
  <si>
    <t>遊戲軟體或週邊商品</t>
  </si>
  <si>
    <t>蜂王米皂三入</t>
  </si>
  <si>
    <t>嘉威</t>
  </si>
  <si>
    <t>精美禮品</t>
  </si>
  <si>
    <t>萬通票券</t>
  </si>
  <si>
    <t>家常麵３包</t>
  </si>
  <si>
    <t>統一期</t>
  </si>
  <si>
    <t>廣積</t>
  </si>
  <si>
    <t>不鏽鋼餐具</t>
  </si>
  <si>
    <t>精美手工香皂</t>
  </si>
  <si>
    <t>公司Logo運動毛巾</t>
  </si>
  <si>
    <t>新建</t>
  </si>
  <si>
    <t>鑽石雷射筆</t>
  </si>
  <si>
    <t>鍺鍊</t>
  </si>
  <si>
    <t>瑞興銀</t>
  </si>
  <si>
    <t>紳士襪</t>
  </si>
  <si>
    <t>優盛</t>
  </si>
  <si>
    <t>富喬</t>
  </si>
  <si>
    <t>史努比野營湯杯</t>
  </si>
  <si>
    <t>雲林</t>
  </si>
  <si>
    <t>(02)27051333</t>
  </si>
  <si>
    <t>鈺創</t>
  </si>
  <si>
    <t>聯傑</t>
  </si>
  <si>
    <t>洗手乳</t>
  </si>
  <si>
    <t>鍋寶多功能烤盤</t>
  </si>
  <si>
    <t>環保袋</t>
  </si>
  <si>
    <t>擎亞</t>
  </si>
  <si>
    <t>文曄</t>
  </si>
  <si>
    <t>商品券100元</t>
  </si>
  <si>
    <t>零壹</t>
  </si>
  <si>
    <t>杯墊</t>
  </si>
  <si>
    <t>群益股代</t>
  </si>
  <si>
    <t>金利</t>
  </si>
  <si>
    <t>阿隆索特級初榨橄欖油乙瓶</t>
  </si>
  <si>
    <t>佳和</t>
  </si>
  <si>
    <t>多功能超細纖維擦拭布</t>
  </si>
  <si>
    <t>悠克</t>
  </si>
  <si>
    <t>毛寶抗菌洗碗精</t>
  </si>
  <si>
    <t>寶齡</t>
  </si>
  <si>
    <t>DS-亮白菁華液3%</t>
  </si>
  <si>
    <t>臺北</t>
  </si>
  <si>
    <t>白紗科</t>
  </si>
  <si>
    <t>擎邦</t>
  </si>
  <si>
    <t>碗一個</t>
  </si>
  <si>
    <t>F-大地</t>
  </si>
  <si>
    <t>幼兒鉛筆組合(彎彎筆)</t>
  </si>
  <si>
    <t>益全香米</t>
  </si>
  <si>
    <t>精美指甲鉗</t>
  </si>
  <si>
    <t>光鼎</t>
  </si>
  <si>
    <t>隨身水壼</t>
  </si>
  <si>
    <t>義隆電</t>
  </si>
  <si>
    <t>家飾品</t>
  </si>
  <si>
    <t>F-永新</t>
  </si>
  <si>
    <t>精緻包裝米</t>
  </si>
  <si>
    <t>國光生</t>
  </si>
  <si>
    <t>吸鐵小檯燈</t>
  </si>
  <si>
    <t>電池</t>
  </si>
  <si>
    <t>元富證</t>
  </si>
  <si>
    <t>蘭麗保濕透明皂禮盒(3入組)</t>
  </si>
  <si>
    <t>茂訊</t>
  </si>
  <si>
    <t>帶燈折疊工具組(不含電池)</t>
  </si>
  <si>
    <t>高鐵</t>
  </si>
  <si>
    <t>台灣高鐵200元乘車票折價券</t>
  </si>
  <si>
    <t>豪展</t>
  </si>
  <si>
    <t>面膜乙盒</t>
  </si>
  <si>
    <t>保養品小禮盒</t>
  </si>
  <si>
    <t>方巾</t>
  </si>
  <si>
    <t>積木玻璃儲物罐</t>
  </si>
  <si>
    <t>旅行收納四件組</t>
  </si>
  <si>
    <t>奈米級銀鈦膜防護口罩</t>
  </si>
  <si>
    <t>立德</t>
  </si>
  <si>
    <t>封口夾(三入)</t>
  </si>
  <si>
    <t>慧友</t>
  </si>
  <si>
    <t>Tide洗衣皂乙顆</t>
  </si>
  <si>
    <t>創意便攜手動榨汁檸檬杯</t>
  </si>
  <si>
    <t>良維</t>
  </si>
  <si>
    <t>大燕麥片</t>
  </si>
  <si>
    <t>萬點環保餐具組</t>
  </si>
  <si>
    <t>昱泉</t>
  </si>
  <si>
    <t>傘具</t>
  </si>
  <si>
    <t>世紀</t>
  </si>
  <si>
    <t>輕量束口背包</t>
  </si>
  <si>
    <t>3A鮪魚塊3罐</t>
  </si>
  <si>
    <t>喬本</t>
  </si>
  <si>
    <t>本公司產品一組</t>
  </si>
  <si>
    <t>屏東</t>
  </si>
  <si>
    <t>喬福</t>
  </si>
  <si>
    <t>伸縮背袋</t>
  </si>
  <si>
    <t>抗菌雙色止滑砧板</t>
  </si>
  <si>
    <t>(02)26503773</t>
  </si>
  <si>
    <t>放大鏡指甲剪</t>
  </si>
  <si>
    <t>雙鴻</t>
  </si>
  <si>
    <t>日揚</t>
  </si>
  <si>
    <t>清潔液</t>
  </si>
  <si>
    <t>華興</t>
  </si>
  <si>
    <t>亞光</t>
  </si>
  <si>
    <t>晶豪科</t>
  </si>
  <si>
    <t>醬油禮盒</t>
  </si>
  <si>
    <t>淳安</t>
  </si>
  <si>
    <t>中連貨</t>
  </si>
  <si>
    <t>飛狼四季兩用毯</t>
  </si>
  <si>
    <t>國統</t>
  </si>
  <si>
    <t>瓷杯</t>
  </si>
  <si>
    <t>台開</t>
  </si>
  <si>
    <t>橄欖油禮盒</t>
  </si>
  <si>
    <t>天良</t>
  </si>
  <si>
    <t>公司自製品</t>
  </si>
  <si>
    <t>精星</t>
  </si>
  <si>
    <t>蜂巢糖</t>
  </si>
  <si>
    <t>宇峻</t>
  </si>
  <si>
    <t>玉美研松柏茶葉</t>
  </si>
  <si>
    <t>白米</t>
  </si>
  <si>
    <t>有機木耳一盒</t>
  </si>
  <si>
    <t>訊舟</t>
  </si>
  <si>
    <t>Karrimor二入餐具組</t>
  </si>
  <si>
    <t>創源</t>
  </si>
  <si>
    <t>達欣工</t>
  </si>
  <si>
    <t>高級雙層玻璃杯</t>
  </si>
  <si>
    <t>華宏</t>
  </si>
  <si>
    <t>摺疊線控自拍棒</t>
  </si>
  <si>
    <t>立萬利</t>
  </si>
  <si>
    <t>OTG巧接頭</t>
  </si>
  <si>
    <t>萬用轉接插頭</t>
  </si>
  <si>
    <t>同協</t>
  </si>
  <si>
    <t>康和證</t>
  </si>
  <si>
    <t>藍寶去漬洗衣粉500g盒裝</t>
  </si>
  <si>
    <t>凌泰</t>
  </si>
  <si>
    <t>伸縮迷你LED露營燈</t>
  </si>
  <si>
    <t>亞信</t>
  </si>
  <si>
    <t>揚博</t>
  </si>
  <si>
    <t>陶瓷刀具組</t>
  </si>
  <si>
    <t>欣欣</t>
  </si>
  <si>
    <t>彈蓋式真空保溫杯</t>
  </si>
  <si>
    <t>台光電</t>
  </si>
  <si>
    <t>PP保鮮盒</t>
  </si>
  <si>
    <t>精選環保餐具組</t>
  </si>
  <si>
    <t>廣明</t>
  </si>
  <si>
    <t>蘭麗手工香皂二入</t>
  </si>
  <si>
    <t>弘塑</t>
  </si>
  <si>
    <t>上海銀</t>
  </si>
  <si>
    <t>LED手電筒</t>
  </si>
  <si>
    <t>台達化</t>
  </si>
  <si>
    <t>康乃馨抗菌濕巾40片裝</t>
  </si>
  <si>
    <t>密封玻璃罐</t>
  </si>
  <si>
    <t>立碁</t>
  </si>
  <si>
    <t>廣隆</t>
  </si>
  <si>
    <t>開發金股東會紀念品</t>
  </si>
  <si>
    <t>光聯股東會紀念品</t>
  </si>
  <si>
    <t>類比科股東會紀念品</t>
  </si>
  <si>
    <t>茂矽股東會紀念品</t>
  </si>
  <si>
    <t>漢康股東會紀念品</t>
  </si>
  <si>
    <t>凱碩股東會紀念品</t>
  </si>
  <si>
    <t>宏遠證股東會紀念品</t>
  </si>
  <si>
    <t>常會 2016/06/22</t>
  </si>
  <si>
    <t>常會 2016/06/21</t>
  </si>
  <si>
    <t>常會 2016/06/27</t>
  </si>
  <si>
    <t>常會 2016/06/15</t>
  </si>
  <si>
    <t>台北市士林區中山北路四段16號(劍潭青年活動中心教學大樓3樓334教室)</t>
  </si>
  <si>
    <t>常會 2016/06/17</t>
  </si>
  <si>
    <t>高雄市楠梓區屏山巷一號(本公司高雄廠大禮堂)</t>
  </si>
  <si>
    <t>元大證券股份有限公司</t>
  </si>
  <si>
    <t>常會 2016/06/28</t>
  </si>
  <si>
    <t>桃園市楊梅區幼獅路一段439號味全埔心牧場綠園餐廳</t>
  </si>
  <si>
    <t>元大證券股務代理部</t>
  </si>
  <si>
    <t>常會 2016/06/24</t>
  </si>
  <si>
    <t>常會 2016/05/26</t>
  </si>
  <si>
    <t>耐斯王子大飯店阿里山會議廳</t>
  </si>
  <si>
    <t>彰化縣田中鎮興工路6號</t>
  </si>
  <si>
    <t>常會 2016/06/29</t>
  </si>
  <si>
    <t>常會 2016/06/23</t>
  </si>
  <si>
    <t>常會 2016/06/14</t>
  </si>
  <si>
    <t>台北市中山區建國北路2段7號15F大巴黎廳(首都大飯店)</t>
  </si>
  <si>
    <t>台中市大肚區沙田路一段453號。(本公司辦公大樓會議室)</t>
  </si>
  <si>
    <t>桃園市龜山區文二一街六十八號(福容大飯店林口)</t>
  </si>
  <si>
    <t>常會 2016/06/20</t>
  </si>
  <si>
    <t>常會 2016/06/13</t>
  </si>
  <si>
    <t>桃園市八德區建國路386號（本公司建國廠）</t>
  </si>
  <si>
    <t>P.O. BOX 10338,GRAND CAYMAN KY1-1003</t>
  </si>
  <si>
    <t>常會 2016/06/07</t>
  </si>
  <si>
    <t>常會 2016/06/08</t>
  </si>
  <si>
    <t>台北市內湖區瑞光路399號2樓(自由廣場會議中心演藝廳)</t>
  </si>
  <si>
    <t>台南市中西區和緯路五段77號(本公司湖美帝璟接待中心)電話:06-2507288</t>
  </si>
  <si>
    <t>常會 2016/06/16</t>
  </si>
  <si>
    <t>台糖長榮酒店3F(台南市東區中華東路3段336巷1號)</t>
  </si>
  <si>
    <t>台北市莒光路310號5,6樓</t>
  </si>
  <si>
    <t>常會 2016/06/06</t>
  </si>
  <si>
    <t>桃園市楊梅區幼獅工業區幼一路8號(本公司幼二廠)</t>
  </si>
  <si>
    <t>高雄市苓雅區四維三路33號(高雄寒軒國際大飯店 B2 國際A廳)</t>
  </si>
  <si>
    <t>常會 2016/05/27</t>
  </si>
  <si>
    <t>台北市大安區羅斯福路四段85號地下一樓（集思台大會議中心洛克廳）</t>
  </si>
  <si>
    <t>彰化縣鹿港鎮興業路8號(昭輝實業股份有限公司會議室)</t>
  </si>
  <si>
    <t>常會 2016/05/31</t>
  </si>
  <si>
    <t>桃園市蘆竹區南山路三段二三三號</t>
  </si>
  <si>
    <t>桃園市蘆竹區南山路三段233號總公司四樓會議室</t>
  </si>
  <si>
    <t>宏洲纖維</t>
  </si>
  <si>
    <t>台北市松山區民生東路五段163之1號民生社區活動中心集會堂</t>
  </si>
  <si>
    <t>常會 2016/06/30</t>
  </si>
  <si>
    <t>本公司新竹廠大禮堂(地址:新竹縣竹北市泰和里125號)</t>
  </si>
  <si>
    <t>台北市濟南路一段2-1號3樓B室</t>
  </si>
  <si>
    <t>高雄市三民區陽明路201號5F至真廳(寒軒美饌會館)</t>
  </si>
  <si>
    <t>元大證券(股)股務代理部</t>
  </si>
  <si>
    <t>台北市復興北路九十九號六樓(牛牛牛)亞國際會議中心</t>
  </si>
  <si>
    <t>本公司台中廠大禮堂(台中市東區振興路148-1號)</t>
  </si>
  <si>
    <t>桃園市桃園區大興路269號 (晶悅國際飯店龍鳳廳)</t>
  </si>
  <si>
    <t>台南市官田區二鎮里工業路11號(本公司官田廠辦公大樓會議廳)。</t>
  </si>
  <si>
    <t>常會 2016/06/03</t>
  </si>
  <si>
    <t>桃園市大園區北港里大工路126號(本公司大園廠會議室)</t>
  </si>
  <si>
    <t>台北市大同區長安西路287號</t>
  </si>
  <si>
    <t>台南市新田區義林路126號2樓會議室</t>
  </si>
  <si>
    <t>桃園市蘆竹區南崁路一段277號</t>
  </si>
  <si>
    <t>桃園市蘆竹區榮安路9號。(本公司桃園廠)</t>
  </si>
  <si>
    <t>新北市五股區五權路1號(工商展覽中心二樓A廳)</t>
  </si>
  <si>
    <t>桃園市延平路147號-桃園市婦女館3樓(303會議室)</t>
  </si>
  <si>
    <t>常會 2016/03/31</t>
  </si>
  <si>
    <t>新北市五股區五權路28號</t>
  </si>
  <si>
    <t>台北市中山北路二段63號(台北國賓大飯店  二樓國際廳)</t>
  </si>
  <si>
    <t>本公司中壢廠禮堂（桃園市中壢區安東路11號）</t>
  </si>
  <si>
    <t>台北市八德路2段260號3樓 中影公司華夏大廈大禮堂。</t>
  </si>
  <si>
    <t>新北市中和區中正路801號3樓</t>
  </si>
  <si>
    <t>桃園市龜山區文德路25號(本公司林口廠大禮堂)</t>
  </si>
  <si>
    <t>桃園市中壢區中壢工業區吉林路十號(本公司活動中心1樓)</t>
  </si>
  <si>
    <t>桃園市楊梅區幼獅工業區青年路三號(中華汽車工業股份有限公司人才培訓中心)</t>
  </si>
  <si>
    <t>桃園市蘆竹區海山中街51號</t>
  </si>
  <si>
    <t>新北市林口區東華路99號2樓會議室</t>
  </si>
  <si>
    <t>台北市大同區南京西路36號11樓</t>
  </si>
  <si>
    <t>桃園市楊梅區民富路一段796巷22弄19號</t>
  </si>
  <si>
    <t>桃園市龜山區民生北路一段42號本公司南崁廠</t>
  </si>
  <si>
    <t>高雄市前鎮區中山二路5號3樓(高雄商務會議中心商道廳)</t>
  </si>
  <si>
    <t>桃園市平鎮區民族路雙連2段118巷12號 (正峰新能源股份有限公司)</t>
  </si>
  <si>
    <t>台中市神岡區中山路1056號(本公司5樓大禮堂)</t>
  </si>
  <si>
    <t>本公司中山廠員工餐廳( 嘉義縣民雄鄉福樂村中山路18號)</t>
  </si>
  <si>
    <t>新北市新莊區建安街26巷4號(新莊後港活動中心)</t>
  </si>
  <si>
    <t>桃園市觀音區成功路一段502號</t>
  </si>
  <si>
    <t>桃禧航空城酒店二樓桃園廳(桃園市大園區大觀路777號)</t>
  </si>
  <si>
    <t>常會 2016/05/18</t>
  </si>
  <si>
    <t>台南市安平區永華二街199號2樓(臺邦商旅)</t>
  </si>
  <si>
    <t>常會 2016/05/25</t>
  </si>
  <si>
    <t>臺北市內湖區行善路168巷15號1樓多功能集會廳</t>
  </si>
  <si>
    <t>臺南市新營區五褔路 130 號</t>
  </si>
  <si>
    <t>桃園市338蘆竹區蘆竹里南工路二段500號</t>
  </si>
  <si>
    <t>桃園市大興路269號 晶悅國際飯店二樓龍鳳廳</t>
  </si>
  <si>
    <t>桃園市觀音區富源里3鄰新富路606號（本公司觀音廠會議廳）</t>
  </si>
  <si>
    <t>桃園市中壢區中大路170巷19-5號新陶芳庭園餐廳</t>
  </si>
  <si>
    <t>臺南市仁德區仁德里活動中心。(臺南市仁德區仁德里文心路138號)</t>
  </si>
  <si>
    <t>台北市士林區中山北路四段16號(劍潭海外青年活動中心 經國紀念堂 集賢廳)</t>
  </si>
  <si>
    <t>常會 2016/05/24</t>
  </si>
  <si>
    <t>臺北市八德路二段260號3樓中影八德大樓</t>
  </si>
  <si>
    <t>臺北市內湖區行善路397號6樓</t>
  </si>
  <si>
    <t>台北市內湖區行善路397號(炎洲集團總部B1)</t>
  </si>
  <si>
    <t>本公司路竹廠員工活動中心(高雄市路竹區後鄉里長興路22號)</t>
  </si>
  <si>
    <t>國軍文藝活動中心（台北市中華路一段69號）。</t>
  </si>
  <si>
    <t>高雄市前鎮區成功二路88號16樓1607會議室</t>
  </si>
  <si>
    <t>桃園市桃園區莊敬路一段300號（尊爵大飯店3樓）</t>
  </si>
  <si>
    <t>台北市松山區民生東路四段五十四號四樓大會議室</t>
  </si>
  <si>
    <t>桃園市觀音區樹林里工業五路15號</t>
  </si>
  <si>
    <t>新竹縣竹北市縣政八街77號1樓(新竹縣工業會)</t>
  </si>
  <si>
    <t>台灣神隆股份有限公司  行政大樓一樓(南部科學工業園區台南市善化區南科八路一號)</t>
  </si>
  <si>
    <t>台北市內湖區堤頂大道2段207號1樓</t>
  </si>
  <si>
    <t>桃園市八德區大發里後庄街135號﹝三廠禮堂﹞</t>
  </si>
  <si>
    <t>新北市三重區興德路111-8號7樓</t>
  </si>
  <si>
    <t>台南市新營區南梓國小活動中心（台南市新營區建業路191號）</t>
  </si>
  <si>
    <t>台北市杭州南路一段24號交通部集思國際會議中心國際會議廳3樓</t>
  </si>
  <si>
    <t>台北市中正區杭州南路一段24號 集思交通部國際會議中心五樓集會堂</t>
  </si>
  <si>
    <t>高雄市梓官區梓義里進學路57號梓義社區活動中心</t>
  </si>
  <si>
    <t>桃園市龍潭區聖亭路八德段236號(本公司龍潭廠區鋼構廠辦公大樓)</t>
  </si>
  <si>
    <t>台中市后里區農會大樓三樓會議廳(台中市后里區民生路268號)</t>
  </si>
  <si>
    <t>台南市南門路261號勞工育樂中心。</t>
  </si>
  <si>
    <t>本公司五樓會議室(台南市官田區南部里123號)</t>
  </si>
  <si>
    <t>桃園市觀音區觀音工業區工業八路120號</t>
  </si>
  <si>
    <t>高雄市小港區學府路113號(亞柏會館)</t>
  </si>
  <si>
    <t>常會 2016/04/26</t>
  </si>
  <si>
    <t>臺中市西屯區市政路386號3樓(豐邑市政都心廣場)</t>
  </si>
  <si>
    <t>桃園市中壢區中華路2段369號</t>
  </si>
  <si>
    <t>本公司新辦公大樓B2會議室( 彰化縣大村鄉黃厝村美港路215號)</t>
  </si>
  <si>
    <t>彰化縣員林市中山路一段一四六號</t>
  </si>
  <si>
    <t>彰化縣員林市中山路一段146號(本公司一樓大禮堂)</t>
  </si>
  <si>
    <t>桃園市龍潭區三和里朝鳳路一號(本公司桃園工廠辦公大樓</t>
  </si>
  <si>
    <t>彰化縣大村鄉中山路二段300號(本公司會議室)</t>
  </si>
  <si>
    <t>The Grand Pavilion Commercial Centre, Oleander Way, 802 West</t>
  </si>
  <si>
    <t>台北市中山區松江路121號8~14樓</t>
  </si>
  <si>
    <t>新北市汐止區新台五路一段100號五樓東科國際全方位商務中心會議室</t>
  </si>
  <si>
    <t>F-百達</t>
  </si>
  <si>
    <t>台北市中山區南京東路二段137號14樓</t>
  </si>
  <si>
    <t>康寧生活會館(台北市內湖區成功路5段420巷28號)</t>
  </si>
  <si>
    <t>F-英利</t>
  </si>
  <si>
    <t>彰化縣彰化市中山路二段349號8樓</t>
  </si>
  <si>
    <t>彰化市全台大飯店大鵬廳(彰化市中正路2段668號2F)</t>
  </si>
  <si>
    <t>新竹科學園區展業一路2號1樓(台灣科學工業園區科學工業同業公會禮堂)</t>
  </si>
  <si>
    <t>常會 2016/05/16</t>
  </si>
  <si>
    <t>學學文創志業大樓(地址：台北市內湖區堤頂大道二段207號1樓)</t>
  </si>
  <si>
    <t>莉蓮會館－里仁廳(地址:台北市內湖區堤頂大道二段327號2樓)</t>
  </si>
  <si>
    <t>新竹市科學園區創新一路十一號</t>
  </si>
  <si>
    <t>新竹科學園區工業東二路1號(科技生活館二樓達爾文廳)</t>
  </si>
  <si>
    <t>新竹科學園區創新一路8號</t>
  </si>
  <si>
    <t>常會 2016/05/04</t>
  </si>
  <si>
    <t>常會 2016/06/02</t>
  </si>
  <si>
    <t>台北市民生東路三段111號3樓(台北西華飯店元明廳)</t>
  </si>
  <si>
    <t>桃園市龜山區山鶯路157號</t>
  </si>
  <si>
    <t>悅來國際會議中心近悅廳(新北市汐止區新台五路一段99號4樓)</t>
  </si>
  <si>
    <t>台北市中山區中山北路四段一號圓山大飯店二樓敦睦廳</t>
  </si>
  <si>
    <t>沃田旅店大會堂（台北市中山北路七段127號）</t>
  </si>
  <si>
    <t>台北市內湖區行忠路42號5樓會議室</t>
  </si>
  <si>
    <t>桃園市龜山區華亞一路66號</t>
  </si>
  <si>
    <t>臺北市內湖區瑞光路550號11樓</t>
  </si>
  <si>
    <t>本公司（桃園市中壢區西園路113號）中壢廠舊行政大樓四樓舉行</t>
  </si>
  <si>
    <t>台北市信義路五段2號3樓會議室</t>
  </si>
  <si>
    <t>桃園市中壢區民權路398號(古華花園飯店)</t>
  </si>
  <si>
    <t>新北市中和區中正路868號11樓(全球人壽中和商業大樓)</t>
  </si>
  <si>
    <t>新竹市科學工業園區工業東二路1號（科技生活館羅西尼廳)。</t>
  </si>
  <si>
    <t>台中市大雅區昌平路四段475號</t>
  </si>
  <si>
    <t>假日飯店貴賓一廳(新北市深坑區北深路3段265號3樓)</t>
  </si>
  <si>
    <t>新竹科學工業園區工業東二路一號牛頓廳</t>
  </si>
  <si>
    <t>浩鑫股份有限公司會議室(台北市內湖區瑞光路76巷30號)</t>
  </si>
  <si>
    <t>新竹縣湖口鄉工業一路3號（本公司會議室)</t>
  </si>
  <si>
    <t>桃園市蘆竹區南崁路1段336號本公司錦興廠</t>
  </si>
  <si>
    <t>統一綜合證券(股)股務代理部</t>
  </si>
  <si>
    <t>政治大學公企中心 地址: 台北市大安區金華街187號</t>
  </si>
  <si>
    <t>新北市新店區三民路20-2號(新店市三民活動中心)。</t>
  </si>
  <si>
    <t>台北市大安區信義路四段279號12樓(本公司會議室)</t>
  </si>
  <si>
    <t>桃園市龜山區民生北路一段164號（本公司桃園廠）</t>
  </si>
  <si>
    <t>高雄市三民區建工路415號國立高雄應用科技大學國際會議廳</t>
  </si>
  <si>
    <t>常會 2016/04/22</t>
  </si>
  <si>
    <t>台北市南港區經貿二路一號(南港展覽館502會議室)</t>
  </si>
  <si>
    <t>台北市健康路156號3樓會議室</t>
  </si>
  <si>
    <t>台南市新市區港墘里中山路76號</t>
  </si>
  <si>
    <t>高雄市楠梓加工出口區經二路15號(楠梓加工出口區從業員工服務中心）</t>
  </si>
  <si>
    <t>本公司（台中市南屯區工業區23路22號）。</t>
  </si>
  <si>
    <t>常會 2016/05/19</t>
  </si>
  <si>
    <t>台北市內湖區陽光街300號1樓</t>
  </si>
  <si>
    <t>新竹縣湖口鄉民生街336號</t>
  </si>
  <si>
    <t>苗栗縣竹南鎮友義路77號, 本公司會議室</t>
  </si>
  <si>
    <t>新竹科學工業園區展業一路2號(科學園區同業公會101會議室)</t>
  </si>
  <si>
    <t>苗栗縣頭份市中山路232號 (苗栗縣頭份市公所中山堂)</t>
  </si>
  <si>
    <t>桃園市平鎮區工業一路十六號</t>
  </si>
  <si>
    <t>桃園市龜山區復興三路568號</t>
  </si>
  <si>
    <t>新竹市科學園區研發二路3號(本公司一樓會議室)</t>
  </si>
  <si>
    <t>新北市中和區中正路726號地下2樓會議室(遠東世紀廣場A棟B2)</t>
  </si>
  <si>
    <t>桃園市龜山區文化一路53號2樓訓練教室(經濟部工業局林口工業區服務中心)</t>
  </si>
  <si>
    <t>台中市大里區國光路一段147號</t>
  </si>
  <si>
    <t>台中市大里區國光路一段147號(本公司一樓101會議室)</t>
  </si>
  <si>
    <t>台南大億麗緻酒店5樓麗緻B廳(台南市中西區西門路一段660號)</t>
  </si>
  <si>
    <t>桃園市桃園區幸福路99號</t>
  </si>
  <si>
    <t>桃園市桃園區大興路269號（晶悅國際飯店）。</t>
  </si>
  <si>
    <t>桃園市蘆竹區山鼻村3鄰南山路二段470巷26號1樓</t>
  </si>
  <si>
    <t>台中市南屯區工業區25路20號</t>
  </si>
  <si>
    <t>台中市工業區二十五路二十號</t>
  </si>
  <si>
    <t>台中市潭子區中山路3段111巷1-1號</t>
  </si>
  <si>
    <t>新竹科學工業園區苗栗縣竹南鎮科中路11號2樓</t>
  </si>
  <si>
    <t>常會 2016/05/09</t>
  </si>
  <si>
    <t>中國信託商業銀行(股)公司</t>
  </si>
  <si>
    <t>桃園住都大飯店金龍廳(地址: 桃園市桃鶯路398號)</t>
  </si>
  <si>
    <t>新北市三重區光復路一段67號3樓會議廳（珍豪大飯店）</t>
  </si>
  <si>
    <t>國泰建設財務組(股務)</t>
  </si>
  <si>
    <t>臺南市東區中華東路1段398號8樓</t>
  </si>
  <si>
    <t>台北市中正區忠孝西路一段50號9樓</t>
  </si>
  <si>
    <t>常會 2016/05/13</t>
  </si>
  <si>
    <t>台北市中正區忠孝西路一段50號10樓會議室</t>
  </si>
  <si>
    <t>台北市八德路四段138號11樓（京華城11樓會議室)</t>
  </si>
  <si>
    <t>臺北市和平東路三段131號(本公司一樓大廳)</t>
  </si>
  <si>
    <t>高雄市左營區崇德路801號，蓮潭國際會館會議中心1樓</t>
  </si>
  <si>
    <t>台北市敦化北路100號2F王朝大酒店貴賓軒5室</t>
  </si>
  <si>
    <t>中國文化大學推廣教育部建國本部-B1國際會議廳(台北市建國南路二段231號B1)</t>
  </si>
  <si>
    <t>基泰國際研訓中心─遠見廳(台北市衡陽路51號3樓)</t>
  </si>
  <si>
    <t>台北市信義路五段一號（台北國際會議中心102會議室）</t>
  </si>
  <si>
    <t>台北市徐州路2號4樓402AB室</t>
  </si>
  <si>
    <t>台北市建國南路二段231號地下一樓表演廳</t>
  </si>
  <si>
    <t>桃園市桃園區經國路899號</t>
  </si>
  <si>
    <t>台北市敦化南路二段201號B1(香格里拉台北遠東國際大飯店洛北秀南園)</t>
  </si>
  <si>
    <t>台北市忠孝東路一段12號台北喜來登大飯店B2喜廳</t>
  </si>
  <si>
    <t>台中市梧棲區文化路二段85號（梧棲區農會）</t>
  </si>
  <si>
    <t>台北市士林區士商路189號(國立台灣科學教育館9樓國際會議廳)</t>
  </si>
  <si>
    <t>新北市板橋區民生路一段一號地下一樓(正隆麗池國際會議廳)。</t>
  </si>
  <si>
    <t>台大校友會館(地址:臺北市濟南路一段2-1號4樓)</t>
  </si>
  <si>
    <t>Clifton House, 75 Fort Street, PO Box 1350, Grand Cayman KY1</t>
  </si>
  <si>
    <t>台北市南港區三重路19-11號4樓E棟(南港軟體育成中心447會議室)</t>
  </si>
  <si>
    <t>台北市中山北路2段63號本公司台北分公司2樓國際廳</t>
  </si>
  <si>
    <t>常會 2016/05/23</t>
  </si>
  <si>
    <t>台北市內湖區石潭路151號9樓</t>
  </si>
  <si>
    <t>（103）台北市塔城街30號17樓</t>
  </si>
  <si>
    <t>台北市松山區民生東路三段109號1、2樓</t>
  </si>
  <si>
    <t>台北市敦化南路二段207號26 ,27樓</t>
  </si>
  <si>
    <t>台北市建國北路二段15號8樓 (本公司8樓會議室)</t>
  </si>
  <si>
    <t>台北市民權東路三段6號B1（時代金融廣場）</t>
  </si>
  <si>
    <t>台北市信義區松仁路123號2樓國際會議廳</t>
  </si>
  <si>
    <t>台北市中山北路二段50號14樓（台北富邦銀行中山大樓14樓大禮堂）</t>
  </si>
  <si>
    <t>台北市中華路1段69號(國軍文藝活動中心)</t>
  </si>
  <si>
    <t>玉山金控行政管理組(股務)</t>
  </si>
  <si>
    <t>台北市內湖區行善路168巷15號(多功能集會廳)</t>
  </si>
  <si>
    <t>台北市忠孝東路二段123號14至17樓</t>
  </si>
  <si>
    <t>台北市松山區復興北路99號6樓 ((牛牛牛)亞會議中心）</t>
  </si>
  <si>
    <t>三商</t>
  </si>
  <si>
    <t>台北市大安區復興南路一段390號15樓(臺北市農會大禮堂)</t>
  </si>
  <si>
    <t>桃園市平鎮區南東路2號3樓302室(平鎮區農會)</t>
  </si>
  <si>
    <t>桃園市桃園區建國東路22號</t>
  </si>
  <si>
    <t>新竹科學工業園區創新二路5號3樓(創盟公司體育館分享廳)</t>
  </si>
  <si>
    <t>新北市汐止區中興路二十九號六樓(本公司教育訓練中心)</t>
  </si>
  <si>
    <t>桃園市中壢區中園路198號</t>
  </si>
  <si>
    <t>元大證券(股)公司</t>
  </si>
  <si>
    <t>新北市土城區中央路三段6號(青青餐廳三樓會議廳)</t>
  </si>
  <si>
    <t>新竹科學工業園區新竹市力行三路五號（智原科技辦公大樓）</t>
  </si>
  <si>
    <t>新北市板橋區文化路二段293號16樓</t>
  </si>
  <si>
    <t>新北市板橋區府中路29-1號13樓(板橋區農會第二大樓13樓第8研習廳)</t>
  </si>
  <si>
    <t>桃園市平鎮工業區工業六路四號（會議廳）</t>
  </si>
  <si>
    <t>桃園市平鎮區南豐路261號-平鎮工業區管理中心會議室</t>
  </si>
  <si>
    <t>台北市敦化南路1段108號地下2樓(富邦國際會議中心)</t>
  </si>
  <si>
    <t>臺北市中正區仁愛路一段17號六樓「臺北市青少年發展處國際會議廳」</t>
  </si>
  <si>
    <t>台北市士林區中山北路7段113號〔沃田旅店502會議室〕</t>
  </si>
  <si>
    <t>桃園市龜山區華亞二路222號</t>
  </si>
  <si>
    <t>新竹市東大路二段17號(新竹市立演藝廳國際會議室)</t>
  </si>
  <si>
    <t>新竹縣竹北市福興路875號3樓</t>
  </si>
  <si>
    <t>新竹科學工業園區工業東二路一號(科技生活館二樓達爾文廳)</t>
  </si>
  <si>
    <t>新竹科學工業園區展業一路二號(科學園區同業公會二樓203會議室) 。</t>
  </si>
  <si>
    <t>新竹市科學工業園區力行六路六號3樓大禮堂</t>
  </si>
  <si>
    <t>台南市南部科學工業園區南科二路12號南科育成中心B101會議室</t>
  </si>
  <si>
    <t>本公司(地址：桃園市八德區友聯街49號)</t>
  </si>
  <si>
    <t>桃園市新屋區中華路1245號</t>
  </si>
  <si>
    <t>台北市中正區徐州路2號4樓「台大醫院國際會議中心」</t>
  </si>
  <si>
    <t>桃園市龜山區華亞科技園區科技一路69號</t>
  </si>
  <si>
    <t>南部科學工業園區台南市善化區大利三路5號</t>
  </si>
  <si>
    <t>新竹科學園區竹南鎮科中路16號5樓</t>
  </si>
  <si>
    <t>新竹市水利路81號2樓(旭家經貿園區2F會議廳)</t>
  </si>
  <si>
    <t>新竹縣湖口鄉新竹工業區中華路22號2樓(新竹工業區服務中心會議室)</t>
  </si>
  <si>
    <t>新竹市新竹科學工業園區力行六路10號3樓</t>
  </si>
  <si>
    <t>新北市新店區北新路三段213號2樓「台北矽谷國際會議中心2D廳」</t>
  </si>
  <si>
    <t>台灣科學工業園區科學工業同業公會203會議室(新竹科學園區展業一路2號)</t>
  </si>
  <si>
    <t>龍邦僑園會館401會議室 (台北市北投區泉源路25號)</t>
  </si>
  <si>
    <t>桃園市龜山區文化一路86-52號</t>
  </si>
  <si>
    <t>桃園市龜山區文二一街68號(福容大飯店二樓芙蓉廳)</t>
  </si>
  <si>
    <t>高雄市楠梓區加昌路600號。(楠梓加工出口區莊敬堂)</t>
  </si>
  <si>
    <t>桃園市平鎮區工業五路12號(B2會議室)</t>
  </si>
  <si>
    <t>新竹市大學路1001號(國立交通大學工程四館合勤講堂)</t>
  </si>
  <si>
    <t>新竹縣竹北市台元二街1號4F-1</t>
  </si>
  <si>
    <t>新竹縣竹北市台元一街3號(三期多功能會議室2樓)</t>
  </si>
  <si>
    <t>高雄市左營區菜公一路62巷15號</t>
  </si>
  <si>
    <t>高雄市左營區崇德路801號(蓮潭會館會議中心103教室)</t>
  </si>
  <si>
    <t>桃園市中壢區東園路13號</t>
  </si>
  <si>
    <t>桃園市觀音區觀音工業區經建一路31號</t>
  </si>
  <si>
    <t>桃園市龜山區文化里科技一路40號</t>
  </si>
  <si>
    <t>台北市信義區松仁路9號1樓 (地址：國泰金融會議廳)</t>
  </si>
  <si>
    <t>台北市內湖區基湖路32號8樓</t>
  </si>
  <si>
    <t>臺北市內湖區民權東路六段99號8樓(臺北市內湖區公所大禮堂)</t>
  </si>
  <si>
    <t>桃園市觀音區大潭里環南路599號</t>
  </si>
  <si>
    <t>台北市內湖區堤頂大道二段489號8樓</t>
  </si>
  <si>
    <t>台中市大甲區成功路315號(大甲鐵砧山鄉野莊二樓會議室)</t>
  </si>
  <si>
    <t>新北市板橋區中山路一段161號3樓(新北市政府大樓)</t>
  </si>
  <si>
    <t>新北市土城區民生街9號</t>
  </si>
  <si>
    <t>台北市松山區忠孝東路五段510號26樓</t>
  </si>
  <si>
    <t>4/F, Willow House, Cricket Sq. PO Box 2804,  Cayman Islands</t>
  </si>
  <si>
    <t>台北市中山北路二段63號台北國賓大飯店2樓四香廳</t>
  </si>
  <si>
    <t>上海市徐匯區楓林路380號2樓(主要營運地)</t>
  </si>
  <si>
    <t>台北市新生南路3段30號1樓（公務人力發展中心福華國際文教會館103室）</t>
  </si>
  <si>
    <t>Oleander Way, 802 West Bay Road, P.O.Box 32052, Grand Cayman</t>
  </si>
  <si>
    <t>台中市西屯區朝富路99號(台中林酒店)</t>
  </si>
  <si>
    <t>臺北市內湖區行善路397號7樓</t>
  </si>
  <si>
    <t>彰化縣鹿港鎮工業西六路16號(行政樓2樓會議室)</t>
  </si>
  <si>
    <t>雲林縣斗六市斗工十二路八號(新辦公室一樓會議室)</t>
  </si>
  <si>
    <t>高雄市路竹區路科三路三號 (本公司視聽教室)</t>
  </si>
  <si>
    <t>桃園市觀音區成功路2段943號</t>
  </si>
  <si>
    <t>台中市南屯區工業區20路17號(本公司B1會議廳)</t>
  </si>
  <si>
    <t>桃園市中壢區民權路398號3樓</t>
  </si>
  <si>
    <t>新北市泰山區新北大道七段36號13樓 (麗京棧酒店 麗晶廳)。</t>
  </si>
  <si>
    <t>嘉義市吳鳳北路381號5樓</t>
  </si>
  <si>
    <t>嘉義市耐斯王子飯店(嘉義市東區忠孝路600號)</t>
  </si>
  <si>
    <t>新北市五股區五權六路9號4樓本公司會議室</t>
  </si>
  <si>
    <t>桃園市蘆竹區坑口里和平街36號</t>
  </si>
  <si>
    <t>台北市福華大飯店金龍廳（台北市仁愛路三段160號3樓）</t>
  </si>
  <si>
    <t>台北市南京東路一段9號3F(大倉久和飯店久和2廳)</t>
  </si>
  <si>
    <t>F-材料</t>
  </si>
  <si>
    <t>台北市信義區光復南路419巷18號6樓</t>
  </si>
  <si>
    <t>台北市敦化北路100號-王朝大酒店2樓『貴賓軒5』之會議室</t>
  </si>
  <si>
    <t>新北市板橋區縣民大道一段189號（馥都飯店）</t>
  </si>
  <si>
    <t>台北市中正區徐州路2號4樓 (台大醫院國際會議中心)</t>
  </si>
  <si>
    <t>320桃園市中壢區中壢工業區東園路67之1號</t>
  </si>
  <si>
    <t>桃園市中壢區中壢工業區服務中心二樓訓練教室(桃園市中壢區東園路57號)。</t>
  </si>
  <si>
    <t>桃園市平鎮區延平路一段168號(救國團桃園市南區青少年活動中心四樓會議室)</t>
  </si>
  <si>
    <t>桃園市蘆竹區南山路二段205巷45號</t>
  </si>
  <si>
    <t>尊爵天際大飯店(桃園市蘆竹區南崁路一段108號B1)</t>
  </si>
  <si>
    <t>台北市內湖區瑞光路399號3樓(自由廣場多功能會議室)</t>
  </si>
  <si>
    <t>台中市潭子區台中加工出口區建國路1號『台中加工出口區從業員工康樂室』</t>
  </si>
  <si>
    <t>Plantation House,196 Raleigh Quay,P.O.Box 1968, Grand Cayman</t>
  </si>
  <si>
    <t>臺北市大安區和平東路一段129號 國立臺灣師範大學修推廣學院2樓視聽教室</t>
  </si>
  <si>
    <t>190 Elgin Avenue, George Town, Grand Cayman, Cayman Islands</t>
  </si>
  <si>
    <t>台北市內湖區瑞光路399號一樓西側</t>
  </si>
  <si>
    <t>台北市信義區市民大道六段288號7樓</t>
  </si>
  <si>
    <t>常會 2016/06/01</t>
  </si>
  <si>
    <t>P.O.Box 32052, Grand  Cayman KY1-1208, Cayman Isalnds</t>
  </si>
  <si>
    <t>常會 2016/05/11</t>
  </si>
  <si>
    <t>新竹縣湖口鄉湖口村湖中路212號本公司1樓大廳</t>
  </si>
  <si>
    <t>高雄市楠梓加工出口區經二路15號(從業員工服務中心第三訓練教室)</t>
  </si>
  <si>
    <t>新北市新店區寶橋路233-2號9樓</t>
  </si>
  <si>
    <t>台北市內湖區堤頂大道二段489號9樓</t>
  </si>
  <si>
    <t>桃園市觀音區樹林里工業四路9號</t>
  </si>
  <si>
    <t>新北市深坑區北深路三段265號 3F-VIP 3,4 (台北深坑假日飯店)</t>
  </si>
  <si>
    <t>台北市羅斯福路4段85號地下1樓(集思會議中心/台大館洛克廳)</t>
  </si>
  <si>
    <t>新北市林口區下福村20鄰下福2號旁(工信工程股份有限公司林口電廠施工所)</t>
  </si>
  <si>
    <t>台北市中正區北平東路30號11樓</t>
  </si>
  <si>
    <t>高雄市左營區崇德路801號(蓮潭國際會館101室)</t>
  </si>
  <si>
    <t>台北市館前路77號11樓(合庫銀行總行大禮堂)</t>
  </si>
  <si>
    <t>桃園縣龜山鄉大崗村頂湖路50,52號</t>
  </si>
  <si>
    <t>桃園市龜山區南上路350巷57號</t>
  </si>
  <si>
    <t>桃園市大興路269號(晶悅國際大飯店)</t>
  </si>
  <si>
    <t>悠克國際</t>
  </si>
  <si>
    <t>新北市中和區立德街199號地下一樓會議室（悠克國際股份有限公司B1）</t>
  </si>
  <si>
    <t>桃園市平鎮區南豐路269 號。(本公司會議室)</t>
  </si>
  <si>
    <t>新北市新店區中興路三段219號203室(天下一家共融廣場)</t>
  </si>
  <si>
    <t>臺北市信義區松德路171號10樓之1</t>
  </si>
  <si>
    <t>新竹市明湖路773號(新竹煙波大飯店湖濱本館香榭館A2廳)</t>
  </si>
  <si>
    <t>台北市中山區松江路350號3樓(台北市進出口商業同業公會第二會議室)</t>
  </si>
  <si>
    <t>台北市南港軟體園區三重路19-11號E棟4樓</t>
  </si>
  <si>
    <t>台北市內湖區環山路一段32號三樓</t>
  </si>
  <si>
    <t>台北市士林區中山北路四段16號(劍潭海外青年活動中心志清大樓2樓5216室)</t>
  </si>
  <si>
    <t>新北市中和區中山路二段311號(宸上名品飯店)</t>
  </si>
  <si>
    <t>新竹科學園區工業東二路一號科技生活館愛迪生廳</t>
  </si>
  <si>
    <t>新竹縣新埔鎮內立里大魯閣路17號</t>
  </si>
  <si>
    <t>新竹科學工業園區展業一路2號(台灣科學工業園區科學工業同業公會202會議室)</t>
  </si>
  <si>
    <t>新北市中和區建康路8號11樓</t>
  </si>
  <si>
    <t>新北市中和區建康路8號11樓(本公司教育訓練室)</t>
  </si>
  <si>
    <t>桃園市龜山區山鶯路356號</t>
  </si>
  <si>
    <t>桃園住都大飯店祥福廳(桃園市桃鶯路398號)</t>
  </si>
  <si>
    <t>高雄市大寮區大發工業區莒光一街23號(本公司餐廳)</t>
  </si>
  <si>
    <t>桃園市桃園區大林里桃鶯路437號</t>
  </si>
  <si>
    <t>桃園市桃園區桃鶯路398號(住都大飯店三樓如意廳)</t>
  </si>
  <si>
    <t>新北市五股區五工六路55號</t>
  </si>
  <si>
    <t>新北市五股區五工六路五十五號二樓(本公司二樓大會議室)</t>
  </si>
  <si>
    <t>新北市中和區員山路504號9樓亞財星科技藝術大樓</t>
  </si>
  <si>
    <t>常會 2016/04/11</t>
  </si>
  <si>
    <t>桃園市中壢區北園路18號</t>
  </si>
  <si>
    <t>本公司會議室【桃園市中壢區北園路18號】</t>
  </si>
  <si>
    <t>新北市五股區五權五路2號(本公司會議室)</t>
  </si>
  <si>
    <t>常會 2016/05/20</t>
  </si>
  <si>
    <t>新北市中和區建康路10號4樓  樺漢會議室</t>
  </si>
  <si>
    <t>社團法人台南市建築師公會會議室（地址：台南市安平區永華路2段248號10樓）</t>
  </si>
  <si>
    <t>光聖</t>
  </si>
  <si>
    <t>救國團劍潭海外青年活動中心(台北市士林區中山北路4段16號)</t>
  </si>
  <si>
    <t>苗栗縣竹南鎮科東三路2、6號4樓</t>
  </si>
  <si>
    <t>新北市土城區三民路４號3F</t>
  </si>
  <si>
    <t>臺北市信義區基隆路1段333號1807</t>
  </si>
  <si>
    <t>台北市信義區松仁路101號13F</t>
  </si>
  <si>
    <t>F-GIS</t>
  </si>
  <si>
    <t>苗栗縣竹南鎮科中路16號2樓(訴訟及非訟代理人聯絡處)</t>
  </si>
  <si>
    <t>苗栗縣竹南鎮科中路15號4樓</t>
  </si>
  <si>
    <t>台中市西屯區文心路二段201號6樓之6</t>
  </si>
  <si>
    <t>台中市烏日區溫泉路2號(清新溫泉飯店宴會廳)</t>
  </si>
  <si>
    <t>彰化縣鹿港鎮南勢社區活動中心(彰化縣鹿港鎮頭南里南勢巷54號)</t>
  </si>
  <si>
    <t>台北市大安區敦化南路二段39號8樓</t>
  </si>
  <si>
    <t>台中市工業區六路七號(本公司3樓會議室)</t>
  </si>
  <si>
    <t>桃園市蘆竹區南崁路一段338號</t>
  </si>
  <si>
    <t>高雄市楠梓加工出口區經二路15號(楠梓加工出口區從業員工服務中心一樓第三訓練教室)</t>
  </si>
  <si>
    <t>苗栗縣頭份市蘆竹里工業路15號</t>
  </si>
  <si>
    <t>桃園市龜山區山鶯路167-1號</t>
  </si>
  <si>
    <t>常會 2016/03/30</t>
  </si>
  <si>
    <t>桃園市平鎮區工業二路１２號</t>
  </si>
  <si>
    <t>桃園市龜山區建國東路29號,29號2樓</t>
  </si>
  <si>
    <t>住都大飯店住祥廳（桃園市桃園區桃鶯路398號）</t>
  </si>
  <si>
    <t>新北市深坑區北深路三段265號3樓(台北深坑假日飯店VIP3會議室)</t>
  </si>
  <si>
    <t>P.O.BOX 32052,Grand Cayman KYI-1208,Cayman Islands.</t>
  </si>
  <si>
    <t>Floor 4, Willow House, Cricket Square, P O  Box 2804, Grand</t>
  </si>
  <si>
    <t>台灣台北市大安區羅斯福路四段85號(集思台大會議中心亞歷山大廳)</t>
  </si>
  <si>
    <t>集思台大會議中心阿基米得廳(地址：台北市大安區羅斯福路四段85號地下一樓)</t>
  </si>
  <si>
    <t>常會 2016/04/20</t>
  </si>
  <si>
    <t>莉蓮會館 (台北市內湖區堤頂大道一段327號)</t>
  </si>
  <si>
    <t>台北市中山區八德路二段260號3樓(中影八德大樓)</t>
  </si>
  <si>
    <t>台中市南屯區五權西路二段236號19F之1</t>
  </si>
  <si>
    <t>臺中市西屯區惠中路一段111號(僑園飯店麗景廳)</t>
  </si>
  <si>
    <t>F-波力</t>
  </si>
  <si>
    <t>PO Box 309, Ugland House, Grand Cayman, KY1-1104, Cayman Isl</t>
  </si>
  <si>
    <t>台中市豐原區新生北路155之1號(台中市豐原區豐原社區發展協會)</t>
  </si>
  <si>
    <t>常會 2016/05/10</t>
  </si>
  <si>
    <t>桃園市中壢區吉林北路5-2號總公司三樓大會議室</t>
  </si>
  <si>
    <t>雲林縣斗六市科工二路26號(雲林科技工業區服務中心)</t>
  </si>
  <si>
    <t>彰化縣福興鄉福工路2號福興工業區本公司三樓會議室</t>
  </si>
  <si>
    <t>高雄市前鎮區中山二路5號3樓二聖廳</t>
  </si>
  <si>
    <t>台北市光復北路11巷35號1,4,5,13樓</t>
  </si>
  <si>
    <t>台中市大甲區順帆路19號(巨大公司)</t>
  </si>
  <si>
    <t>台北市建國北路一段126號9樓會議室</t>
  </si>
  <si>
    <t>臺北市士林區基河路250號新光人壽教育會館地下一樓會議廳</t>
  </si>
  <si>
    <t>台北市信義區市民大道六段288號9樓</t>
  </si>
  <si>
    <t>高雄市鹽埕區大義街56號(本公司5樓會議室)</t>
  </si>
  <si>
    <t>桃園市大興路269號1樓。(晶悅國際飯店)</t>
  </si>
  <si>
    <t>台北市中山區八德路二段２６０號３樓中影八德大樓。</t>
  </si>
  <si>
    <t>台北市松山區敦化南路一段1號10樓(財團法人土地改革紀念館)</t>
  </si>
  <si>
    <t>桃園市觀音區榮工南路12號</t>
  </si>
  <si>
    <t>桃園市觀音區金湖村中山路一段1119號</t>
  </si>
  <si>
    <t>台北市忠孝東路三段193巷(台北科技大學 億光大樓2~3樓)</t>
  </si>
  <si>
    <t>台北市南港區三重路19-10號2樓(A棟)會議室</t>
  </si>
  <si>
    <t>新北市新莊區自由街1號2樓</t>
  </si>
  <si>
    <t>新北市新莊區五權一路9號5樓之1</t>
  </si>
  <si>
    <t>「蘿亞晶漾婚宴會館」(新竹縣關西鎮中山東路5號)</t>
  </si>
  <si>
    <t>彰化縣埔鹽鄉南新村好金路47-4號</t>
  </si>
  <si>
    <t>台中市西屯區台中工業區37路42號2樓</t>
  </si>
  <si>
    <t>P.O. B 10240, 4th Floor, Harbour Place, 103 South Church St.</t>
  </si>
  <si>
    <t>桃園市蘆竹區長興路三段277巷33號</t>
  </si>
  <si>
    <t>桃園市蘆竹區錦溪路99號 3F(錦中社區活動中心)</t>
  </si>
  <si>
    <t>自105年05月30日至105年06月26日止</t>
  </si>
  <si>
    <t>南崗工業區服務中心(南投市南崗三路21號)</t>
  </si>
  <si>
    <t>02-27005908</t>
  </si>
  <si>
    <t>自105年05月28日至105年06月24日止</t>
  </si>
  <si>
    <t>易威</t>
  </si>
  <si>
    <t>台灣科學工業園區同業公會203會議室（新竹科學工業園區展業一路2號2樓）</t>
  </si>
  <si>
    <t>自105年05月23日至105年06月19日止</t>
  </si>
  <si>
    <t>本公司軋鋼大樓二樓簡報室（高雄市小港區沿海二路四號）。</t>
  </si>
  <si>
    <t>高雄市大寮區華中路1號(大發工業區服務中心3樓會議室)</t>
  </si>
  <si>
    <t>台中市西屯區台中工業區39路51號(本公司台中廠會議室)</t>
  </si>
  <si>
    <t>桃園市龜山區大華里頂湖路24號 本公司會議室</t>
  </si>
  <si>
    <t>(02)2371-1658</t>
  </si>
  <si>
    <t>國泰金融會議廳G廳(台北市信義區松仁路9號)</t>
  </si>
  <si>
    <t>台北市中山區長安東路二段162號2樓</t>
  </si>
  <si>
    <t>本公司會議室(高雄市苓雅區海邊路31號3F)</t>
  </si>
  <si>
    <t>02-23711658</t>
  </si>
  <si>
    <t>台大集思會議中心米開朗基羅廳(台北市大安區羅斯福路4段85號地下一樓)</t>
  </si>
  <si>
    <t>自105年05月24日至105年06月20日止</t>
  </si>
  <si>
    <t>晶悅</t>
  </si>
  <si>
    <t>桃園市桃園區大興路269號</t>
  </si>
  <si>
    <t>晶悅國際飯店-桃園市桃園區大興路269號1樓鴻運廳</t>
  </si>
  <si>
    <t>台南市民生路二段76號8樓</t>
  </si>
  <si>
    <t>新北市新莊區中正路82號2樓(翰品酒店萌發廳)</t>
  </si>
  <si>
    <t>集思竹科會議中心2F達爾文廳（新竹市科學園區工業東二路1號）</t>
  </si>
  <si>
    <t>台北市中正區衡陽路51號6樓之6(台北金融研究發展基金會創新廳)</t>
  </si>
  <si>
    <t>自105年04月30日至105年05月28日止</t>
  </si>
  <si>
    <t>02-2371-1658</t>
  </si>
  <si>
    <t>台北市南港區南港路三段50巷1號2樓</t>
  </si>
  <si>
    <t>台北市信義區松高路11號（誠品信義店六樓視聽室）</t>
  </si>
  <si>
    <t>F-紅馬</t>
  </si>
  <si>
    <t>香港銅鑼灣希慎道18號17樓1702室</t>
  </si>
  <si>
    <t>基泰國際會議中心-世紀廳(台北市中正區衡陽路51號3樓)</t>
  </si>
  <si>
    <t>852-39967393</t>
  </si>
  <si>
    <t>02-2382-3323</t>
  </si>
  <si>
    <t>自105年05月31日至105年06月27日止</t>
  </si>
  <si>
    <t>新北市汐止區新台五路一段99號4樓</t>
  </si>
  <si>
    <t>(03)2731111</t>
  </si>
  <si>
    <t>元大証券股份有限公司</t>
  </si>
  <si>
    <t>桃園市平鎮區南豐路270號</t>
  </si>
  <si>
    <t>桃園市平鎮區南豐路270號(本公司二樓員工餐廳)</t>
  </si>
  <si>
    <t>03-4159111</t>
  </si>
  <si>
    <t>02-23836888</t>
  </si>
  <si>
    <t>台北市中山區敬業一路97號9樓</t>
  </si>
  <si>
    <t>桃園市蘆竹區南崁路二段222號</t>
  </si>
  <si>
    <t>桃園巿蘆竹區南崁路一段108號(尊爵天際大飯店-紫雲廳)</t>
  </si>
  <si>
    <t>自105年05月21日至105年06月19日止</t>
  </si>
  <si>
    <t>自105年05月14日至105年06月11日止</t>
  </si>
  <si>
    <t>台北市信義區東興路61號1樓 遠見領袖中心</t>
  </si>
  <si>
    <t>台北市內湖區瑞光路399號(自由廣場3樓西側多用途會議室)</t>
  </si>
  <si>
    <t>國票證券股份有限公司股務代理部</t>
  </si>
  <si>
    <t>桃園市龜山區華亞科技園區科技七路69號</t>
  </si>
  <si>
    <t>自105年05月25日至105年06月21日止</t>
  </si>
  <si>
    <t>桃園縣蘆竹鄉南山路一段276 號</t>
  </si>
  <si>
    <t>新竹縣竹北市台元一街1號2樓(台元科技園區3 期多功能會議室)</t>
  </si>
  <si>
    <t>桃園市八德區長興路六七三號</t>
  </si>
  <si>
    <t>新竹縣竹北市縣政八街25號3樓(新竹縣總工會)</t>
  </si>
  <si>
    <t>高雄市路竹區路科五路23號 (國際會議廳)</t>
  </si>
  <si>
    <t>中壢市中大路170巷19之5號(新陶芳庭園餐廳)</t>
  </si>
  <si>
    <t>臺北市內湖區行善路397號5樓</t>
  </si>
  <si>
    <t>(02)81706199</t>
  </si>
  <si>
    <t>台北市南港區經貿二路1號402C室</t>
  </si>
  <si>
    <t>台北市中正區新生南路一段50號7樓701A室</t>
  </si>
  <si>
    <t>02-23917099</t>
  </si>
  <si>
    <t>台北市南港區經貿二路1號4樓(台北南港展覽館1館404會議室)</t>
  </si>
  <si>
    <t>新竹日月光大飯店(新竹市富群街3號）</t>
  </si>
  <si>
    <t>台北市南港區園區街3之1號4樓</t>
  </si>
  <si>
    <t>台北市中正區信義路二段253號3樓</t>
  </si>
  <si>
    <t>臺北市信義路三段157巷11號4樓會議室(客家文化會館)</t>
  </si>
  <si>
    <t>2321-6611</t>
  </si>
  <si>
    <t>桃園市平鎮區工業二路三號</t>
  </si>
  <si>
    <t>平鎮工業區服務中心(地址：桃園市平鎮區南豐路261號)</t>
  </si>
  <si>
    <t>新北市汐止區新台五路一段100號5樓(東方科學園區B棟 東科國際全方位商務中心)</t>
  </si>
  <si>
    <t>至寶電</t>
  </si>
  <si>
    <t>台南市新化區崙頂里崙子頂422號（新化區崙頂里活動中心）</t>
  </si>
  <si>
    <t>新竹科學園區展業一路2號園區同業公會203會議室</t>
  </si>
  <si>
    <t>桃園市蘆竹區南崁里17鄰經國路890號8樓</t>
  </si>
  <si>
    <t>廣春成大樓 R1會議室(地址:桃園市蘆竹區南崁里17鄰經國路890號)</t>
  </si>
  <si>
    <t>桃園市楊梅區水美里楊湖路一段422號</t>
  </si>
  <si>
    <t>桃園市楊梅區楊湖路一段422號(本公司大禮堂)</t>
  </si>
  <si>
    <t>台中市大和路22號3樓</t>
  </si>
  <si>
    <t>自105年05月14日至105年06月12日止</t>
  </si>
  <si>
    <t>新竹縣新豐鄉新興路1號   明新科技大學</t>
  </si>
  <si>
    <t>自105年05月28日至105年06月25日止</t>
  </si>
  <si>
    <t>新北市新店區北新路三段213號3樓台北矽谷國際會議中心3B會議室</t>
  </si>
  <si>
    <t>桃園市中壢區自強四路三號</t>
  </si>
  <si>
    <t>高雄市大發工業區服務中心3F大禮堂(高雄市大寮區大發工業區華中路一號3樓)</t>
  </si>
  <si>
    <t>新北市汐止區康寧街169巷21號1樓（大湖科學園區第三期）</t>
  </si>
  <si>
    <t>新竹市科學園區新安路2-1號1樓（活力科技館第一會議室）</t>
  </si>
  <si>
    <t>台中市西區館前路57號地下一樓國際II廳(全國大飯店)</t>
  </si>
  <si>
    <t>常會 2016/04/29</t>
  </si>
  <si>
    <t>基隆市七堵區工建北路1之2號2樓(基隆就業中心六堵分站多媒體室)</t>
  </si>
  <si>
    <t>國立曾文家商會議廳(台南市麻豆區和平路9號)</t>
  </si>
  <si>
    <t>悅來國際會議中心 近悅A廳（地址：新北市汐止區新台五路一段99號4樓）</t>
  </si>
  <si>
    <t>彰化縣秀水鄉莊雅村中山路99號(秀水老人文康中心)</t>
  </si>
  <si>
    <t>臺北大眾捷運股份有限公司北投會館306教室。(地址：臺北市北投區大業路527巷88號。)</t>
  </si>
  <si>
    <t>新竹市科學園區展業一路2號(科學園區同業工會)</t>
  </si>
  <si>
    <t>高雄市高雄加工出口區南二路1號</t>
  </si>
  <si>
    <t>自105年05月04日至105年06月01日止</t>
  </si>
  <si>
    <t>自105年05月18日至105年06月14日止</t>
  </si>
  <si>
    <t>晶悅國際飯店(桃園市大興路269號)</t>
  </si>
  <si>
    <t>台中市后里區后科南路22號</t>
  </si>
  <si>
    <t>桃園市蘆竹區大興路20巷21弄11號</t>
  </si>
  <si>
    <t>新竹縣竹北市台元科技園區台元二街1號7樓之1</t>
  </si>
  <si>
    <t>台北市內湖區瑞光路399號一樓東側會議室</t>
  </si>
  <si>
    <t>03-6209588</t>
  </si>
  <si>
    <t>南投縣草屯鎮稻香路6－4號(本公司大會議室)</t>
  </si>
  <si>
    <t>台南市安南區工業二路31號舉行(經濟部南台灣創新園區服務館)</t>
  </si>
  <si>
    <t>新北市中和區連城路268號10樓之1(本公司訓練教室)</t>
  </si>
  <si>
    <t>桃園市桃園區莊敬路一段300號(尊爵大飯店三樓翡翠廳)</t>
  </si>
  <si>
    <t>桃園市蘆竹區南崁里民權路50號</t>
  </si>
  <si>
    <t>桃園市蘆竹區南崁路一段108號(尊爵天際大飯店B1F紫雲廳2廳)</t>
  </si>
  <si>
    <t>基隆市七堵區工建北路1之2號2樓（基隆就業中心六堵分站）</t>
  </si>
  <si>
    <t>桃園市桃園區中正路1351號14樓</t>
  </si>
  <si>
    <t>尊爵大飯店(桃園市桃園區莊敬路1段300號)</t>
  </si>
  <si>
    <t>台北市信義區松德路171號16樓之2</t>
  </si>
  <si>
    <t>(02)2727-0100</t>
  </si>
  <si>
    <t>新竹縣竹北市縣政八街77號1樓(新竹縣工業會會議室)</t>
  </si>
  <si>
    <t>新北市中和區中山路三段102號3樓(本公司會議室)召開</t>
  </si>
  <si>
    <t>自105年05月04日至105年05月31日止</t>
  </si>
  <si>
    <t>新北市汐止區新台五路一段99號4樓(悅來國際會議中心)</t>
  </si>
  <si>
    <t>自105年04月30日至105年05月30日止</t>
  </si>
  <si>
    <t>新竹縣竹北市台元一街3號2樓多功能會議室</t>
  </si>
  <si>
    <t>新北市中和區建康路130號5樓之1</t>
  </si>
  <si>
    <t>新北市新莊區五工五路13號B1(本公司員工餐廳)</t>
  </si>
  <si>
    <t>新竹科學工業園區新竹市研發二路30號3樓</t>
  </si>
  <si>
    <t>(重鳥)鵬</t>
  </si>
  <si>
    <t>新北市中和區連城路258號4樓之7</t>
  </si>
  <si>
    <t>02-8227-2928</t>
  </si>
  <si>
    <t>新竹科學工業園區新安路2-1號活力科技館1F會議室</t>
  </si>
  <si>
    <t>新北市汐止區新台五路一段97號4樓(遠雄U-TOWN活動中心)</t>
  </si>
  <si>
    <t>本公司一樓會議室(新竹縣湖口鄉光復北路111號)</t>
  </si>
  <si>
    <t>桃園市蘆竹區長興里厚生路51號6樓</t>
  </si>
  <si>
    <t>新竹科學園區力行一路1號(B1教育訓練室)</t>
  </si>
  <si>
    <t>台中市南屯區文山里精科七路20號</t>
  </si>
  <si>
    <t>本公司宜蘭廠 (宜蘭縣五結鄉成興村利工一路二段35號)</t>
  </si>
  <si>
    <t>桃園巿龜山區華亞三路50號6樓之1</t>
  </si>
  <si>
    <t>台中市外埔區大東里甲東路37號</t>
  </si>
  <si>
    <t>桃園市龜山區鄉萬壽路一段161號18樓之1</t>
  </si>
  <si>
    <t>桃園市龜山區文二一街68號（福容大飯店）</t>
  </si>
  <si>
    <t>190 Elgin Avenue, George Town, Grand Cayman  KY1-9005</t>
  </si>
  <si>
    <t>台北市信義區菸廠路88號6樓605、606室(松山文創園區)</t>
  </si>
  <si>
    <t>新竹科學工業園區工業東二路1號4樓集思竹科會議中心巴哈廳</t>
  </si>
  <si>
    <t>南港軟體服務中心會議室(台北市南港區三重路19-10號A棟二樓)</t>
  </si>
  <si>
    <t>新北市新店區寶橋路235巷4號3樓</t>
  </si>
  <si>
    <t>台中市西屯區朝富路213號4樓之7</t>
  </si>
  <si>
    <t>常會 2016/05/05</t>
  </si>
  <si>
    <t>臺中市西屯區朝富路99號7樓(台中林酒店)</t>
  </si>
  <si>
    <t>04-22585821</t>
  </si>
  <si>
    <t>台北市南港區園區街3號20樓</t>
  </si>
  <si>
    <t>台北市南港區經貿二路1號5樓501室(南港展覽館)</t>
  </si>
  <si>
    <t>02-26558857</t>
  </si>
  <si>
    <t>桃園市桃園區大興西路一段200號(福容大飯店)</t>
  </si>
  <si>
    <t>新竹縣湖口鄉工業一路3號ㄧ樓（本公司會議室)</t>
  </si>
  <si>
    <t>(338)桃園市蘆竹區大興路20巷19弄9號</t>
  </si>
  <si>
    <t>桃園市大園區橫峰里26鄰領航北路4段152號</t>
  </si>
  <si>
    <t>常會 2016/05/12</t>
  </si>
  <si>
    <t>新竹縣湖口鄉實踐路3號（本公司國際會議廳）</t>
  </si>
  <si>
    <t>台北市內湖區堤頂大道一段327號  莉蓮會館</t>
  </si>
  <si>
    <t>自105年05月07日至105年06月04日止</t>
  </si>
  <si>
    <t>PCBC國際會議中心（台北市復興北路99號6樓）</t>
  </si>
  <si>
    <t>台北市南港區三重路19-11號E棟4樓447室(南港軟體育成中心)</t>
  </si>
  <si>
    <t>自105年05月21日至105年06月17日止</t>
  </si>
  <si>
    <t>新北市中和區中正路631號 (福朋喜來登酒店)</t>
  </si>
  <si>
    <t>3rd Floor, Harbour Centre, PO BOX 613, George Town</t>
  </si>
  <si>
    <t>高雄市左營區崇德路801號蓮潭國際會館R108</t>
  </si>
  <si>
    <t>自105年05月03日至105年05月30日止</t>
  </si>
  <si>
    <t>自105年05月22日至105年06月18日止</t>
  </si>
  <si>
    <t>Ogier Fiduciary Services (Cayman) Limited, 89 Nexus Way, Cam</t>
  </si>
  <si>
    <t>台北市濟南路一段2之1號</t>
  </si>
  <si>
    <t>新北市汐止區新台五路一段97號4樓(遠雄購物中心4樓)展覽館1</t>
  </si>
  <si>
    <t>新北市中和區中正路631號3樓（台北中和福朋酒店)</t>
  </si>
  <si>
    <t>(33375)桃園市龜山區復興一路94號1、2樓</t>
  </si>
  <si>
    <t>台北市中正區衡陽路51號11樓(基泰國際會議中心-成功廳)</t>
  </si>
  <si>
    <t>桃園市蘆竹區南崁路265號5樓</t>
  </si>
  <si>
    <t>台南市學甲區民族路56號2樓（學甲區民眾服務社）</t>
  </si>
  <si>
    <t>台北市內湖區港漧路221巷33號8樓</t>
  </si>
  <si>
    <t>桃園市龜山區大同路268號本公司龜山工廠2樓會議廳</t>
  </si>
  <si>
    <t>台北市中山區南京東路二段二號六樓</t>
  </si>
  <si>
    <t>台北市中山區南京東路二段2號6樓</t>
  </si>
  <si>
    <t>(02)25637238</t>
  </si>
  <si>
    <t>臺北市內湖區瑞湖街88號5樓</t>
  </si>
  <si>
    <t>台北市中山北路四段16號會議室（劍潭活動中心）</t>
  </si>
  <si>
    <t>(02)26579789</t>
  </si>
  <si>
    <t>台北市徐州路二號4樓(台大醫院國際會議中心403室)</t>
  </si>
  <si>
    <t>桃園市觀音區新華路二段225號(本公司觀音廠會議室)</t>
  </si>
  <si>
    <t>健信科技</t>
  </si>
  <si>
    <t>彰化縣線西鄉和線路957巷3號</t>
  </si>
  <si>
    <t>彰化市埔內街411巷101號(本公司會議室)</t>
  </si>
  <si>
    <t>第一金證券(股)公司</t>
  </si>
  <si>
    <t>高鋒工業股份有限公司視聽教室(台中市大雅區科雅路16號)</t>
  </si>
  <si>
    <t>台北市信義區光復南路495號B1(太平洋國際商務廣場)</t>
  </si>
  <si>
    <t>桃園市桃園區縣府路332號11樓（桃園市工業會11樓會議室）</t>
  </si>
  <si>
    <t>苗栗縣頭份市中華路487巷20號</t>
  </si>
  <si>
    <t>彰化縣伸港鄉溪底村興工路67號(全興工業區服務中心一樓會議室)</t>
  </si>
  <si>
    <t>高雄市路竹區路科五路23號(南科高雄園區會議室)</t>
  </si>
  <si>
    <t>桃園市龜山區山鶯路華玉巷3號</t>
  </si>
  <si>
    <t>自105年04月27日至105年05月24日止</t>
  </si>
  <si>
    <t>元大證券股份有限公司股代部</t>
  </si>
  <si>
    <t>雲林縣斗六市科工二路26號舉行(雲林科技工業區服務中心)</t>
  </si>
  <si>
    <t>桃園市中壢區南園路2-20號</t>
  </si>
  <si>
    <t>新北市深坑區北深路3段236號(福容大飯店)。</t>
  </si>
  <si>
    <t>自105年05月07日至105年06月05日止</t>
  </si>
  <si>
    <t>本公司永安廠光電大樓B1會議室（高雄市永安工業區永工二路18號）</t>
  </si>
  <si>
    <t>桃園市觀音區大同一路1號 辦公大樓4樓</t>
  </si>
  <si>
    <t>苗栗縣竹南鎮科研路36號202會議室</t>
  </si>
  <si>
    <t>經濟部中小企業處南科育成中心B106室（台南市新市區台南科學園區南科二路十二號）</t>
  </si>
  <si>
    <t>高雄巿前金區成功一路266號9樓(漢來大飯店金冠廳)</t>
  </si>
  <si>
    <t>3rd Floor, 64 Earth Close, Grand Cayman, Cayman Islands</t>
  </si>
  <si>
    <t>(241)新北市三重區三和路四段77,79號</t>
  </si>
  <si>
    <t>F-三汰</t>
  </si>
  <si>
    <t>台北市忠孝東路二段95號13樓(兆豐證券股份有限公司)</t>
  </si>
  <si>
    <t>21-67356227</t>
  </si>
  <si>
    <t>F-VHQ</t>
  </si>
  <si>
    <t>台北市內湖區瑞光路258巷31號2樓A5室</t>
  </si>
  <si>
    <t>維多麗亞酒店(台北市中山區敬業四路168號)</t>
  </si>
  <si>
    <t>Oleander Way,802 West Bay Road, P.O. Box 32052, Grand Cayman</t>
  </si>
  <si>
    <t>常會 2016/04/18</t>
  </si>
  <si>
    <t>台北市中山北路二段39巷3號台北晶華酒店</t>
  </si>
  <si>
    <t>自105年03月19日至105年04月15日止</t>
  </si>
  <si>
    <t>自105年04月16日至105年05月13日止</t>
  </si>
  <si>
    <t>台北市士林區至善路二段266巷32號(青青食尚花園會館)</t>
  </si>
  <si>
    <t>臺中市西屯區市政北二路238號地下二樓</t>
  </si>
  <si>
    <t>南台灣創新園區 服務館2F 205教室（地址：台南市安南區工業二路31號）</t>
  </si>
  <si>
    <t>06-3840890</t>
  </si>
  <si>
    <t>台北市復興北路 99 號 6 樓(奔亞國際會議中心)</t>
  </si>
  <si>
    <t>桃園市大溪區仁善里松樹21-9號</t>
  </si>
  <si>
    <t>桃園市大溪區仁善里松樹21-9號1樓</t>
  </si>
  <si>
    <t>新竹科學工業園區苗栗縣竹南鎮科北五路8號</t>
  </si>
  <si>
    <t>037-585058</t>
  </si>
  <si>
    <t>自由廣場會議中心(地址：台北市內湖區瑞光路399號3樓會議廳)</t>
  </si>
  <si>
    <t>106台北市復興南路一段390號9樓中華民國全國工業總會第一會議室</t>
  </si>
  <si>
    <t>P.O.Box 309GT,Ugland House,South Church Street,George Town</t>
  </si>
  <si>
    <t>自105年04月29日至105年05月28日止</t>
  </si>
  <si>
    <t>桃園市中壢區民權路398號3樓(古華飯店國際1廳)</t>
  </si>
  <si>
    <t>自105年04月23日至105年05月22日止</t>
  </si>
  <si>
    <t>新北市板橋區莊敬路62號(新北市立圖書館板橋江子翠分館)</t>
  </si>
  <si>
    <t>Cricket Square, Hutchins Drive, P.O.Box 2681, Grand Cayman,</t>
  </si>
  <si>
    <t>福華國際文教會館101室(台北市大安區新生南路三段30號)</t>
  </si>
  <si>
    <t>桃園市大園區田心里大觀路178號</t>
  </si>
  <si>
    <t>彰化縣員林市中央里田中央巷三六之一號</t>
  </si>
  <si>
    <t>台北馥敦飯店翡翠廳;（台北市南京東路5段32號17樓）</t>
  </si>
  <si>
    <t>王朝大酒店（台北市敦化北路100號2樓）</t>
  </si>
  <si>
    <t>住都大飯店-住祥廳(桃園市桃園區桃鶯路398號)</t>
  </si>
  <si>
    <t>苗栗縣竹南鎮科研路36號(竹南科學園區行政服務中心 201會議室)</t>
  </si>
  <si>
    <t>高雄市前鎮區復興四路9號(智崴資訊A棟大禮堂)</t>
  </si>
  <si>
    <t>4th Floor, Harbour Place, 103 South Church Street, George T.</t>
  </si>
  <si>
    <t>新北市汐止區行政中心禮堂（新北市汐止區新台五路一段268號11樓）</t>
  </si>
  <si>
    <t>F-大峽</t>
  </si>
  <si>
    <t>臺中市西屯區四川二街30號5樓</t>
  </si>
  <si>
    <t>台灣台中市潮港城國際美食館(408台中市南屯區環中路四段2號)會議室召開股東常會。</t>
  </si>
  <si>
    <t>04-2317-1919</t>
  </si>
  <si>
    <t>台北市105中山區松江路63號長榮桂冠酒店三樓長園廳</t>
  </si>
  <si>
    <t>241新北巿三重區重新路五段609巷12號10樓</t>
  </si>
  <si>
    <t>台北市內湖區堤頂大道一段1號5樓</t>
  </si>
  <si>
    <t>桃園市延平路147號(桃園市婦女館303室)</t>
  </si>
  <si>
    <t>高雄市大寮區民貴街60巷5號5樓</t>
  </si>
  <si>
    <t>桃園市中壢區環北路400號18樓之1</t>
  </si>
  <si>
    <t>新竹科學工業園區新安路2號  科管局活動中心一樓會議室</t>
  </si>
  <si>
    <t>新竹市科學工業園區科技五路6號  本公司會議室</t>
  </si>
  <si>
    <t>本公司(桃園市蘆竹區榮安路10號)</t>
  </si>
  <si>
    <t>桃園市桃鶯路398號(住都大飯店－祥福廳）</t>
  </si>
  <si>
    <t>力麗店</t>
  </si>
  <si>
    <t>(02)21002128</t>
  </si>
  <si>
    <t>03-5772000</t>
  </si>
  <si>
    <t>桃園市中壢區東園路57號(中壢工業區服務中心2樓會議室)</t>
  </si>
  <si>
    <t>新北市中和區中正路716號地下二樓會議室(遠東世紀廣場第二期管理委員會B2會議室）</t>
  </si>
  <si>
    <t>台北市松山區復興北路99號15樓(會議中心)</t>
  </si>
  <si>
    <t>新北市汐止區大同路一段239號16樓之1</t>
  </si>
  <si>
    <t>新北市汐止區大同路1段239號17樓上之頂樓會議室</t>
  </si>
  <si>
    <t>2641-5398</t>
  </si>
  <si>
    <t>台北市行愛路151號3樓</t>
  </si>
  <si>
    <t>自105年05月14日至105年06月10日止</t>
  </si>
  <si>
    <t>台北市內湖區行忠路四十二號五樓會議室</t>
  </si>
  <si>
    <t>新北市土城區三民路4號3樓 (經濟部工業局土城工業區服務中心)</t>
  </si>
  <si>
    <t>新竹市公道五路二段415號11樓</t>
  </si>
  <si>
    <t>桃園市龜山區民生北路一段568號</t>
  </si>
  <si>
    <t>嘉義縣民雄鄉福樂村中山路6號(本公司二樓員工餐廳)</t>
  </si>
  <si>
    <t>桃園市桃園區大興西路一段200號3樓（福容大飯店玫瑰廳）</t>
  </si>
  <si>
    <t>新竹科學工業園區展業一路2號(202會議室)</t>
  </si>
  <si>
    <t>台北市中山區敬業四路168號(維多麗亞酒店3樓 天璽廳)</t>
  </si>
  <si>
    <t>中壢區忠福里工業區自強四路八號</t>
  </si>
  <si>
    <t>華韡電子員工餐廳(地址:中壢區中壢工業區自強四路8號)</t>
  </si>
  <si>
    <t>02-2383-6888</t>
  </si>
  <si>
    <t>桃園市桃園區大林里21鄰興邦路32號</t>
  </si>
  <si>
    <t>桃園市桃園區莊敬路一段300號(尊爵大飯店)</t>
  </si>
  <si>
    <t>高雄市新興區六合路183號12樓(本公司會議室)</t>
  </si>
  <si>
    <t>自105年05月21日至105年06月18日止</t>
  </si>
  <si>
    <t>本公司汐止廠二樓會議室(新北市汐止區樟樹二路43號)</t>
  </si>
  <si>
    <t>新竹市柴橋里柏川二路二十九號(國家藝術園區俱樂部會議廳)</t>
  </si>
  <si>
    <t>新北市汐止區東勢街111號</t>
  </si>
  <si>
    <t>新北市汐止區東勢街111號(演講廳)</t>
  </si>
  <si>
    <t>02-66159999</t>
  </si>
  <si>
    <t>台北市民權東路2段41號地下室一樓宴會廳。</t>
  </si>
  <si>
    <t>臺南市永康區中正路301號</t>
  </si>
  <si>
    <t>台南市永康區中正路301號三樓</t>
  </si>
  <si>
    <t>(06)253-6789</t>
  </si>
  <si>
    <t>屏東縣滿州鄉(村)中山路205,205-1~311號</t>
  </si>
  <si>
    <t>台北市基隆路一段一七六號地下二樓（本公司會議室）</t>
  </si>
  <si>
    <t>康和綜合證券股務代理部</t>
  </si>
  <si>
    <t>87871888#382</t>
  </si>
  <si>
    <t>台北市中山區南京東路三段225號11樓、12樓</t>
  </si>
  <si>
    <t>自105年04月16日至105年05月15日止</t>
  </si>
  <si>
    <t>台北市忠孝西路1段6號5、6、7樓</t>
  </si>
  <si>
    <t>台北市濟南路一段2之1號3A會議室（台大校友會館）</t>
  </si>
  <si>
    <t>台北市內湖區瑞光路607號</t>
  </si>
  <si>
    <t>台北市中山區復興北路62號4樓</t>
  </si>
  <si>
    <t>(02)26598865</t>
  </si>
  <si>
    <t>新竹科學工業園區新竹巿園區二路11號8樓本公司會議室</t>
  </si>
  <si>
    <t>台北市基隆路一段200號24樓</t>
  </si>
  <si>
    <t>台北市信義區信義路五段1號1樓103會議室(台北國際會議中心)</t>
  </si>
  <si>
    <t>02-27226266</t>
  </si>
  <si>
    <t>久威國際</t>
  </si>
  <si>
    <t>台北市內湖區港墘路221巷19號2樓 (中華民國電梯協會教育訓練中心)</t>
  </si>
  <si>
    <t>本公司會議室(新北市新店區中正路531號5樓)</t>
  </si>
  <si>
    <t>新北市新店區中興路三段219-2號二樓(中信商務會館)</t>
  </si>
  <si>
    <t>新北市五股區新北產業園區五工六路七十二號一樓(萬泰大樓)</t>
  </si>
  <si>
    <t>台北市建國北路二路147號B1(訊達電腦B102大會議室)</t>
  </si>
  <si>
    <t>台北市民權西路53號10樓</t>
  </si>
  <si>
    <t>台北市中正區北平東路30號5樓(本公司會議廳)</t>
  </si>
  <si>
    <t>桃園市楊梅區高上里高獅路740巷6號</t>
  </si>
  <si>
    <t>桃園市楊梅區青山里獅二路2號(桃園幼獅工業區服務中心2樓)</t>
  </si>
  <si>
    <t>新北市汐止區大同路3段196號R2樓召開。</t>
  </si>
  <si>
    <t>新北市汐止區新台五路一段100號5樓</t>
  </si>
  <si>
    <t>台中世界貿易中心/台中市西屯區天保街60號303會議室</t>
  </si>
  <si>
    <t>台中市潭子區台中加工出口區建國路1號(台中加工出口區2樓第二教育訓練室)</t>
  </si>
  <si>
    <t>苗栗縣銅鑼鄉中平村北中興工業區中隆二路九號(本公司三樓會議室</t>
  </si>
  <si>
    <t>自105年05月28日至105年06月26日止</t>
  </si>
  <si>
    <t>桃園市中壢區北園路17號(公司:新北市五股區五工六路72號)</t>
  </si>
  <si>
    <t>桃園市中壢工業區北園路17號(萬泰科技工廠)</t>
  </si>
  <si>
    <t>新北市新莊區五工路95號（經濟部工業局新北產業園區服務中心3樓）</t>
  </si>
  <si>
    <t>台北市政府產業發展局科技產業服務中心會議A廳(臺北市內湖區洲子街12號2樓)</t>
  </si>
  <si>
    <t>天品聯合</t>
  </si>
  <si>
    <t>常會 2016/04/01</t>
  </si>
  <si>
    <t>桃園市平鎮區洪圳路385-3號(天品聯合企業(股)公司)</t>
  </si>
  <si>
    <t>台北市松山區東興路8號(統一綜合證券股份有限公司會議室)</t>
  </si>
  <si>
    <t>晶悅國際飯店2F（桃園市桃園區大興路269號）</t>
  </si>
  <si>
    <t>新竹市公道五路2段419號7樓</t>
  </si>
  <si>
    <t>新竹市公道五路二段415號11樓會議室</t>
  </si>
  <si>
    <t>台北市青島西路七號三樓基督教女青年會301會議室</t>
  </si>
  <si>
    <t>桃園市新屋區中山路370號4樓(新屋區婦幼館)</t>
  </si>
  <si>
    <t>新竹市大學路1001號(交通大學光復校區電子資訊研究大樓1樓第四會議室)</t>
  </si>
  <si>
    <t>新竹縣竹北市台元街26號2樓(台元科技園區多功能會議室)</t>
  </si>
  <si>
    <t>新北市汐止區康寧街751巷13號 (日月光會議中心月星廳)</t>
  </si>
  <si>
    <t>台北市進出口商業同業公會大樓一樓演講廳(台北市松江路350號)</t>
  </si>
  <si>
    <t>台中市西區忠明南路303號27樓</t>
  </si>
  <si>
    <t>台北市敦化南路一段一號十樓(土地改革紀念館)</t>
  </si>
  <si>
    <t>臺北市大同區南京西路41號10樓之6,10樓之7</t>
  </si>
  <si>
    <t>(03)5535888</t>
  </si>
  <si>
    <t>台北市內湖區行愛路77巷61號8樓(會議室)</t>
  </si>
  <si>
    <t>新北市中和區建八路2號2樓之4</t>
  </si>
  <si>
    <t>台中市台灣大道二段666號（長榮桂冠酒店地下二樓桂冠I廳）</t>
  </si>
  <si>
    <t>02-8226-9000</t>
  </si>
  <si>
    <t>新北市新店區中興路3段219-2號1樓(中信商務會館)</t>
  </si>
  <si>
    <t>元大 證券股份有限公司</t>
  </si>
  <si>
    <t>高雄市蓮潭國際會館(高雄市左營區崇德路801號1樓大型會議室)</t>
  </si>
  <si>
    <t>台北市松山區八德路三段2號5樓(台北市電腦公會聯誼中心)</t>
  </si>
  <si>
    <t>新竹科學工業園區力行一路一號1樓A1</t>
  </si>
  <si>
    <t>台北市大安區羅斯福路四段85號地下一樓(台大集思會館亞歷山大廳)</t>
  </si>
  <si>
    <t>新北市中和區中正路726號B2 (一期服務中心會議室)</t>
  </si>
  <si>
    <t>台中市大里區仁化里工業路2號二樓會議室(經濟部工業局大里工業區服務中心二樓會議室)。</t>
  </si>
  <si>
    <t>珍豪大飯店(新北市三重區光復路一段67號)</t>
  </si>
  <si>
    <t>新竹市新竹科學工業園區篤行一路6號（茂達大樓會議室）</t>
  </si>
  <si>
    <t>自105年05月27日至105年06月24日止</t>
  </si>
  <si>
    <t>台北市士林區士商路189號B1(國立台灣科學教育館) B會議室</t>
  </si>
  <si>
    <t>台北市內湖區文湖街12號4樓</t>
  </si>
  <si>
    <t>康和綜合證券股份有限公司會議室(地址：台北市信義區基隆路一段176號B2)</t>
  </si>
  <si>
    <t>03-4556469</t>
  </si>
  <si>
    <t>本公司一樓會議室(新竹市金山八街一號一樓)</t>
  </si>
  <si>
    <t>新竹市展業一路2號</t>
  </si>
  <si>
    <t>台北六福萬怡酒店 (台北市南港區忠孝東路七段359號9樓)</t>
  </si>
  <si>
    <t>南投市南崗工業區永興路3號一樓</t>
  </si>
  <si>
    <t>桃園市中壢區民權路398號</t>
  </si>
  <si>
    <t>F-芮特</t>
  </si>
  <si>
    <t>基隆市七堵區工建路1號2樓</t>
  </si>
  <si>
    <t>(02)24516514</t>
  </si>
  <si>
    <t>自105年05月09日至105年06月05日止</t>
  </si>
  <si>
    <t>富強鑫精密工業股份有限公司 台南市關廟區埤頭里保東路269號</t>
  </si>
  <si>
    <t>桃園市平鎮區延平路三段505號</t>
  </si>
  <si>
    <t>台北市內湖區瑞光路399號1樓(自由時報廣場)</t>
  </si>
  <si>
    <t>新竹科學園區工業東九路5號3樓(本公司會議室)</t>
  </si>
  <si>
    <t>新竹市光復路2段2巷47號1樓</t>
  </si>
  <si>
    <t>新北市三重區光復路一段68巷11弄1號2樓</t>
  </si>
  <si>
    <t>(02)2383-6888</t>
  </si>
  <si>
    <t>台北市復興南路一段390號9樓(全國工業總會第一會議室)</t>
  </si>
  <si>
    <t>台北世界貿易中心南港展覽館(台北市南港區經貿二路1號5樓會議室504C</t>
  </si>
  <si>
    <t>新竹科學工業園區展業一路2號 (科學園區同業公會)</t>
  </si>
  <si>
    <t>本公司營業處所(新北市土城區中山路64號)</t>
  </si>
  <si>
    <t>台南市新市區南科六路9號101會議室(本公司會議室)</t>
  </si>
  <si>
    <t>台北市內湖區瑞光路399號1樓(自由廣場會議中心-多用途會議室)</t>
  </si>
  <si>
    <t>新北市五股區五工六路九號四樓</t>
  </si>
  <si>
    <t>03-5643200</t>
  </si>
  <si>
    <t>台南市佳里區海澄里萊芊寮12-18號4樓</t>
  </si>
  <si>
    <t>洛碁實業</t>
  </si>
  <si>
    <t>新竹縣新豐鄉新豐村16鄰349-1號</t>
  </si>
  <si>
    <t>台北市南港區興東街1號2樓(三重區民活動中心)</t>
  </si>
  <si>
    <t>漢承泰</t>
  </si>
  <si>
    <t>新北市勞工活動中心 (地址：新北市五股區五工六路九號)</t>
  </si>
  <si>
    <t>新北市中和區中正路716號地下二樓</t>
  </si>
  <si>
    <t>基隆市六堵工業區工建北1-2號管理中心</t>
  </si>
  <si>
    <t>新竹市牛埔南路221號翔名科技(本公司4樓會議室）</t>
  </si>
  <si>
    <t>桃園市經國路888號2樓之1,之2</t>
  </si>
  <si>
    <t>大億麗緻酒店5樓(台南市西門路一段660號)</t>
  </si>
  <si>
    <t>桃園市大園區中正東路442號2樓城市商旅會議宴會廳。</t>
  </si>
  <si>
    <t>新北市汐止區康寧街520之1號 (湖光市民活動中心2樓)</t>
  </si>
  <si>
    <t>新北市新店區中興路三段219-2號1樓(新店中信商務會館)</t>
  </si>
  <si>
    <t>新竹市新竹科學工業園區展業一路2號2樓(台灣科學工業園區科學工業同業公會201會議室)</t>
  </si>
  <si>
    <t>新北市中和區中正路920號9樓(本公司演講廳)</t>
  </si>
  <si>
    <t>台北市內湖區瑞湖街36號5樓</t>
  </si>
  <si>
    <t>台北市內湖區瑞光路399號1樓</t>
  </si>
  <si>
    <t>劍潭海外青年活動中心教學區三樓332室（地址：台北市士林區中山北路四段16號）</t>
  </si>
  <si>
    <t>桃園市龜山區民生北路一段536號5樓</t>
  </si>
  <si>
    <t>常會 2016/04/25</t>
  </si>
  <si>
    <t>苗栗縣竹南鎮群義路1號 本公司1廠1樓會議室(廣源科技園區內)</t>
  </si>
  <si>
    <t>南投市新興里工業路29號</t>
  </si>
  <si>
    <t>台北市內湖區瑞光路392號8樓</t>
  </si>
  <si>
    <t>桃園市蘆竹區南崁路一段99號9樓</t>
  </si>
  <si>
    <t>台中市大雅區中科路6號1樓(中科管理局101會議室)</t>
  </si>
  <si>
    <t>台北市內湖區行愛路78巷28號5樓之3</t>
  </si>
  <si>
    <t>PO Box 309,Ugland House,Grand Cayman,KY1-1104,Cayman Islands</t>
  </si>
  <si>
    <t>基泰國際會議中心(台北市衡陽路51號11樓)</t>
  </si>
  <si>
    <t>經濟部工業局新竹工業區服務中心2樓會議室（地址：新竹縣湖口鄉鳳山村中華路22號）</t>
  </si>
  <si>
    <t>Marquee Place, Suite 300, 430 West Bay Road, P.O.Box 32052,</t>
  </si>
  <si>
    <t>台中市烏日區成功西路300號312訓練教室</t>
  </si>
  <si>
    <t>89 Nexus Way,Camana Bay,Grand Cayman KY1-9007,Cayman Islands</t>
  </si>
  <si>
    <t>集思台大會議中心阿基米德廳(台北市大安區羅斯福路四段85號地下一樓)</t>
  </si>
  <si>
    <t>南港軟體育成中心(台北市南港區三重路19-11號E棟4樓-447大會議室)</t>
  </si>
  <si>
    <t>台北市內湖科技園區服務大樓2樓（台北市內湖區洲子街12號2樓）</t>
  </si>
  <si>
    <t>屏東縣長治鄉德和村神農路12號(階梯講堂)</t>
  </si>
  <si>
    <t>台北市衡陽路51號11樓217室</t>
  </si>
  <si>
    <t>台北市中正區衡陽路51號3樓(領袖廳)</t>
  </si>
  <si>
    <t>222 Moo 4, T.Thachang, A.Bangklum, Songkhla, Thailand</t>
  </si>
  <si>
    <t>F-大拓</t>
  </si>
  <si>
    <t>190 ElginAvenue,George Town, Grand Cayman KY1-9005,Cayman</t>
  </si>
  <si>
    <t>康和證券會議室(地址: 台北市信義區基隆路一段176號地下2樓)</t>
  </si>
  <si>
    <t>886-227133220</t>
  </si>
  <si>
    <t>自105年05月07日至105年06月03日止</t>
  </si>
  <si>
    <t>自105年05月08日至105年06月04日止</t>
  </si>
  <si>
    <t>本公司會議室(台中市西屯區工業區二路3號)</t>
  </si>
  <si>
    <t>新北市土城區中山路65號\</t>
  </si>
  <si>
    <t>高雄市鳳山區國泰路一段99號(本公司營管中心二樓會議室)</t>
  </si>
  <si>
    <t>台北市信義路四段236號7樓(三商美邦宏遠大樓7樓)</t>
  </si>
  <si>
    <t>台北市敦化南路二段95號B2 （201室）</t>
  </si>
  <si>
    <t>屏東縣內埔鄉豐田村建富路8號(大田公司一樓文創美學中心)</t>
  </si>
  <si>
    <t>台北市中山北路四段一號(圓山大飯店富貴廳)</t>
  </si>
  <si>
    <t>桃園市大園區北港里14鄰港仔嘴2-6號</t>
  </si>
  <si>
    <t>桃園市大園區北港里14鄰潮音北路276號</t>
  </si>
  <si>
    <t>台北市敦化南路二段97號地下二樓 ( 會議室 )</t>
  </si>
  <si>
    <t>高雄市立社會教育館(地址：高雄市小港區學府路115號)</t>
  </si>
  <si>
    <t>台南市永康區永科五路六號。本公司員工餐廳。</t>
  </si>
  <si>
    <t>漢美</t>
  </si>
  <si>
    <t>高雄市前金區成功一路266號21樓之1</t>
  </si>
  <si>
    <t>高雄市前金區成功一路266號9樓金寶廳</t>
  </si>
  <si>
    <t>彰化縣芳苑鄉後寮村工區六路三號二樓會議室</t>
  </si>
  <si>
    <t>303新竹縣湖口鄉鳳凰村光復路71號</t>
  </si>
  <si>
    <t>新竹縣總工會(新竹縣竹北市縣政八街77號3樓)</t>
  </si>
  <si>
    <t>桃園市觀音區觀音工業區工業五路三號(觀音廠區服務中心三樓禮堂)</t>
  </si>
  <si>
    <t>(33860)桃園市蘆竹區長興路二段58號</t>
  </si>
  <si>
    <t>豐鼎</t>
  </si>
  <si>
    <t>台北市中山區林森北路554號5樓</t>
  </si>
  <si>
    <t>屏東縣枋寮鄉太源村東海路49號（屏東廠）</t>
  </si>
  <si>
    <t>統一綜合證券</t>
  </si>
  <si>
    <t>世豐</t>
  </si>
  <si>
    <t>(82547)高雄市橋頭區頂鹽里復興西路810號</t>
  </si>
  <si>
    <t>高雄市楠梓區高雄大學路700號(高雄大學育成中心)</t>
  </si>
  <si>
    <t>精湛</t>
  </si>
  <si>
    <t>高雄市湖內區忠孝街110巷58號</t>
  </si>
  <si>
    <t>高雄市湖內區忠孝街110巷58號(本公司一樓視聽室)</t>
  </si>
  <si>
    <t>臺北市大安區復興南路二段268號4樓之一、4樓之二、4樓之三</t>
  </si>
  <si>
    <t>桃園市大園區五權里五青路291巷33號(本公司會議室)</t>
  </si>
  <si>
    <t>艾姆勒</t>
  </si>
  <si>
    <t>新北市林口區粉寮路二段16號</t>
  </si>
  <si>
    <t>新北市林口區粉寮路2段16號(本公司員工餐廳)</t>
  </si>
  <si>
    <t>台北市中山北路二段41號4樓(晶華酒店第五貴賓室)</t>
  </si>
  <si>
    <t>國泰金融會議廳(住址：台北市信義區松仁路九號一樓)</t>
  </si>
  <si>
    <t>新北市石門區中央路1-25號(本公司石門旗艦會館)</t>
  </si>
  <si>
    <t>P.O.Box 1968, Plantation House,196 Raleigh Quay,</t>
  </si>
  <si>
    <t>台北市市民大道三段83號</t>
  </si>
  <si>
    <t>550 Route 1 South, Newark, NJ 07114</t>
  </si>
  <si>
    <t>台北市南京東路二段111號六樓新台豐大樓 6D會議室</t>
  </si>
  <si>
    <t>台北巿忠孝東路一段十二號B2(台北喜來登大飯店B2宴會廳喜廳)</t>
  </si>
  <si>
    <t>蓮潭國際會館(地址:高雄市左營區崇德路801號103室)</t>
  </si>
  <si>
    <t>五福旅遊</t>
  </si>
  <si>
    <t>高雄市三民區博愛一路28號3樓</t>
  </si>
  <si>
    <t>高雄市鹽埕區中正四路274號(高雄國際會議中心)</t>
  </si>
  <si>
    <t>雲品</t>
  </si>
  <si>
    <t>新北市新莊區五工路66號6樓</t>
  </si>
  <si>
    <t>集雅社</t>
  </si>
  <si>
    <t>高雄市苓雅區中正一路263號12樓</t>
  </si>
  <si>
    <t>高雄市苓雅區中正一路263號7 樓(本公司會議室)</t>
  </si>
  <si>
    <t>新北市新店區寶橋路233之2號10樓(本公司會議室)</t>
  </si>
  <si>
    <t>(334)桃園市八德區和平路772巷19號</t>
  </si>
  <si>
    <t>高雄市仁武區五和里八德二路168號（本公司三樓餐廳）</t>
  </si>
  <si>
    <t>桃園市八德區茄苳路756號（本公司會議室）</t>
  </si>
  <si>
    <t>新北市中和區中正路631號(中和福朋酒店東廳)</t>
  </si>
  <si>
    <t>常會 2016/04/06</t>
  </si>
  <si>
    <t>326桃園市楊梅區幼四路1號</t>
  </si>
  <si>
    <t>桃園市楊梅區幼四路1號三樓大禮堂</t>
  </si>
  <si>
    <t>台北市內湖區民權東路六段21巷33號本公司一樓會議室</t>
  </si>
  <si>
    <t>佳得</t>
  </si>
  <si>
    <t>新北市汐止區新台五路一段77號6樓之6</t>
  </si>
  <si>
    <t>新北市汐止區新台五路1段77號6樓之6(本公司六樓大會議室)</t>
  </si>
  <si>
    <t>新竹縣竹北市台元街26號2樓(台元科技園區會館2樓劇場式會議中心)</t>
  </si>
  <si>
    <t>台興</t>
  </si>
  <si>
    <t>新北市新莊區五權一路1號7樓之4</t>
  </si>
  <si>
    <t>新北市新莊區五權一路1號2樓之2(策進會)</t>
  </si>
  <si>
    <t>台北市大安區新生南路三段30號2樓(公務人力發展中心福華國際文教會館)</t>
  </si>
  <si>
    <t>(334) 桃園市八德區茄苳路７６０巷１６號</t>
  </si>
  <si>
    <t>桃園市八德區茄苳路760巷16號（本公司地下室餐廳）</t>
  </si>
  <si>
    <t>新竹市科學工業園區力行一路10-2號4樓</t>
  </si>
  <si>
    <t>新竹市科學工業園區力行一路10-2號3樓</t>
  </si>
  <si>
    <t>(338)桃園市蘆竹區南山路二段498-2號</t>
  </si>
  <si>
    <t>台中市南屯區工業19路10號(本公司一樓之柏林會議室)</t>
  </si>
  <si>
    <t>前源</t>
  </si>
  <si>
    <t>新竹科學工業園區工業東四路1號</t>
  </si>
  <si>
    <t>苗栗縣竹南鎮公教路41號(本公司竹南分公司餐廳)</t>
  </si>
  <si>
    <t>兆豐證券(股)公司股務代理部</t>
  </si>
  <si>
    <t>(407)台中市西屯區林厝里科園一路16號</t>
  </si>
  <si>
    <t>(104)台北市中山區樂群三路56號7樓之1</t>
  </si>
  <si>
    <t>苗栗縣銅鑼鄉中興路3號(中興工業區管理中心會議室)</t>
  </si>
  <si>
    <t>台北市大安區新生南路三段三十號(福華國際文教會館201室)</t>
  </si>
  <si>
    <t>竹北市縣政八街25號1樓(新竹縣工業會: 劇院教室)</t>
  </si>
  <si>
    <t>新竹縣湖口鄉光復南路2號</t>
  </si>
  <si>
    <t>苗栗縣竹南鎮友義路399號(廣源會議中心)</t>
  </si>
  <si>
    <t>F-太和</t>
  </si>
  <si>
    <t>高雄市新興區青年一路158號</t>
  </si>
  <si>
    <t>台北市信義路四段236號7樓</t>
  </si>
  <si>
    <t>新竹科學園區新竹縣寶山鄉工業東九路16號4樓會議室</t>
  </si>
  <si>
    <t>台北市南港區三重路19之10號A棟2樓</t>
  </si>
  <si>
    <t>(10656)台北市大安區復興南路一段368號2樓</t>
  </si>
  <si>
    <t>常會 2016/03/11</t>
  </si>
  <si>
    <t>雲林縣虎尾鎮科虎一路8號</t>
  </si>
  <si>
    <t>台北市內湖區瑞光路399號2樓（自由廣場會議中心）</t>
  </si>
  <si>
    <t>新北市汐止區新台五路一段97號6樓之11</t>
  </si>
  <si>
    <t>新北市汐止區新台五路一段97號6樓(本公司會議室)</t>
  </si>
  <si>
    <t>(114)台北市內湖區瑞光路478巷20號9樓、22號9樓</t>
  </si>
  <si>
    <t>11493台北市內湖區內湖路一段322號5樓</t>
  </si>
  <si>
    <t>台北市內湖路一段516號6樓 (實踐菁英會館603室)</t>
  </si>
  <si>
    <t>新北市三峽區大學路63號2樓(福容大飯店三鶯：福園-海芋廳)會議室舉行。</t>
  </si>
  <si>
    <t>台北市復興北路99號6樓(”牛牛牛”亞國際會議中心會議室)</t>
  </si>
  <si>
    <t>喬本生醫</t>
  </si>
  <si>
    <t>屏東縣長治鄉德和村神農東路9號</t>
  </si>
  <si>
    <t>新北市汐止區新台五路一段106號5樓</t>
  </si>
  <si>
    <t>新竹市中華路六段335號</t>
  </si>
  <si>
    <t>新竹市中華路六段335號(本公司5樓活動中心)</t>
  </si>
  <si>
    <t>桃園市中壢區合圳北路二段545號</t>
  </si>
  <si>
    <t>廣越</t>
  </si>
  <si>
    <t>台北市內湖區瑞光路607號6樓</t>
  </si>
  <si>
    <t>台北市內湖區瑞光路607號R樓會議室</t>
  </si>
  <si>
    <t>新北市樹林區三多路123號</t>
  </si>
  <si>
    <t>新北市樹林區三多路123號(本公司樹林廠)</t>
  </si>
  <si>
    <t>新幹線花園酒店(台中市南屯區工業十八路29號)國際廳</t>
  </si>
  <si>
    <t>常會 2016/03/21</t>
  </si>
  <si>
    <t>穎漢科技</t>
  </si>
  <si>
    <t>台南市安南區科技一路50號</t>
  </si>
  <si>
    <t>南台灣創新園區(地址：台南市安南區工業二路31號)</t>
  </si>
  <si>
    <t>台北市電腦商業同業公會501會議室（台北市松山區八德路三段2號5樓）</t>
  </si>
  <si>
    <t>新北市三重區光復路一段83巷6號9樓</t>
  </si>
  <si>
    <t>新竹市大湖路一七三之二號</t>
  </si>
  <si>
    <t>338桃園市蘆竹區坑口里頭前1-17號</t>
  </si>
  <si>
    <t>勤凱科技</t>
  </si>
  <si>
    <t>高雄市大寮區大有3街32號</t>
  </si>
  <si>
    <t>高雄市大寮區大有三街32號 勤凱會議室</t>
  </si>
  <si>
    <t>高雄市新興區中正三路2號20樓</t>
  </si>
  <si>
    <t>新北市五股區中興路1段10號9樓之1</t>
  </si>
  <si>
    <t>300新竹市新安路2-1號1樓第一會議室(新竹科學工業園區管理局-勞工育樂中心)</t>
  </si>
  <si>
    <t>(326) 桃園市楊梅區幼獅工業區幼一路11號2樓</t>
  </si>
  <si>
    <t>桃園市楊梅區幼獅工業區幼一路11號2樓(本公司1樓會議室)</t>
  </si>
  <si>
    <t>新竹市公道五路二段180 號4樓</t>
  </si>
  <si>
    <t>新竹市東區公道五路二段180號1樓</t>
  </si>
  <si>
    <t>新竹科學園區篤行路1 號2 樓(Living One 篤行館廣益廳)</t>
  </si>
  <si>
    <t>新北巿中和區建八路16號14樓 本公司會議室</t>
  </si>
  <si>
    <t>富圓采</t>
  </si>
  <si>
    <t>桃園市楊梅區秀才路851號勞動部勞動力發展署桃竹苗分署-綜合大樓國際會議廳</t>
  </si>
  <si>
    <t>新北市汐止區大同路一段239號17樓之1</t>
  </si>
  <si>
    <t>優燈</t>
  </si>
  <si>
    <t>新竹科學工業園區新竹市研新二路1號</t>
  </si>
  <si>
    <t>桃園市龜山區萬壽路一段609號8樓</t>
  </si>
  <si>
    <t>桃園市龜山區萬壽路一段609號8樓(本公司第一會議室)</t>
  </si>
  <si>
    <t>鈺鎧</t>
  </si>
  <si>
    <t>高雄蓮潭國際會館(高雄市左營區崇德路801號)</t>
  </si>
  <si>
    <t>(333)桃園市龜山區茶專路6號</t>
  </si>
  <si>
    <t>桃園市龜山區茶專路六號(本公司二樓會議室)</t>
  </si>
  <si>
    <t>台北市內湖區新湖二路128號  R1優勢領航企業總部會議廳</t>
  </si>
  <si>
    <t>(33051)桃園市桃園區春日路1492號7樓</t>
  </si>
  <si>
    <t>桃園市桃園區春日路1492號7樓(本公司會議室)</t>
  </si>
  <si>
    <t>台北市內湖區瑞光路358巷30弄10號1樓</t>
  </si>
  <si>
    <t>新北市五股區中興路一段8號3樓之7~10號</t>
  </si>
  <si>
    <t>桃園市中壢區西園路89號</t>
  </si>
  <si>
    <t>(33383)桃園市龜山區文化村科技三路88號3樓</t>
  </si>
  <si>
    <t>桃園市婦女館101會議室(桃園市桃園區延平路147號)</t>
  </si>
  <si>
    <t>台南市安南區工業二路59號(本公司4樓)</t>
  </si>
  <si>
    <t>遠雄人壽</t>
  </si>
  <si>
    <t>台北市信義區松高路1號28樓</t>
  </si>
  <si>
    <t>台北市信義區松高路1號32樓會議中心(遠雄金融中心)</t>
  </si>
  <si>
    <t>台北市民權東路一段2號本公司6樓</t>
  </si>
  <si>
    <t>德信</t>
  </si>
  <si>
    <t>台北市中正區新生南路1段50號3樓</t>
  </si>
  <si>
    <t>台北市新生南路一段50號3樓</t>
  </si>
  <si>
    <t>33066桃園市桃園區復興路207號3樓之1</t>
  </si>
  <si>
    <t>桃園市中壢區中福路二段十巷二號</t>
  </si>
  <si>
    <t>桃園市中壢區中福路二段十巷2號四樓會議室</t>
  </si>
  <si>
    <t>新竹縣竹北市台元街28號7樓之2(本公司會議室)</t>
  </si>
  <si>
    <t>桃園市中壢區自強四路3-2號</t>
  </si>
  <si>
    <t>臺北市中山區建國北路一段126號8樓</t>
  </si>
  <si>
    <t>台北市中山區建國北路一段126號8樓(台灣淘米會議室)</t>
  </si>
  <si>
    <t>桃園市中壢區榮民路421號</t>
  </si>
  <si>
    <t>新北市新莊區中正路542號之17二樓</t>
  </si>
  <si>
    <t>新北市新莊區中正路542-17號2樓(本公司會議室)</t>
  </si>
  <si>
    <t>台北市士林區士商路1號9樓(台北市士林運動中心)</t>
  </si>
  <si>
    <t>臺南市中西區中華西路二段34號（國立臺南生活美學館會議室）</t>
  </si>
  <si>
    <t>臺北市內湖區內湖路1段248號3樓</t>
  </si>
  <si>
    <t>新竹縣竹北市生醫路二段22號1樓(本公司新竹研創中心)</t>
  </si>
  <si>
    <t>台北市內湖區瑞光路550號3樓</t>
  </si>
  <si>
    <t>台北市敦化南路二段97號11樓(元富證券教育訓練中心)</t>
  </si>
  <si>
    <t>台北市內湖區瑞光路399號1樓（自由廣場會議中心）</t>
  </si>
  <si>
    <t>新竹縣竹北市生醫路二段16號1樓 (竹北生醫園區管理局會議室)</t>
  </si>
  <si>
    <t>本公司(新北市土城區民權街17號)</t>
  </si>
  <si>
    <t>台北市仁愛路3段160號4樓（福華大飯店405會議室）</t>
  </si>
  <si>
    <t>台中市梧棲區中港加工區經三路一號(本公司二樓)</t>
  </si>
  <si>
    <t>台中市台灣大道二段186號13樓</t>
  </si>
  <si>
    <t>新北市汐止區新台五路一段99號4樓遠來B廳</t>
  </si>
  <si>
    <t>台中市工業區六路七號(本公司會議室)</t>
  </si>
  <si>
    <t>新竹市水利路81號二樓國際會議廳</t>
  </si>
  <si>
    <t>綠晁</t>
  </si>
  <si>
    <t>屏東市屏東加工出口區園東街6號</t>
  </si>
  <si>
    <t>屏東縣屏東市園東街6號(本公司)</t>
  </si>
  <si>
    <t>台中市潭子區台中加工出口區建國路14號(本公司員工餐廳)</t>
  </si>
  <si>
    <t>康科特</t>
  </si>
  <si>
    <t>新北市板橋區文化路一段266號12樓</t>
  </si>
  <si>
    <t>新北市板橋區文化路一段268號12樓</t>
  </si>
  <si>
    <t>台北市南港區三重路19-11號E棟4樓423室(南港軟體育成中心)</t>
  </si>
  <si>
    <t>達爾膚</t>
  </si>
  <si>
    <t>台北市中正區羅斯福路二段102號5樓</t>
  </si>
  <si>
    <t>台北市羅斯福路四段85號B1(集思台大會議中心米開朗基羅廳)</t>
  </si>
  <si>
    <t>絡達</t>
  </si>
  <si>
    <t>新竹市科學園區篤行路6-5號5樓</t>
  </si>
  <si>
    <t>新竹市科學園區工業東二路1號(2F愛因斯坦廳)</t>
  </si>
  <si>
    <t>中國信託商業銀行信託部</t>
  </si>
  <si>
    <t>明達醫</t>
  </si>
  <si>
    <t>桃園市龜山區興業街5號2樓-1(第二層)</t>
  </si>
  <si>
    <t>桃園市桃園區民生路107號（桃園翰品酒店）</t>
  </si>
  <si>
    <t>研鼎</t>
  </si>
  <si>
    <t>臺北市內湖區新湖三路189號6樓</t>
  </si>
  <si>
    <t>台北市內湖區新湖三路189號6樓（本公司會議室）</t>
  </si>
  <si>
    <t>創威</t>
  </si>
  <si>
    <t>新北市新店區寶中路119號6樓</t>
  </si>
  <si>
    <t>集思台大會議中心洛克廳(台北市大安區羅斯福路四段85號B1)</t>
  </si>
  <si>
    <t>愛普科技</t>
  </si>
  <si>
    <t>新竹縣竹北市台元一街一號8樓之一</t>
  </si>
  <si>
    <t>台元科技園區三期文化展覽會館2樓(新竹縣竹北市台元一街3號2樓多功能會議室)</t>
  </si>
  <si>
    <t>瑞耘</t>
  </si>
  <si>
    <t>新竹縣湖口鄉鳳山村光復南路58號</t>
  </si>
  <si>
    <t>本公司會議室(新竹縣湖口鄉鳳山村光復南路58號)</t>
  </si>
  <si>
    <t>晶心科</t>
  </si>
  <si>
    <t>新竹科學工業園區新竹市力行一路1號2樓</t>
  </si>
  <si>
    <t>新竹科學園區新竹市力行一路1號矽導竹科研發中心行政棟B1訓練教室</t>
  </si>
  <si>
    <t>正瀚生技</t>
  </si>
  <si>
    <t>彰化縣線西鄉線安路121號</t>
  </si>
  <si>
    <t>彰化縣線西鄉線西村線安路121號3樓</t>
  </si>
  <si>
    <t>順藥</t>
  </si>
  <si>
    <t>台北市南港區園區街3-2號4樓</t>
  </si>
  <si>
    <t>台北市南港區三重路19-11號E棟4樓423會議室(南港軟體育成中心)</t>
  </si>
  <si>
    <t>碩豐</t>
  </si>
  <si>
    <t>新北市汐止區新台五路一段75號11樓</t>
  </si>
  <si>
    <t>新北市汐止區大同路一段三○八號六樓</t>
  </si>
  <si>
    <t>倉和</t>
  </si>
  <si>
    <t>桃園市龜山區萬壽路一段492之16號3樓</t>
  </si>
  <si>
    <t>桃園市龜山區自強北路17巷31號</t>
  </si>
  <si>
    <t>翔宇</t>
  </si>
  <si>
    <t>台北市內湖區行愛路77巷65號6樓</t>
  </si>
  <si>
    <t>台北市內湖區行愛路77巷65號8樓會議室</t>
  </si>
  <si>
    <t>F-喜康</t>
  </si>
  <si>
    <t>新竹縣竹北市生醫路二段18號5樓</t>
  </si>
  <si>
    <t>新竹縣竹北市生醫路二段18號1F</t>
  </si>
  <si>
    <t>F-泰福</t>
  </si>
  <si>
    <t>4F,Willow House,Cricket Square,PO BOX 2804,Cayman Islands</t>
  </si>
  <si>
    <t>隆中網絡</t>
  </si>
  <si>
    <t>新北市新店區建國路276號9樓</t>
  </si>
  <si>
    <t>新北市新店區建國路276號10樓(本公司會議室)</t>
  </si>
  <si>
    <t>擎力</t>
  </si>
  <si>
    <t>臺北市南港區園區街3-1號G棟7樓之二</t>
  </si>
  <si>
    <t>正基</t>
  </si>
  <si>
    <t>新竹縣湖口鄉鳳山村仁愛路1號3樓</t>
  </si>
  <si>
    <t>新竹縣湖口鄉新竹工業區大智路一巷79號(中華公園活動中心會議室)</t>
  </si>
  <si>
    <t>基亞生</t>
  </si>
  <si>
    <t>新竹科學工業園區新竹縣竹北市生醫三路68號</t>
  </si>
  <si>
    <t>新竹縣竹北市生醫路二段2號1樓113訓練教室</t>
  </si>
  <si>
    <t>永豐金證</t>
  </si>
  <si>
    <t>長華科</t>
  </si>
  <si>
    <t>高雄市楠梓加工出口區開發路24號</t>
  </si>
  <si>
    <t>景凱</t>
  </si>
  <si>
    <t>新竹縣竹北市生醫路二段2號D207室</t>
  </si>
  <si>
    <t>新竹縣竹北市生醫路二段2號1樓</t>
  </si>
  <si>
    <t>F-PG</t>
  </si>
  <si>
    <t>P.O. Box 309, Ugland House,Grand Cayman, KY1-1104, Cayman</t>
  </si>
  <si>
    <t>台北市中正區中山南路11號(張榮發國際會議中心)</t>
  </si>
  <si>
    <t>必翔電</t>
  </si>
  <si>
    <t>新竹縣湖口鄉鳳山村工業五路7號</t>
  </si>
  <si>
    <t>新竹縣竹北市縣政八街77號(新竹縣工業會1樓會議室)</t>
  </si>
  <si>
    <t>易華電</t>
  </si>
  <si>
    <t>高雄市楠梓加工出口區新開發路8號</t>
  </si>
  <si>
    <t>豐華</t>
  </si>
  <si>
    <t>台南市新市區國際路17號四樓C2之1</t>
  </si>
  <si>
    <t>台北市南港區園區街3之2號7樓大會議室(南港軟體園區H棟)</t>
  </si>
  <si>
    <t>F-冠科</t>
  </si>
  <si>
    <t>台北市信義區基隆路一段333號17樓1705室</t>
  </si>
  <si>
    <t>台北市承德路一段3號5樓（台灣君品酒店亮懷廳）</t>
  </si>
  <si>
    <t>榮炭科技</t>
  </si>
  <si>
    <t>新北市汐止區中興路31號5樓之1</t>
  </si>
  <si>
    <t>宜蘭縣蘇澳鎮五結鄉利工二路46號(經濟部工業局龍德兼利澤服務中心)</t>
  </si>
  <si>
    <t>勝品</t>
  </si>
  <si>
    <t>新北市五股區五權路8號</t>
  </si>
  <si>
    <t>新北市五股區五權路8號1樓</t>
  </si>
  <si>
    <t>興能高</t>
  </si>
  <si>
    <t>新竹市科學工業園區園區二路9號7樓</t>
  </si>
  <si>
    <t>新竹科學工業園區新竹市園區二路九號八樓會議室</t>
  </si>
  <si>
    <t>研晶</t>
  </si>
  <si>
    <t>新北市土城區永豐路173之8號2樓</t>
  </si>
  <si>
    <t>新北市土城區永豐路173之8號6樓（本公司會議室）</t>
  </si>
  <si>
    <t>欣普羅</t>
  </si>
  <si>
    <t>新北市新莊區思源路23號6F</t>
  </si>
  <si>
    <t>新北市新莊區思源路23號3樓</t>
  </si>
  <si>
    <t>聯亞藥</t>
  </si>
  <si>
    <t>新竹縣竹北市生醫路二段18號1樓(C棟)112會議室</t>
  </si>
  <si>
    <t>創益</t>
  </si>
  <si>
    <t>台北市南港區園區街3-1號3樓-1</t>
  </si>
  <si>
    <t>台北市南港區三重路19-11號E棟4樓（南港軟體育成中心）</t>
  </si>
  <si>
    <t>生控</t>
  </si>
  <si>
    <t>台北市大安區仁愛路四段25-2號5樓</t>
  </si>
  <si>
    <t>台北市仁愛路三段160號4樓(福華飯店CR405會議室)</t>
  </si>
  <si>
    <t>宏觀</t>
  </si>
  <si>
    <t>新竹市公道五路二段363號3樓</t>
  </si>
  <si>
    <t>新竹縣竹東鎮中興路4段195號51館2B會議室</t>
  </si>
  <si>
    <t>醫揚</t>
  </si>
  <si>
    <t>新北市新店區寶橋路235巷135號2樓</t>
  </si>
  <si>
    <t>維田</t>
  </si>
  <si>
    <t>新北市中和區建一路186號15樓之1</t>
  </si>
  <si>
    <t>遠東世紀廣場二期管委會會議室(新北市中和區中正路716號B2)</t>
  </si>
  <si>
    <t>博錸</t>
  </si>
  <si>
    <t>臺北市內湖區陽光街351號6樓之1</t>
  </si>
  <si>
    <t>台北市內湖區陽光街351號5樓會議室</t>
  </si>
  <si>
    <t>心悅</t>
  </si>
  <si>
    <t>台北市信義區忠孝東路五段510號21樓之2</t>
  </si>
  <si>
    <t>台北市仁愛路四段169號15樓</t>
  </si>
  <si>
    <t>逸達</t>
  </si>
  <si>
    <t>台北市南港區三重路19-10號2樓(南港軟體園區A棟2樓會議中心)</t>
  </si>
  <si>
    <t>勁豐</t>
  </si>
  <si>
    <t>台北市內湖區環山路一段30號1樓</t>
  </si>
  <si>
    <t>易宏</t>
  </si>
  <si>
    <t>台北市內湖區新湖二路87號3樓</t>
  </si>
  <si>
    <t>台北市新湖二路87號3樓(本公司會議室)</t>
  </si>
  <si>
    <t>凡事康</t>
  </si>
  <si>
    <t>屏東市前進里屏東加工出口區經建路21號</t>
  </si>
  <si>
    <t>屏東市前進里屏加路1號4F國際會議廳(屏東加工出口區管理處)</t>
  </si>
  <si>
    <t>新竹科學工業園區管理局D1 PLAZA活力廣場1樓第一會議室。(新竹市新安路2-1號)。</t>
  </si>
  <si>
    <t>(32063)桃園市中壢區安東路11-1號</t>
  </si>
  <si>
    <t>桃園市中壢區安東路11-1號</t>
  </si>
  <si>
    <t>桃園市蘆竹區新南路一段305巷5弄1-3號</t>
  </si>
  <si>
    <t>新竹縣湖口鄉光復北路65號1樓會議室</t>
  </si>
  <si>
    <t>歐普羅</t>
  </si>
  <si>
    <t>新北市新莊區中正路66號13樓</t>
  </si>
  <si>
    <t>新北市五股區五工六路9 號(新北市勞工活動中心)</t>
  </si>
  <si>
    <t>中廣</t>
  </si>
  <si>
    <t>台北市松江路三七五號七樓</t>
  </si>
  <si>
    <t>常會 2016/05/30</t>
  </si>
  <si>
    <t>台北市松江路375號12樓中廣公司音樂廳。</t>
  </si>
  <si>
    <t>(32844)桃園市觀音區樹林里工業一路7號</t>
  </si>
  <si>
    <t>桃園市大園區大工路 19 號 2樓會議室</t>
  </si>
  <si>
    <t>常會 2016/04/21</t>
  </si>
  <si>
    <t>桃園市楊梅區頭湖里泰圳路313巷128號</t>
  </si>
  <si>
    <t>台北市松山區復興北路99號6樓</t>
  </si>
  <si>
    <t>德河</t>
  </si>
  <si>
    <t>台南市安平區世平路136號</t>
  </si>
  <si>
    <t>台南市安平區民權路四段325號3F (平安里活動中心3F)</t>
  </si>
  <si>
    <t>山林水</t>
  </si>
  <si>
    <t>台北市吉林路99號3樓</t>
  </si>
  <si>
    <t>台境</t>
  </si>
  <si>
    <t>高雄市岡山區本洲路168號5A-1</t>
  </si>
  <si>
    <t>高雄市岡山本洲產業園區服務中心會議室(高雄市岡山區本工路17號2樓)</t>
  </si>
  <si>
    <t>創業家</t>
  </si>
  <si>
    <t>台北市南港區三重路19-3號5樓</t>
  </si>
  <si>
    <t>臺北市南港區三重路19-11號E棟4樓 423室</t>
  </si>
  <si>
    <t>東哥遊艇</t>
  </si>
  <si>
    <t>高雄市前鎮區金福路1號</t>
  </si>
  <si>
    <t>東哥企業股份有限公司(地址: 高雄巿前鎮區金福路1號)</t>
  </si>
  <si>
    <t>政伸</t>
  </si>
  <si>
    <t>台中市西屯區工業區十二路六號</t>
  </si>
  <si>
    <t>台中市西屯區工業12路6號(本公司二樓會議室)</t>
  </si>
  <si>
    <t>信吉媒</t>
  </si>
  <si>
    <t>嘉義縣朴子市大鄉里大&amp;#27130;榔253之59號</t>
  </si>
  <si>
    <t>嘉義縣朴子市大鄉里大(木+康)榔253-59號4樓</t>
  </si>
  <si>
    <t>愛爾達</t>
  </si>
  <si>
    <t>台北市中正區中華路一段41號4樓</t>
  </si>
  <si>
    <t>台北市中正區徐州路2號 (台大醫院國際會議中心)</t>
  </si>
  <si>
    <t>三貝德</t>
  </si>
  <si>
    <t>台北市中正區重慶南路一段10號7樓</t>
  </si>
  <si>
    <t>台北市重慶南路一段10號7樓</t>
  </si>
  <si>
    <t>台灣利得</t>
  </si>
  <si>
    <t>台北市大同區承德路二段81號13樓之1</t>
  </si>
  <si>
    <t>台北市青島西路7號3樓R301室</t>
  </si>
  <si>
    <t>真好玩</t>
  </si>
  <si>
    <t>台北市中山區南京東路三段２２５號７樓</t>
  </si>
  <si>
    <t>台北市中正區衡陽路51號3樓基泰國際會議中心</t>
  </si>
  <si>
    <t>台霖</t>
  </si>
  <si>
    <t>台南市新營區舊部里舊部80號</t>
  </si>
  <si>
    <t>台南市新營區舊部里舊部八十號</t>
  </si>
  <si>
    <t>高雄市梓官區梓義里進學路57號 (梓義社區活動中心)</t>
  </si>
  <si>
    <t>松懋</t>
  </si>
  <si>
    <t>原創</t>
  </si>
  <si>
    <t>Jack Walfskin多功能披肩</t>
  </si>
  <si>
    <t>靈芝御品人蔘6入</t>
  </si>
  <si>
    <t>和椿</t>
  </si>
  <si>
    <t>奇偶</t>
  </si>
  <si>
    <t>毛寶好無比超淨能衣精500g</t>
  </si>
  <si>
    <t>USB LED 旋轉燈</t>
  </si>
  <si>
    <t>英格爾</t>
  </si>
  <si>
    <t>USB LED旋轉燈</t>
  </si>
  <si>
    <t>抗菌洗手慕斯500ml</t>
  </si>
  <si>
    <t>進階</t>
  </si>
  <si>
    <t>東浦</t>
  </si>
  <si>
    <t>石斛滋養洗髮精</t>
  </si>
  <si>
    <t>馬克杯</t>
  </si>
  <si>
    <t>豐藝</t>
  </si>
  <si>
    <t>亞太電</t>
  </si>
  <si>
    <t>6.20</t>
    <phoneticPr fontId="2" type="noConversion"/>
  </si>
  <si>
    <t>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</si>
</sst>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quot;月&quot;d&quot;日&quot;"/>
    <numFmt numFmtId="181" formatCode="0.00_);[Red]\(0.00\)"/>
  </numFmts>
  <fonts count="3" x14ac:knownFonts="1">
    <font>
      <sz val="12"/>
      <color theme="1"/>
      <name val="新細明體"/>
      <family val="2"/>
      <scheme val="minor"/>
    </font>
    <font>
      <b/>
      <sz val="12"/>
      <color theme="1"/>
      <name val="新細明體"/>
      <family val="1"/>
      <charset val="136"/>
      <scheme val="minor"/>
    </font>
    <font>
      <sz val="9"/>
      <name val="新細明體"/>
      <family val="3"/>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vertical="center"/>
    </xf>
    <xf numFmtId="176" fontId="0" fillId="0" borderId="0" xfId="0" applyNumberFormat="1"/>
    <xf numFmtId="181" fontId="1" fillId="0" borderId="0" xfId="0" applyNumberFormat="1" applyFont="1" applyAlignment="1">
      <alignment horizontal="center" vertical="center" wrapText="1"/>
    </xf>
    <xf numFmtId="181" fontId="0" fillId="0" borderId="0" xfId="0" applyNumberFormat="1"/>
    <xf numFmtId="181" fontId="0" fillId="0" borderId="0" xfId="0" quotePrefix="1" applyNumberFormat="1"/>
  </cellXfs>
  <cellStyles count="1">
    <cellStyle name="一般"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hyperlink" Target="http://images.wespai.com/stock/104/2436.jpg" TargetMode="External"/><Relationship Id="rId117" Type="http://schemas.openxmlformats.org/officeDocument/2006/relationships/hyperlink" Target="http://images.wespai.com/stock/104/4128.jpg" TargetMode="External"/><Relationship Id="rId21" Type="http://schemas.openxmlformats.org/officeDocument/2006/relationships/hyperlink" Target="http://images.wespai.com/stock/104/8935.jpg" TargetMode="External"/><Relationship Id="rId42" Type="http://schemas.openxmlformats.org/officeDocument/2006/relationships/hyperlink" Target="http://images.wespai.com/stock/104/2303.jpg" TargetMode="External"/><Relationship Id="rId47" Type="http://schemas.openxmlformats.org/officeDocument/2006/relationships/hyperlink" Target="http://images.wespai.com/stock/104/8103.jpg" TargetMode="External"/><Relationship Id="rId63" Type="http://schemas.openxmlformats.org/officeDocument/2006/relationships/hyperlink" Target="http://images.wespai.com/stock/104/1815.jpg" TargetMode="External"/><Relationship Id="rId68" Type="http://schemas.openxmlformats.org/officeDocument/2006/relationships/hyperlink" Target="http://images.wespai.com/stock/104/1504.jpg" TargetMode="External"/><Relationship Id="rId84" Type="http://schemas.openxmlformats.org/officeDocument/2006/relationships/hyperlink" Target="http://images.wespai.com/stock/104/1785.jpg" TargetMode="External"/><Relationship Id="rId89" Type="http://schemas.openxmlformats.org/officeDocument/2006/relationships/hyperlink" Target="http://images.wespai.com/stock/104/6153.jpg" TargetMode="External"/><Relationship Id="rId112" Type="http://schemas.openxmlformats.org/officeDocument/2006/relationships/hyperlink" Target="http://images.wespai.com/stock/104/3017.jpg" TargetMode="External"/><Relationship Id="rId16" Type="http://schemas.openxmlformats.org/officeDocument/2006/relationships/hyperlink" Target="http://images.wespai.com/stock/104/3234.jpg" TargetMode="External"/><Relationship Id="rId107" Type="http://schemas.openxmlformats.org/officeDocument/2006/relationships/hyperlink" Target="http://images.wespai.com/stock/104/2832.jpg" TargetMode="External"/><Relationship Id="rId11" Type="http://schemas.openxmlformats.org/officeDocument/2006/relationships/hyperlink" Target="http://images.wespai.com/stock/104/2025.jpg" TargetMode="External"/><Relationship Id="rId32" Type="http://schemas.openxmlformats.org/officeDocument/2006/relationships/hyperlink" Target="http://images.wespai.com/stock/104/2913.jpg" TargetMode="External"/><Relationship Id="rId37" Type="http://schemas.openxmlformats.org/officeDocument/2006/relationships/hyperlink" Target="http://images.wespai.com/stock/104/8299.jpg" TargetMode="External"/><Relationship Id="rId53" Type="http://schemas.openxmlformats.org/officeDocument/2006/relationships/hyperlink" Target="http://images.wespai.com/stock/104/2364.jpg" TargetMode="External"/><Relationship Id="rId58" Type="http://schemas.openxmlformats.org/officeDocument/2006/relationships/hyperlink" Target="http://images.wespai.com/stock/104/3057.jpg" TargetMode="External"/><Relationship Id="rId74" Type="http://schemas.openxmlformats.org/officeDocument/2006/relationships/hyperlink" Target="http://images.wespai.com/stock/104/3594.jpg" TargetMode="External"/><Relationship Id="rId79" Type="http://schemas.openxmlformats.org/officeDocument/2006/relationships/hyperlink" Target="http://images.wespai.com/stock/104/3054.jpg" TargetMode="External"/><Relationship Id="rId102" Type="http://schemas.openxmlformats.org/officeDocument/2006/relationships/hyperlink" Target="http://images.wespai.com/stock/104/3593.jpg" TargetMode="External"/><Relationship Id="rId123" Type="http://schemas.openxmlformats.org/officeDocument/2006/relationships/hyperlink" Target="http://images.wespai.com/stock/104/4105.jpg" TargetMode="External"/><Relationship Id="rId5" Type="http://schemas.openxmlformats.org/officeDocument/2006/relationships/hyperlink" Target="http://images.wespai.com/stock/104/1731.jpg" TargetMode="External"/><Relationship Id="rId61" Type="http://schemas.openxmlformats.org/officeDocument/2006/relationships/hyperlink" Target="http://images.wespai.com/stock/104/6126.jpg" TargetMode="External"/><Relationship Id="rId82" Type="http://schemas.openxmlformats.org/officeDocument/2006/relationships/hyperlink" Target="http://images.wespai.com/stock/104/6170.jpg" TargetMode="External"/><Relationship Id="rId90" Type="http://schemas.openxmlformats.org/officeDocument/2006/relationships/hyperlink" Target="http://images.wespai.com/stock/104/2316.jpg" TargetMode="External"/><Relationship Id="rId95" Type="http://schemas.openxmlformats.org/officeDocument/2006/relationships/hyperlink" Target="http://images.wespai.com/stock/104/1734.jpg" TargetMode="External"/><Relationship Id="rId19" Type="http://schemas.openxmlformats.org/officeDocument/2006/relationships/hyperlink" Target="http://images.wespai.com/stock/104/2885.jpg" TargetMode="External"/><Relationship Id="rId14" Type="http://schemas.openxmlformats.org/officeDocument/2006/relationships/hyperlink" Target="http://images.wespai.com/stock/104/2704.jpg" TargetMode="External"/><Relationship Id="rId22" Type="http://schemas.openxmlformats.org/officeDocument/2006/relationships/hyperlink" Target="http://images.wespai.com/stock/104/1414.jpg" TargetMode="External"/><Relationship Id="rId27" Type="http://schemas.openxmlformats.org/officeDocument/2006/relationships/hyperlink" Target="http://images.wespai.com/stock/104/2457.jpg" TargetMode="External"/><Relationship Id="rId30" Type="http://schemas.openxmlformats.org/officeDocument/2006/relationships/hyperlink" Target="http://images.wespai.com/stock/104/3059.jpg" TargetMode="External"/><Relationship Id="rId35" Type="http://schemas.openxmlformats.org/officeDocument/2006/relationships/hyperlink" Target="http://images.wespai.com/stock/104/1718.jpg" TargetMode="External"/><Relationship Id="rId43" Type="http://schemas.openxmlformats.org/officeDocument/2006/relationships/hyperlink" Target="http://images.wespai.com/stock/104/5013.jpg" TargetMode="External"/><Relationship Id="rId48" Type="http://schemas.openxmlformats.org/officeDocument/2006/relationships/hyperlink" Target="http://images.wespai.com/stock/104/3213.jpg" TargetMode="External"/><Relationship Id="rId56" Type="http://schemas.openxmlformats.org/officeDocument/2006/relationships/hyperlink" Target="http://images.wespai.com/stock/104/6190.jpg" TargetMode="External"/><Relationship Id="rId64" Type="http://schemas.openxmlformats.org/officeDocument/2006/relationships/hyperlink" Target="http://images.wespai.com/stock/104/2107.jpg" TargetMode="External"/><Relationship Id="rId69" Type="http://schemas.openxmlformats.org/officeDocument/2006/relationships/hyperlink" Target="http://images.wespai.com/stock/104/6016.jpg" TargetMode="External"/><Relationship Id="rId77" Type="http://schemas.openxmlformats.org/officeDocument/2006/relationships/hyperlink" Target="http://images.wespai.com/stock/104/2504.jpg" TargetMode="External"/><Relationship Id="rId100" Type="http://schemas.openxmlformats.org/officeDocument/2006/relationships/hyperlink" Target="http://images.wespai.com/stock/104/1103.jpg" TargetMode="External"/><Relationship Id="rId105" Type="http://schemas.openxmlformats.org/officeDocument/2006/relationships/hyperlink" Target="http://images.wespai.com/stock/104/3402.jpg" TargetMode="External"/><Relationship Id="rId113" Type="http://schemas.openxmlformats.org/officeDocument/2006/relationships/hyperlink" Target="http://images.wespai.com/stock/104/2375.jpg" TargetMode="External"/><Relationship Id="rId118" Type="http://schemas.openxmlformats.org/officeDocument/2006/relationships/hyperlink" Target="http://images.wespai.com/stock/104/6180.jpg" TargetMode="External"/><Relationship Id="rId126" Type="http://schemas.openxmlformats.org/officeDocument/2006/relationships/hyperlink" Target="http://images.wespai.com/stock/104/3313.jpg" TargetMode="External"/><Relationship Id="rId8" Type="http://schemas.openxmlformats.org/officeDocument/2006/relationships/hyperlink" Target="http://images.wespai.com/stock/104/6015.jpg" TargetMode="External"/><Relationship Id="rId51" Type="http://schemas.openxmlformats.org/officeDocument/2006/relationships/hyperlink" Target="http://images.wespai.com/stock/104/8040.jpg" TargetMode="External"/><Relationship Id="rId72" Type="http://schemas.openxmlformats.org/officeDocument/2006/relationships/hyperlink" Target="http://images.wespai.com/stock/104/3028.jpg" TargetMode="External"/><Relationship Id="rId80" Type="http://schemas.openxmlformats.org/officeDocument/2006/relationships/hyperlink" Target="http://images.wespai.com/stock/104/2371.jpg" TargetMode="External"/><Relationship Id="rId85" Type="http://schemas.openxmlformats.org/officeDocument/2006/relationships/hyperlink" Target="http://images.wespai.com/stock/104/1602.jpg" TargetMode="External"/><Relationship Id="rId93" Type="http://schemas.openxmlformats.org/officeDocument/2006/relationships/hyperlink" Target="http://images.wespai.com/stock/104/1712.jpg" TargetMode="External"/><Relationship Id="rId98" Type="http://schemas.openxmlformats.org/officeDocument/2006/relationships/hyperlink" Target="http://images.wespai.com/stock/104/9935.jpg" TargetMode="External"/><Relationship Id="rId121" Type="http://schemas.openxmlformats.org/officeDocument/2006/relationships/hyperlink" Target="http://images.wespai.com/stock/104/9911.jpg" TargetMode="External"/><Relationship Id="rId3" Type="http://schemas.openxmlformats.org/officeDocument/2006/relationships/hyperlink" Target="http://images.wespai.com/stock/104/4107.jpg" TargetMode="External"/><Relationship Id="rId12" Type="http://schemas.openxmlformats.org/officeDocument/2006/relationships/hyperlink" Target="http://images.wespai.com/stock/104/3566.jpg" TargetMode="External"/><Relationship Id="rId17" Type="http://schemas.openxmlformats.org/officeDocument/2006/relationships/hyperlink" Target="http://images.wespai.com/stock/104/8028.jpg" TargetMode="External"/><Relationship Id="rId25" Type="http://schemas.openxmlformats.org/officeDocument/2006/relationships/hyperlink" Target="http://images.wespai.com/stock/104/3023.jpg" TargetMode="External"/><Relationship Id="rId33" Type="http://schemas.openxmlformats.org/officeDocument/2006/relationships/hyperlink" Target="http://images.wespai.com/stock/104/2498.jpg" TargetMode="External"/><Relationship Id="rId38" Type="http://schemas.openxmlformats.org/officeDocument/2006/relationships/hyperlink" Target="http://images.wespai.com/stock/104/3014.jpg" TargetMode="External"/><Relationship Id="rId46" Type="http://schemas.openxmlformats.org/officeDocument/2006/relationships/hyperlink" Target="http://images.wespai.com/stock/104/5434.jpg" TargetMode="External"/><Relationship Id="rId59" Type="http://schemas.openxmlformats.org/officeDocument/2006/relationships/hyperlink" Target="http://images.wespai.com/stock/104/1909.jpg" TargetMode="External"/><Relationship Id="rId67" Type="http://schemas.openxmlformats.org/officeDocument/2006/relationships/hyperlink" Target="http://images.wespai.com/stock/104/5324.jpg" TargetMode="External"/><Relationship Id="rId103" Type="http://schemas.openxmlformats.org/officeDocument/2006/relationships/hyperlink" Target="http://images.wespai.com/stock/104/3006.jpg" TargetMode="External"/><Relationship Id="rId108" Type="http://schemas.openxmlformats.org/officeDocument/2006/relationships/hyperlink" Target="http://images.wespai.com/stock/104/5487.jpg" TargetMode="External"/><Relationship Id="rId116" Type="http://schemas.openxmlformats.org/officeDocument/2006/relationships/hyperlink" Target="http://images.wespai.com/stock/104/3376.jpg" TargetMode="External"/><Relationship Id="rId124" Type="http://schemas.openxmlformats.org/officeDocument/2006/relationships/hyperlink" Target="http://images.wespai.com/stock/104/5491.jpg" TargetMode="External"/><Relationship Id="rId20" Type="http://schemas.openxmlformats.org/officeDocument/2006/relationships/hyperlink" Target="http://images.wespai.com/stock/104/1701.jpg" TargetMode="External"/><Relationship Id="rId41" Type="http://schemas.openxmlformats.org/officeDocument/2006/relationships/hyperlink" Target="http://images.wespai.com/stock/104/5876.jpg" TargetMode="External"/><Relationship Id="rId54" Type="http://schemas.openxmlformats.org/officeDocument/2006/relationships/hyperlink" Target="http://images.wespai.com/stock/104/2419.jpg" TargetMode="External"/><Relationship Id="rId62" Type="http://schemas.openxmlformats.org/officeDocument/2006/relationships/hyperlink" Target="http://images.wespai.com/stock/104/5460.jpg" TargetMode="External"/><Relationship Id="rId70" Type="http://schemas.openxmlformats.org/officeDocument/2006/relationships/hyperlink" Target="http://images.wespai.com/stock/104/2314.jpg" TargetMode="External"/><Relationship Id="rId75" Type="http://schemas.openxmlformats.org/officeDocument/2006/relationships/hyperlink" Target="http://images.wespai.com/stock/104/5820.jpg" TargetMode="External"/><Relationship Id="rId83" Type="http://schemas.openxmlformats.org/officeDocument/2006/relationships/hyperlink" Target="http://images.wespai.com/stock/104/5484.jpg" TargetMode="External"/><Relationship Id="rId88" Type="http://schemas.openxmlformats.org/officeDocument/2006/relationships/hyperlink" Target="http://images.wespai.com/stock/104/4114.jpg" TargetMode="External"/><Relationship Id="rId91" Type="http://schemas.openxmlformats.org/officeDocument/2006/relationships/hyperlink" Target="http://images.wespai.com/stock/104/3288.jpg" TargetMode="External"/><Relationship Id="rId96" Type="http://schemas.openxmlformats.org/officeDocument/2006/relationships/hyperlink" Target="http://images.wespai.com/stock/104/2493.jpg" TargetMode="External"/><Relationship Id="rId111" Type="http://schemas.openxmlformats.org/officeDocument/2006/relationships/hyperlink" Target="http://images.wespai.com/stock/104/3095.jpg" TargetMode="External"/><Relationship Id="rId1" Type="http://schemas.openxmlformats.org/officeDocument/2006/relationships/hyperlink" Target="http://images.wespai.com/stock/104/2467.jpg" TargetMode="External"/><Relationship Id="rId6" Type="http://schemas.openxmlformats.org/officeDocument/2006/relationships/hyperlink" Target="http://images.wespai.com/stock/104/2847.jpg" TargetMode="External"/><Relationship Id="rId15" Type="http://schemas.openxmlformats.org/officeDocument/2006/relationships/hyperlink" Target="http://images.wespai.com/stock/104/8925.jpg" TargetMode="External"/><Relationship Id="rId23" Type="http://schemas.openxmlformats.org/officeDocument/2006/relationships/hyperlink" Target="http://images.wespai.com/stock/104/2332.jpg" TargetMode="External"/><Relationship Id="rId28" Type="http://schemas.openxmlformats.org/officeDocument/2006/relationships/hyperlink" Target="http://images.wespai.com/stock/104/1609.jpg" TargetMode="External"/><Relationship Id="rId36" Type="http://schemas.openxmlformats.org/officeDocument/2006/relationships/hyperlink" Target="http://images.wespai.com/stock/104/1304.jpg" TargetMode="External"/><Relationship Id="rId49" Type="http://schemas.openxmlformats.org/officeDocument/2006/relationships/hyperlink" Target="http://images.wespai.com/stock/104/1904.jpg" TargetMode="External"/><Relationship Id="rId57" Type="http://schemas.openxmlformats.org/officeDocument/2006/relationships/hyperlink" Target="http://images.wespai.com/stock/104/6188.jpg" TargetMode="External"/><Relationship Id="rId106" Type="http://schemas.openxmlformats.org/officeDocument/2006/relationships/hyperlink" Target="http://images.wespai.com/stock/104/5438.jpg" TargetMode="External"/><Relationship Id="rId114" Type="http://schemas.openxmlformats.org/officeDocument/2006/relationships/hyperlink" Target="http://images.wespai.com/stock/104/1452.jpg" TargetMode="External"/><Relationship Id="rId119" Type="http://schemas.openxmlformats.org/officeDocument/2006/relationships/hyperlink" Target="http://images.wespai.com/stock/104/8287.jpg" TargetMode="External"/><Relationship Id="rId10" Type="http://schemas.openxmlformats.org/officeDocument/2006/relationships/hyperlink" Target="http://images.wespai.com/stock/104/1613.jpg" TargetMode="External"/><Relationship Id="rId31" Type="http://schemas.openxmlformats.org/officeDocument/2006/relationships/hyperlink" Target="http://images.wespai.com/stock/104/3372.jpg" TargetMode="External"/><Relationship Id="rId44" Type="http://schemas.openxmlformats.org/officeDocument/2006/relationships/hyperlink" Target="http://images.wespai.com/stock/104/3556.jpg" TargetMode="External"/><Relationship Id="rId52" Type="http://schemas.openxmlformats.org/officeDocument/2006/relationships/hyperlink" Target="http://images.wespai.com/stock/104/1702.jpg" TargetMode="External"/><Relationship Id="rId60" Type="http://schemas.openxmlformats.org/officeDocument/2006/relationships/hyperlink" Target="http://images.wespai.com/stock/104/6198.jpg" TargetMode="External"/><Relationship Id="rId65" Type="http://schemas.openxmlformats.org/officeDocument/2006/relationships/hyperlink" Target="http://images.wespai.com/stock/104/1310.jpg" TargetMode="External"/><Relationship Id="rId73" Type="http://schemas.openxmlformats.org/officeDocument/2006/relationships/hyperlink" Target="http://images.wespai.com/stock/104/5309.jpg" TargetMode="External"/><Relationship Id="rId78" Type="http://schemas.openxmlformats.org/officeDocument/2006/relationships/hyperlink" Target="http://images.wespai.com/stock/104/2444.jpg" TargetMode="External"/><Relationship Id="rId81" Type="http://schemas.openxmlformats.org/officeDocument/2006/relationships/hyperlink" Target="http://images.wespai.com/stock/104/1312.jpg" TargetMode="External"/><Relationship Id="rId86" Type="http://schemas.openxmlformats.org/officeDocument/2006/relationships/hyperlink" Target="http://images.wespai.com/stock/104/2547.jpg" TargetMode="External"/><Relationship Id="rId94" Type="http://schemas.openxmlformats.org/officeDocument/2006/relationships/hyperlink" Target="http://images.wespai.com/stock/104/6148.jpg" TargetMode="External"/><Relationship Id="rId99" Type="http://schemas.openxmlformats.org/officeDocument/2006/relationships/hyperlink" Target="http://images.wespai.com/stock/104/2605.jpg" TargetMode="External"/><Relationship Id="rId101" Type="http://schemas.openxmlformats.org/officeDocument/2006/relationships/hyperlink" Target="http://images.wespai.com/stock/104/2506.jpg" TargetMode="External"/><Relationship Id="rId122" Type="http://schemas.openxmlformats.org/officeDocument/2006/relationships/hyperlink" Target="http://images.wespai.com/stock/104/6220.jpg" TargetMode="External"/><Relationship Id="rId4" Type="http://schemas.openxmlformats.org/officeDocument/2006/relationships/hyperlink" Target="http://images.wespai.com/stock/104/4108.jpg" TargetMode="External"/><Relationship Id="rId9" Type="http://schemas.openxmlformats.org/officeDocument/2006/relationships/hyperlink" Target="http://images.wespai.com/stock/104/1605.jpg" TargetMode="External"/><Relationship Id="rId13" Type="http://schemas.openxmlformats.org/officeDocument/2006/relationships/hyperlink" Target="http://images.wespai.com/stock/104/1466.jpg" TargetMode="External"/><Relationship Id="rId18" Type="http://schemas.openxmlformats.org/officeDocument/2006/relationships/hyperlink" Target="http://images.wespai.com/stock/104/2812.jpg" TargetMode="External"/><Relationship Id="rId39" Type="http://schemas.openxmlformats.org/officeDocument/2006/relationships/hyperlink" Target="http://images.wespai.com/stock/104/2409.jpg" TargetMode="External"/><Relationship Id="rId109" Type="http://schemas.openxmlformats.org/officeDocument/2006/relationships/hyperlink" Target="http://images.wespai.com/stock/104/6286.jpg" TargetMode="External"/><Relationship Id="rId34" Type="http://schemas.openxmlformats.org/officeDocument/2006/relationships/hyperlink" Target="http://images.wespai.com/stock/104/3058.jpg" TargetMode="External"/><Relationship Id="rId50" Type="http://schemas.openxmlformats.org/officeDocument/2006/relationships/hyperlink" Target="http://images.wespai.com/stock/104/3227.jpg" TargetMode="External"/><Relationship Id="rId55" Type="http://schemas.openxmlformats.org/officeDocument/2006/relationships/hyperlink" Target="http://images.wespai.com/stock/104/2329.jpg" TargetMode="External"/><Relationship Id="rId76" Type="http://schemas.openxmlformats.org/officeDocument/2006/relationships/hyperlink" Target="http://images.wespai.com/stock/104/8069.jpg" TargetMode="External"/><Relationship Id="rId97" Type="http://schemas.openxmlformats.org/officeDocument/2006/relationships/hyperlink" Target="http://images.wespai.com/stock/104/2614.jpg" TargetMode="External"/><Relationship Id="rId104" Type="http://schemas.openxmlformats.org/officeDocument/2006/relationships/hyperlink" Target="http://images.wespai.com/stock/104/2705.jpg" TargetMode="External"/><Relationship Id="rId120" Type="http://schemas.openxmlformats.org/officeDocument/2006/relationships/hyperlink" Target="http://images.wespai.com/stock/104/4510.jpg" TargetMode="External"/><Relationship Id="rId125" Type="http://schemas.openxmlformats.org/officeDocument/2006/relationships/hyperlink" Target="http://images.wespai.com/stock/104/1742.jpg" TargetMode="External"/><Relationship Id="rId7" Type="http://schemas.openxmlformats.org/officeDocument/2006/relationships/hyperlink" Target="http://images.wespai.com/stock/104/5315.jpg" TargetMode="External"/><Relationship Id="rId71" Type="http://schemas.openxmlformats.org/officeDocument/2006/relationships/hyperlink" Target="http://images.wespai.com/stock/104/2349.jpg" TargetMode="External"/><Relationship Id="rId92" Type="http://schemas.openxmlformats.org/officeDocument/2006/relationships/hyperlink" Target="http://images.wespai.com/stock/104/2874.jpg" TargetMode="External"/><Relationship Id="rId2" Type="http://schemas.openxmlformats.org/officeDocument/2006/relationships/image" Target="../media/image1.png"/><Relationship Id="rId29" Type="http://schemas.openxmlformats.org/officeDocument/2006/relationships/hyperlink" Target="http://images.wespai.com/stock/104/2024.jpg" TargetMode="External"/><Relationship Id="rId24" Type="http://schemas.openxmlformats.org/officeDocument/2006/relationships/hyperlink" Target="http://images.wespai.com/stock/104/2103.jpg" TargetMode="External"/><Relationship Id="rId40" Type="http://schemas.openxmlformats.org/officeDocument/2006/relationships/hyperlink" Target="http://images.wespai.com/stock/104/2421.jpg" TargetMode="External"/><Relationship Id="rId45" Type="http://schemas.openxmlformats.org/officeDocument/2006/relationships/hyperlink" Target="http://images.wespai.com/stock/104/2546.jpg" TargetMode="External"/><Relationship Id="rId66" Type="http://schemas.openxmlformats.org/officeDocument/2006/relationships/hyperlink" Target="http://images.wespai.com/stock/104/2890.jpg" TargetMode="External"/><Relationship Id="rId87" Type="http://schemas.openxmlformats.org/officeDocument/2006/relationships/hyperlink" Target="http://images.wespai.com/stock/104/5478.jpg" TargetMode="External"/><Relationship Id="rId110" Type="http://schemas.openxmlformats.org/officeDocument/2006/relationships/hyperlink" Target="http://images.wespai.com/stock/104/1210.jpg" TargetMode="External"/><Relationship Id="rId115" Type="http://schemas.openxmlformats.org/officeDocument/2006/relationships/hyperlink" Target="http://images.wespai.com/stock/104/3411.jpg" TargetMode="Externa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1</xdr:row>
      <xdr:rowOff>0</xdr:rowOff>
    </xdr:from>
    <xdr:to>
      <xdr:col>20</xdr:col>
      <xdr:colOff>144780</xdr:colOff>
      <xdr:row>1</xdr:row>
      <xdr:rowOff>144780</xdr:rowOff>
    </xdr:to>
    <xdr:pic>
      <xdr:nvPicPr>
        <xdr:cNvPr id="3" name="圖片 2" descr="志聖股東會紀念品">
          <a:hlinkClick xmlns:r="http://schemas.openxmlformats.org/officeDocument/2006/relationships" r:id="rId1" tooltip="志聖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6172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4" name="圖片 3" descr="邦特股東會紀念品">
          <a:hlinkClick xmlns:r="http://schemas.openxmlformats.org/officeDocument/2006/relationships" r:id="rId3" tooltip="邦特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6746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5" name="圖片 4" descr="懷特股東會紀念品">
          <a:hlinkClick xmlns:r="http://schemas.openxmlformats.org/officeDocument/2006/relationships" r:id="rId4" tooltip="懷特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0861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6" name="圖片 5" descr="美吾華股東會紀念品">
          <a:hlinkClick xmlns:r="http://schemas.openxmlformats.org/officeDocument/2006/relationships" r:id="rId5" tooltip="美吾華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43205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7" name="圖片 6" descr="大眾銀股東會紀念品">
          <a:hlinkClick xmlns:r="http://schemas.openxmlformats.org/officeDocument/2006/relationships" r:id="rId6" tooltip="大眾銀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47320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8" name="圖片 7" descr="光聯股東會紀念品">
          <a:hlinkClick xmlns:r="http://schemas.openxmlformats.org/officeDocument/2006/relationships" r:id="rId7" tooltip="光聯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51435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9" name="圖片 8" descr="宏遠證股東會紀念品">
          <a:hlinkClick xmlns:r="http://schemas.openxmlformats.org/officeDocument/2006/relationships" r:id="rId8" tooltip="宏遠證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84353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0" name="圖片 9" descr="華新麗華股東會紀念品">
          <a:hlinkClick xmlns:r="http://schemas.openxmlformats.org/officeDocument/2006/relationships" r:id="rId9" tooltip="華新麗華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90525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1" name="圖片 10" descr="台一股東會紀念品">
          <a:hlinkClick xmlns:r="http://schemas.openxmlformats.org/officeDocument/2006/relationships" r:id="rId10" tooltip="台一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00812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2" name="圖片 11" descr="千興股東會紀念品">
          <a:hlinkClick xmlns:r="http://schemas.openxmlformats.org/officeDocument/2006/relationships" r:id="rId11" tooltip="千興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04927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3" name="圖片 12" descr="太陽光股東會紀念品">
          <a:hlinkClick xmlns:r="http://schemas.openxmlformats.org/officeDocument/2006/relationships" r:id="rId12" tooltip="太陽光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09042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4" name="圖片 13" descr="聚隆股東會紀念品">
          <a:hlinkClick xmlns:r="http://schemas.openxmlformats.org/officeDocument/2006/relationships" r:id="rId13" tooltip="聚隆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48132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5" name="圖片 14" descr="國賓股東會紀念品">
          <a:hlinkClick xmlns:r="http://schemas.openxmlformats.org/officeDocument/2006/relationships" r:id="rId14" tooltip="國賓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62534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6" name="圖片 15" descr="偉盟股東會紀念品">
          <a:hlinkClick xmlns:r="http://schemas.openxmlformats.org/officeDocument/2006/relationships" r:id="rId15" tooltip="偉盟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87223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7" name="圖片 16" descr="光環股東會紀念品">
          <a:hlinkClick xmlns:r="http://schemas.openxmlformats.org/officeDocument/2006/relationships" r:id="rId16" tooltip="光環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95453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8" name="圖片 17" descr="昇陽半股東會紀念品">
          <a:hlinkClick xmlns:r="http://schemas.openxmlformats.org/officeDocument/2006/relationships" r:id="rId17" tooltip="昇陽半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20141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9" name="圖片 18" descr="台中銀股東會紀念品">
          <a:hlinkClick xmlns:r="http://schemas.openxmlformats.org/officeDocument/2006/relationships" r:id="rId18" tooltip="台中銀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32486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20" name="圖片 19" descr="元大金股東會紀念品">
          <a:hlinkClick xmlns:r="http://schemas.openxmlformats.org/officeDocument/2006/relationships" r:id="rId19" tooltip="元大金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36601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21" name="圖片 20" descr="中化股東會紀念品">
          <a:hlinkClick xmlns:r="http://schemas.openxmlformats.org/officeDocument/2006/relationships" r:id="rId20" tooltip="中化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44830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22" name="圖片 21" descr="邦泰股東會紀念品">
          <a:hlinkClick xmlns:r="http://schemas.openxmlformats.org/officeDocument/2006/relationships" r:id="rId21" tooltip="邦泰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51002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23" name="圖片 22" descr="東和紡股東會紀念品">
          <a:hlinkClick xmlns:r="http://schemas.openxmlformats.org/officeDocument/2006/relationships" r:id="rId22" tooltip="東和紡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59232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24" name="圖片 23" descr="友訊股東會紀念品">
          <a:hlinkClick xmlns:r="http://schemas.openxmlformats.org/officeDocument/2006/relationships" r:id="rId23" tooltip="友訊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69519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25" name="圖片 24" descr="台橡股東會紀念品">
          <a:hlinkClick xmlns:r="http://schemas.openxmlformats.org/officeDocument/2006/relationships" r:id="rId24" tooltip="台橡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81863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26" name="圖片 25" descr="信邦股東會紀念品">
          <a:hlinkClick xmlns:r="http://schemas.openxmlformats.org/officeDocument/2006/relationships" r:id="rId25" tooltip="信邦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04495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27" name="圖片 26" descr="偉詮股東會紀念品">
          <a:hlinkClick xmlns:r="http://schemas.openxmlformats.org/officeDocument/2006/relationships" r:id="rId26" tooltip="偉詮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10667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28" name="圖片 27" descr="飛宏股東會紀念品">
          <a:hlinkClick xmlns:r="http://schemas.openxmlformats.org/officeDocument/2006/relationships" r:id="rId27" tooltip="飛宏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43585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29" name="圖片 28" descr="大亞股東會紀念品">
          <a:hlinkClick xmlns:r="http://schemas.openxmlformats.org/officeDocument/2006/relationships" r:id="rId28" tooltip="大亞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68274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30" name="圖片 29" descr="志聯股東會紀念品">
          <a:hlinkClick xmlns:r="http://schemas.openxmlformats.org/officeDocument/2006/relationships" r:id="rId29" tooltip="志聯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425881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31" name="圖片 30" descr="華晶股東會紀念品">
          <a:hlinkClick xmlns:r="http://schemas.openxmlformats.org/officeDocument/2006/relationships" r:id="rId30" tooltip="華晶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442341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32" name="圖片 31" descr="典範股東會紀念品">
          <a:hlinkClick xmlns:r="http://schemas.openxmlformats.org/officeDocument/2006/relationships" r:id="rId31" tooltip="典範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458800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33" name="圖片 32" descr="農林股東會紀念品">
          <a:hlinkClick xmlns:r="http://schemas.openxmlformats.org/officeDocument/2006/relationships" r:id="rId32" tooltip="農林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462915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34" name="圖片 33" descr="宏達電股東會紀念品">
          <a:hlinkClick xmlns:r="http://schemas.openxmlformats.org/officeDocument/2006/relationships" r:id="rId33" tooltip="宏達電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483489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35" name="圖片 34" descr="立德股東會紀念品">
          <a:hlinkClick xmlns:r="http://schemas.openxmlformats.org/officeDocument/2006/relationships" r:id="rId34" tooltip="立德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493776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36" name="圖片 35" descr="中纖股東會紀念品">
          <a:hlinkClick xmlns:r="http://schemas.openxmlformats.org/officeDocument/2006/relationships" r:id="rId35" tooltip="中纖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499948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37" name="圖片 36" descr="台聚股東會紀念品">
          <a:hlinkClick xmlns:r="http://schemas.openxmlformats.org/officeDocument/2006/relationships" r:id="rId36" tooltip="台聚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514350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38" name="圖片 37" descr="群聯股東會紀念品">
          <a:hlinkClick xmlns:r="http://schemas.openxmlformats.org/officeDocument/2006/relationships" r:id="rId37" tooltip="群聯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532866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39" name="圖片 38" descr="聯陽股東會紀念品">
          <a:hlinkClick xmlns:r="http://schemas.openxmlformats.org/officeDocument/2006/relationships" r:id="rId38" tooltip="聯陽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536981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40" name="圖片 39" descr="友達股東會紀念品">
          <a:hlinkClick xmlns:r="http://schemas.openxmlformats.org/officeDocument/2006/relationships" r:id="rId39" tooltip="友達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547268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41" name="圖片 40" descr="建準股東會紀念品">
          <a:hlinkClick xmlns:r="http://schemas.openxmlformats.org/officeDocument/2006/relationships" r:id="rId40" tooltip="建準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557555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42" name="圖片 41" descr="上海銀股東會紀念品">
          <a:hlinkClick xmlns:r="http://schemas.openxmlformats.org/officeDocument/2006/relationships" r:id="rId41" tooltip="上海銀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608990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43" name="圖片 42" descr="聯電股東會紀念品">
          <a:hlinkClick xmlns:r="http://schemas.openxmlformats.org/officeDocument/2006/relationships" r:id="rId42" tooltip="聯電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641908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44" name="圖片 43" descr="強新股東會紀念品">
          <a:hlinkClick xmlns:r="http://schemas.openxmlformats.org/officeDocument/2006/relationships" r:id="rId43" tooltip="強新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658368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45" name="圖片 44" descr="禾瑞亞股東會紀念品">
          <a:hlinkClick xmlns:r="http://schemas.openxmlformats.org/officeDocument/2006/relationships" r:id="rId44" tooltip="禾瑞亞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674827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46" name="圖片 45" descr="根基股東會紀念品">
          <a:hlinkClick xmlns:r="http://schemas.openxmlformats.org/officeDocument/2006/relationships" r:id="rId45" tooltip="根基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689229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47" name="圖片 46" descr="崇越股東會紀念品">
          <a:hlinkClick xmlns:r="http://schemas.openxmlformats.org/officeDocument/2006/relationships" r:id="rId46" tooltip="崇越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701573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48" name="圖片 47" descr="瀚荃股東會紀念品">
          <a:hlinkClick xmlns:r="http://schemas.openxmlformats.org/officeDocument/2006/relationships" r:id="rId47" tooltip="瀚荃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705688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49" name="圖片 48" descr="茂訊股東會紀念品">
          <a:hlinkClick xmlns:r="http://schemas.openxmlformats.org/officeDocument/2006/relationships" r:id="rId48" tooltip="茂訊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709803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50" name="圖片 49" descr="正隆股東會紀念品">
          <a:hlinkClick xmlns:r="http://schemas.openxmlformats.org/officeDocument/2006/relationships" r:id="rId49" tooltip="正隆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755065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51" name="圖片 50" descr="原相股東會紀念品">
          <a:hlinkClick xmlns:r="http://schemas.openxmlformats.org/officeDocument/2006/relationships" r:id="rId50" tooltip="原相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765352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52" name="圖片 51" descr="九暘股東會紀念品">
          <a:hlinkClick xmlns:r="http://schemas.openxmlformats.org/officeDocument/2006/relationships" r:id="rId51" tooltip="九暘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773582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53" name="圖片 52" descr="南僑股東會紀念品">
          <a:hlinkClick xmlns:r="http://schemas.openxmlformats.org/officeDocument/2006/relationships" r:id="rId52" tooltip="南僑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827074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54" name="圖片 53" descr="倫飛股東會紀念品">
          <a:hlinkClick xmlns:r="http://schemas.openxmlformats.org/officeDocument/2006/relationships" r:id="rId53" tooltip="倫飛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859993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55" name="圖片 54" descr="仲琦股東會紀念品">
          <a:hlinkClick xmlns:r="http://schemas.openxmlformats.org/officeDocument/2006/relationships" r:id="rId54" tooltip="仲琦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876452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56" name="圖片 55" descr="華泰電股東會紀念品">
          <a:hlinkClick xmlns:r="http://schemas.openxmlformats.org/officeDocument/2006/relationships" r:id="rId55" tooltip="華泰電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880567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57" name="圖片 56" descr="萬泰科股東會紀念品">
          <a:hlinkClick xmlns:r="http://schemas.openxmlformats.org/officeDocument/2006/relationships" r:id="rId56" tooltip="萬泰科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950518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58" name="圖片 57" descr="廣明股東會紀念品">
          <a:hlinkClick xmlns:r="http://schemas.openxmlformats.org/officeDocument/2006/relationships" r:id="rId57" tooltip="廣明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964920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59" name="圖片 58" descr="喬鼎股東會紀念品">
          <a:hlinkClick xmlns:r="http://schemas.openxmlformats.org/officeDocument/2006/relationships" r:id="rId58" tooltip="喬鼎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012240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60" name="圖片 59" descr="榮成股東會紀念品">
          <a:hlinkClick xmlns:r="http://schemas.openxmlformats.org/officeDocument/2006/relationships" r:id="rId59" tooltip="榮成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016355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61" name="圖片 60" descr="凌泰股東會紀念品">
          <a:hlinkClick xmlns:r="http://schemas.openxmlformats.org/officeDocument/2006/relationships" r:id="rId60" tooltip="凌泰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030757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62" name="圖片 61" descr="信音股東會紀念品">
          <a:hlinkClick xmlns:r="http://schemas.openxmlformats.org/officeDocument/2006/relationships" r:id="rId61" tooltip="信音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047216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63" name="圖片 62" descr="同協股東會紀念品">
          <a:hlinkClick xmlns:r="http://schemas.openxmlformats.org/officeDocument/2006/relationships" r:id="rId62" tooltip="同協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053388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64" name="圖片 63" descr="富喬股東會紀念品">
          <a:hlinkClick xmlns:r="http://schemas.openxmlformats.org/officeDocument/2006/relationships" r:id="rId63" tooltip="富喬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071905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65" name="圖片 64" descr="厚生股東會紀念品">
          <a:hlinkClick xmlns:r="http://schemas.openxmlformats.org/officeDocument/2006/relationships" r:id="rId64" tooltip="厚生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092479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66" name="圖片 65" descr="台苯股東會紀念品">
          <a:hlinkClick xmlns:r="http://schemas.openxmlformats.org/officeDocument/2006/relationships" r:id="rId65" tooltip="台苯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104823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67" name="圖片 66" descr="永豐金股東會紀念品">
          <a:hlinkClick xmlns:r="http://schemas.openxmlformats.org/officeDocument/2006/relationships" r:id="rId66" tooltip="永豐金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110996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68" name="圖片 67" descr="士開股東會紀念品">
          <a:hlinkClick xmlns:r="http://schemas.openxmlformats.org/officeDocument/2006/relationships" r:id="rId67" tooltip="士開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143914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69" name="圖片 68" descr="東元股東會紀念品">
          <a:hlinkClick xmlns:r="http://schemas.openxmlformats.org/officeDocument/2006/relationships" r:id="rId68" tooltip="東元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156258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70" name="圖片 69" descr="康和證股東會紀念品">
          <a:hlinkClick xmlns:r="http://schemas.openxmlformats.org/officeDocument/2006/relationships" r:id="rId69" tooltip="康和證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164488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71" name="圖片 70" descr="台揚股東會紀念品">
          <a:hlinkClick xmlns:r="http://schemas.openxmlformats.org/officeDocument/2006/relationships" r:id="rId70" tooltip="台揚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170660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72" name="圖片 71" descr="錸德股東會紀念品">
          <a:hlinkClick xmlns:r="http://schemas.openxmlformats.org/officeDocument/2006/relationships" r:id="rId71" tooltip="錸德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197406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73" name="圖片 72" descr="增你強股東會紀念品">
          <a:hlinkClick xmlns:r="http://schemas.openxmlformats.org/officeDocument/2006/relationships" r:id="rId72" tooltip="增你強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213866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74" name="圖片 73" descr="系統股東會紀念品">
          <a:hlinkClick xmlns:r="http://schemas.openxmlformats.org/officeDocument/2006/relationships" r:id="rId73" tooltip="系統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259128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75" name="圖片 74" descr="磐儀股東會紀念品">
          <a:hlinkClick xmlns:r="http://schemas.openxmlformats.org/officeDocument/2006/relationships" r:id="rId74" tooltip="磐儀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271473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76" name="圖片 75" descr="日盛金股東會紀念品">
          <a:hlinkClick xmlns:r="http://schemas.openxmlformats.org/officeDocument/2006/relationships" r:id="rId75" tooltip="日盛金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298219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77" name="圖片 76" descr="元太股東會紀念品">
          <a:hlinkClick xmlns:r="http://schemas.openxmlformats.org/officeDocument/2006/relationships" r:id="rId76" tooltip="元太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308506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78" name="圖片 77" descr="國產股東會紀念品">
          <a:hlinkClick xmlns:r="http://schemas.openxmlformats.org/officeDocument/2006/relationships" r:id="rId77" tooltip="國產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316736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79" name="圖片 78" descr="友旺股東會紀念品">
          <a:hlinkClick xmlns:r="http://schemas.openxmlformats.org/officeDocument/2006/relationships" r:id="rId78" tooltip="友旺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333195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80" name="圖片 79" descr="萬國股東會紀念品">
          <a:hlinkClick xmlns:r="http://schemas.openxmlformats.org/officeDocument/2006/relationships" r:id="rId79" tooltip="萬國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364056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81" name="圖片 80" descr="大同股東會紀念品">
          <a:hlinkClick xmlns:r="http://schemas.openxmlformats.org/officeDocument/2006/relationships" r:id="rId80" tooltip="大同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368171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82" name="圖片 81" descr="國喬股東會紀念品">
          <a:hlinkClick xmlns:r="http://schemas.openxmlformats.org/officeDocument/2006/relationships" r:id="rId81" tooltip="國喬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396974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83" name="圖片 82" descr="統振股東會紀念品">
          <a:hlinkClick xmlns:r="http://schemas.openxmlformats.org/officeDocument/2006/relationships" r:id="rId82" tooltip="統振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403146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84" name="圖片 83" descr="慧友股東會紀念品">
          <a:hlinkClick xmlns:r="http://schemas.openxmlformats.org/officeDocument/2006/relationships" r:id="rId83" tooltip="慧友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421663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85" name="圖片 84" descr="光洋科股東會紀念品">
          <a:hlinkClick xmlns:r="http://schemas.openxmlformats.org/officeDocument/2006/relationships" r:id="rId84" tooltip="光洋科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448409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86" name="圖片 85" descr="太電股東會紀念品">
          <a:hlinkClick xmlns:r="http://schemas.openxmlformats.org/officeDocument/2006/relationships" r:id="rId85" tooltip="太電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473098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87" name="圖片 86" descr="日勝生股東會紀念品">
          <a:hlinkClick xmlns:r="http://schemas.openxmlformats.org/officeDocument/2006/relationships" r:id="rId86" tooltip="日勝生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489557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88" name="圖片 87" descr="智冠股東會紀念品">
          <a:hlinkClick xmlns:r="http://schemas.openxmlformats.org/officeDocument/2006/relationships" r:id="rId87" tooltip="智冠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571853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89" name="圖片 88" descr="健喬股東會紀念品">
          <a:hlinkClick xmlns:r="http://schemas.openxmlformats.org/officeDocument/2006/relationships" r:id="rId88" tooltip="健喬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578025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90" name="圖片 89" descr="嘉聯益股東會紀念品">
          <a:hlinkClick xmlns:r="http://schemas.openxmlformats.org/officeDocument/2006/relationships" r:id="rId89" tooltip="嘉聯益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685010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91" name="圖片 90" descr="楠梓電股東會紀念品">
          <a:hlinkClick xmlns:r="http://schemas.openxmlformats.org/officeDocument/2006/relationships" r:id="rId90" tooltip="楠梓電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697355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92" name="圖片 91" descr="點晶股東會紀念品">
          <a:hlinkClick xmlns:r="http://schemas.openxmlformats.org/officeDocument/2006/relationships" r:id="rId91" tooltip="點晶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709699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93" name="圖片 92" descr="萬通票券股東會紀念品">
          <a:hlinkClick xmlns:r="http://schemas.openxmlformats.org/officeDocument/2006/relationships" r:id="rId92" tooltip="萬通票券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791995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94" name="圖片 93" descr="興農股東會紀念品">
          <a:hlinkClick xmlns:r="http://schemas.openxmlformats.org/officeDocument/2006/relationships" r:id="rId93" tooltip="興農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831086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95" name="圖片 94" descr="驊宏資股東會紀念品">
          <a:hlinkClick xmlns:r="http://schemas.openxmlformats.org/officeDocument/2006/relationships" r:id="rId94" tooltip="驊宏資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876348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96" name="圖片 95" descr="杏輝股東會紀念品">
          <a:hlinkClick xmlns:r="http://schemas.openxmlformats.org/officeDocument/2006/relationships" r:id="rId95" tooltip="杏輝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933956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97" name="圖片 96" descr="揚博股東會紀念品">
          <a:hlinkClick xmlns:r="http://schemas.openxmlformats.org/officeDocument/2006/relationships" r:id="rId96" tooltip="揚博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956587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98" name="圖片 97" descr="東森股東會紀念品">
          <a:hlinkClick xmlns:r="http://schemas.openxmlformats.org/officeDocument/2006/relationships" r:id="rId97" tooltip="東森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1960702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99" name="圖片 98" descr="慶豐富股東會紀念品">
          <a:hlinkClick xmlns:r="http://schemas.openxmlformats.org/officeDocument/2006/relationships" r:id="rId98" tooltip="慶豐富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012137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00" name="圖片 99" descr="新興股東會紀念品">
          <a:hlinkClick xmlns:r="http://schemas.openxmlformats.org/officeDocument/2006/relationships" r:id="rId99" tooltip="新興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047113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01" name="圖片 100" descr="嘉泥股東會紀念品">
          <a:hlinkClick xmlns:r="http://schemas.openxmlformats.org/officeDocument/2006/relationships" r:id="rId100" tooltip="嘉泥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065629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02" name="圖片 101" descr="太設股東會紀念品">
          <a:hlinkClick xmlns:r="http://schemas.openxmlformats.org/officeDocument/2006/relationships" r:id="rId101" tooltip="太設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182901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03" name="圖片 102" descr="力銘股東會紀念品">
          <a:hlinkClick xmlns:r="http://schemas.openxmlformats.org/officeDocument/2006/relationships" r:id="rId102" tooltip="力銘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386584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04" name="圖片 103" descr="晶豪科股東會紀念品">
          <a:hlinkClick xmlns:r="http://schemas.openxmlformats.org/officeDocument/2006/relationships" r:id="rId103" tooltip="晶豪科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419502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05" name="圖片 104" descr="六福股東會紀念品">
          <a:hlinkClick xmlns:r="http://schemas.openxmlformats.org/officeDocument/2006/relationships" r:id="rId104" tooltip="六福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497683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06" name="圖片 105" descr="漢科股東會紀念品">
          <a:hlinkClick xmlns:r="http://schemas.openxmlformats.org/officeDocument/2006/relationships" r:id="rId105" tooltip="漢科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619070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07" name="圖片 106" descr="東友股東會紀念品">
          <a:hlinkClick xmlns:r="http://schemas.openxmlformats.org/officeDocument/2006/relationships" r:id="rId106" tooltip="東友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726055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08" name="圖片 107" descr="台產股東會紀念品">
          <a:hlinkClick xmlns:r="http://schemas.openxmlformats.org/officeDocument/2006/relationships" r:id="rId107" tooltip="台產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814523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09" name="圖片 108" descr="通泰股東會紀念品">
          <a:hlinkClick xmlns:r="http://schemas.openxmlformats.org/officeDocument/2006/relationships" r:id="rId108" tooltip="通泰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872130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10" name="圖片 109" descr="立錡股東會紀念品">
          <a:hlinkClick xmlns:r="http://schemas.openxmlformats.org/officeDocument/2006/relationships" r:id="rId109" tooltip="立錡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905048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11" name="圖片 110" descr="大成股東會紀念品">
          <a:hlinkClick xmlns:r="http://schemas.openxmlformats.org/officeDocument/2006/relationships" r:id="rId110" tooltip="大成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923565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12" name="圖片 111" descr="及成股東會紀念品">
          <a:hlinkClick xmlns:r="http://schemas.openxmlformats.org/officeDocument/2006/relationships" r:id="rId111" tooltip="及成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944139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13" name="圖片 112" descr="奇鋐股東會紀念品">
          <a:hlinkClick xmlns:r="http://schemas.openxmlformats.org/officeDocument/2006/relationships" r:id="rId112" tooltip="奇鋐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956483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14" name="圖片 113" descr="智寶股東會紀念品">
          <a:hlinkClick xmlns:r="http://schemas.openxmlformats.org/officeDocument/2006/relationships" r:id="rId113" tooltip="智寶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964713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15" name="圖片 114" descr="宏益纖股東會紀念品">
          <a:hlinkClick xmlns:r="http://schemas.openxmlformats.org/officeDocument/2006/relationships" r:id="rId114" tooltip="宏益纖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2985287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16" name="圖片 115" descr="宜揚股東會紀念品">
          <a:hlinkClick xmlns:r="http://schemas.openxmlformats.org/officeDocument/2006/relationships" r:id="rId115" tooltip="宜揚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061411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17" name="圖片 116" descr="新日興股東會紀念品">
          <a:hlinkClick xmlns:r="http://schemas.openxmlformats.org/officeDocument/2006/relationships" r:id="rId116" tooltip="新日興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079927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18" name="圖片 117" descr="中天股東會紀念品">
          <a:hlinkClick xmlns:r="http://schemas.openxmlformats.org/officeDocument/2006/relationships" r:id="rId117" tooltip="中天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092272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19" name="圖片 118" descr="橘子股東會紀念品">
          <a:hlinkClick xmlns:r="http://schemas.openxmlformats.org/officeDocument/2006/relationships" r:id="rId118" tooltip="橘子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110788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20" name="圖片 119" descr="英格爾股東會紀念品">
          <a:hlinkClick xmlns:r="http://schemas.openxmlformats.org/officeDocument/2006/relationships" r:id="rId119" tooltip="英格爾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1313628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21" name="圖片 120" descr="高鋒股東會紀念品">
          <a:hlinkClick xmlns:r="http://schemas.openxmlformats.org/officeDocument/2006/relationships" r:id="rId120" tooltip="高鋒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186912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22" name="圖片 121" descr="櫻花股東會紀念品">
          <a:hlinkClick xmlns:r="http://schemas.openxmlformats.org/officeDocument/2006/relationships" r:id="rId121" tooltip="櫻花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191027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23" name="圖片 122" descr="岳豐股東會紀念品">
          <a:hlinkClick xmlns:r="http://schemas.openxmlformats.org/officeDocument/2006/relationships" r:id="rId122" tooltip="岳豐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267151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24" name="圖片 123" descr="東洋股東會紀念品">
          <a:hlinkClick xmlns:r="http://schemas.openxmlformats.org/officeDocument/2006/relationships" r:id="rId123" tooltip="東洋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283610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25" name="圖片 124" descr="連展股東會紀念品">
          <a:hlinkClick xmlns:r="http://schemas.openxmlformats.org/officeDocument/2006/relationships" r:id="rId124" tooltip="連展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3535620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26" name="圖片 125" descr="台蠟股東會紀念品">
          <a:hlinkClick xmlns:r="http://schemas.openxmlformats.org/officeDocument/2006/relationships" r:id="rId125" tooltip="台蠟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372078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20</xdr:col>
      <xdr:colOff>144780</xdr:colOff>
      <xdr:row>1</xdr:row>
      <xdr:rowOff>144780</xdr:rowOff>
    </xdr:to>
    <xdr:pic>
      <xdr:nvPicPr>
        <xdr:cNvPr id="127" name="圖片 126" descr="力晶股東會紀念品"/>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0" y="34235136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480060</xdr:colOff>
      <xdr:row>2</xdr:row>
      <xdr:rowOff>137160</xdr:rowOff>
    </xdr:from>
    <xdr:to>
      <xdr:col>21</xdr:col>
      <xdr:colOff>15240</xdr:colOff>
      <xdr:row>3</xdr:row>
      <xdr:rowOff>76200</xdr:rowOff>
    </xdr:to>
    <xdr:pic>
      <xdr:nvPicPr>
        <xdr:cNvPr id="128" name="圖片 127" descr="斐成股東會紀念品">
          <a:hlinkClick xmlns:r="http://schemas.openxmlformats.org/officeDocument/2006/relationships" r:id="rId126" tooltip="斐成股東會紀念品(圖片僅供參考您實際領到的不一定一樣)"/>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72060" y="96012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198120</xdr:colOff>
      <xdr:row>4</xdr:row>
      <xdr:rowOff>190500</xdr:rowOff>
    </xdr:from>
    <xdr:to>
      <xdr:col>22</xdr:col>
      <xdr:colOff>342900</xdr:colOff>
      <xdr:row>5</xdr:row>
      <xdr:rowOff>129540</xdr:rowOff>
    </xdr:to>
    <xdr:pic>
      <xdr:nvPicPr>
        <xdr:cNvPr id="129" name="圖片 128" descr="大榮股東會紀念品"/>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09320" y="14249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2"/>
  <sheetViews>
    <sheetView tabSelected="1" topLeftCell="A10" workbookViewId="0">
      <selection activeCell="A21" sqref="A21:XFD21"/>
    </sheetView>
  </sheetViews>
  <sheetFormatPr defaultRowHeight="16.2" x14ac:dyDescent="0.3"/>
  <cols>
    <col min="10" max="10" width="8.88671875" style="5"/>
  </cols>
  <sheetData>
    <row r="1" spans="1:23" ht="48.6" x14ac:dyDescent="0.3">
      <c r="A1" s="1" t="s">
        <v>369</v>
      </c>
      <c r="B1" s="1" t="s">
        <v>370</v>
      </c>
      <c r="C1" s="1" t="s">
        <v>371</v>
      </c>
      <c r="D1" s="1" t="s">
        <v>372</v>
      </c>
      <c r="E1" s="1" t="s">
        <v>373</v>
      </c>
      <c r="F1" s="1" t="s">
        <v>374</v>
      </c>
      <c r="G1" s="1" t="s">
        <v>375</v>
      </c>
      <c r="H1" s="1" t="s">
        <v>376</v>
      </c>
      <c r="I1" s="1" t="s">
        <v>377</v>
      </c>
      <c r="J1" s="4" t="s">
        <v>378</v>
      </c>
      <c r="K1" s="1" t="s">
        <v>379</v>
      </c>
      <c r="L1" s="1" t="s">
        <v>380</v>
      </c>
      <c r="M1" s="1" t="s">
        <v>381</v>
      </c>
      <c r="N1" s="1" t="s">
        <v>382</v>
      </c>
      <c r="O1" s="1" t="s">
        <v>383</v>
      </c>
      <c r="P1" s="1" t="s">
        <v>384</v>
      </c>
      <c r="Q1" s="1" t="s">
        <v>385</v>
      </c>
      <c r="R1" s="1" t="s">
        <v>386</v>
      </c>
      <c r="S1" s="1" t="s">
        <v>387</v>
      </c>
      <c r="T1" s="1" t="s">
        <v>388</v>
      </c>
      <c r="U1" s="1" t="s">
        <v>389</v>
      </c>
      <c r="V1" s="1" t="s">
        <v>4689</v>
      </c>
      <c r="W1" s="1" t="s">
        <v>4688</v>
      </c>
    </row>
    <row r="2" spans="1:23" x14ac:dyDescent="0.3">
      <c r="A2">
        <v>1</v>
      </c>
      <c r="B2">
        <v>1711</v>
      </c>
      <c r="C2" t="s">
        <v>5438</v>
      </c>
      <c r="D2">
        <v>21.4</v>
      </c>
      <c r="E2" t="s">
        <v>5439</v>
      </c>
      <c r="J2" s="5">
        <v>6.15</v>
      </c>
      <c r="K2" t="s">
        <v>5440</v>
      </c>
      <c r="L2">
        <v>4.13</v>
      </c>
      <c r="M2" t="s">
        <v>5441</v>
      </c>
      <c r="N2" t="s">
        <v>37</v>
      </c>
      <c r="O2" t="s">
        <v>2</v>
      </c>
      <c r="R2" t="s">
        <v>5442</v>
      </c>
      <c r="T2" s="3">
        <v>42382</v>
      </c>
      <c r="V2" t="e">
        <f>MATCH(B2,address!A:A,0)</f>
        <v>#N/A</v>
      </c>
      <c r="W2" t="e">
        <f>INDEX(address!E:E,V2)</f>
        <v>#N/A</v>
      </c>
    </row>
    <row r="3" spans="1:23" x14ac:dyDescent="0.3">
      <c r="A3">
        <v>2</v>
      </c>
      <c r="B3">
        <v>6289</v>
      </c>
      <c r="C3" t="s">
        <v>5443</v>
      </c>
      <c r="D3">
        <v>1.17</v>
      </c>
      <c r="E3" t="s">
        <v>5444</v>
      </c>
      <c r="F3">
        <v>4.12</v>
      </c>
      <c r="G3">
        <v>4.12</v>
      </c>
      <c r="H3" t="s">
        <v>5445</v>
      </c>
      <c r="I3" t="s">
        <v>5446</v>
      </c>
      <c r="J3" s="5">
        <v>4.1100000000000003</v>
      </c>
      <c r="K3" t="s">
        <v>5447</v>
      </c>
      <c r="L3">
        <v>2.0299999999999998</v>
      </c>
      <c r="M3" t="s">
        <v>12</v>
      </c>
      <c r="N3" t="s">
        <v>5448</v>
      </c>
      <c r="O3" t="s">
        <v>41</v>
      </c>
      <c r="Q3">
        <v>1</v>
      </c>
      <c r="R3" t="s">
        <v>5442</v>
      </c>
      <c r="T3" s="3">
        <v>42445</v>
      </c>
    </row>
    <row r="4" spans="1:23" x14ac:dyDescent="0.3">
      <c r="A4">
        <v>3</v>
      </c>
      <c r="B4">
        <v>4107</v>
      </c>
      <c r="C4" t="s">
        <v>5449</v>
      </c>
      <c r="D4">
        <v>160.5</v>
      </c>
      <c r="E4" t="s">
        <v>5450</v>
      </c>
      <c r="F4">
        <v>4.12</v>
      </c>
      <c r="G4">
        <v>4.22</v>
      </c>
      <c r="I4" t="s">
        <v>5451</v>
      </c>
      <c r="J4" s="5">
        <v>5.12</v>
      </c>
      <c r="K4" t="s">
        <v>5452</v>
      </c>
      <c r="L4">
        <v>3.09</v>
      </c>
      <c r="M4" t="s">
        <v>3</v>
      </c>
      <c r="N4" t="s">
        <v>4</v>
      </c>
      <c r="O4" t="s">
        <v>2</v>
      </c>
      <c r="Q4" t="s">
        <v>5453</v>
      </c>
      <c r="R4" t="s">
        <v>5454</v>
      </c>
      <c r="T4" s="3">
        <v>42466</v>
      </c>
    </row>
    <row r="5" spans="1:23" x14ac:dyDescent="0.3">
      <c r="A5">
        <v>4</v>
      </c>
      <c r="B5">
        <v>6129</v>
      </c>
      <c r="C5" t="s">
        <v>5455</v>
      </c>
      <c r="D5">
        <v>7.24</v>
      </c>
      <c r="E5" t="s">
        <v>5456</v>
      </c>
      <c r="J5" s="5">
        <v>6.08</v>
      </c>
      <c r="K5" t="s">
        <v>5447</v>
      </c>
      <c r="L5">
        <v>4.0599999999999996</v>
      </c>
      <c r="M5" t="s">
        <v>5457</v>
      </c>
      <c r="N5" t="s">
        <v>10</v>
      </c>
      <c r="O5" t="s">
        <v>2</v>
      </c>
      <c r="R5" t="s">
        <v>5442</v>
      </c>
      <c r="T5" s="3">
        <v>42424</v>
      </c>
    </row>
    <row r="6" spans="1:23" x14ac:dyDescent="0.3">
      <c r="A6">
        <v>5</v>
      </c>
      <c r="B6">
        <v>2883</v>
      </c>
      <c r="C6" t="s">
        <v>144</v>
      </c>
      <c r="D6">
        <v>8.41</v>
      </c>
      <c r="E6" t="s">
        <v>5458</v>
      </c>
      <c r="F6">
        <v>5.1100000000000003</v>
      </c>
      <c r="G6">
        <v>5.16</v>
      </c>
      <c r="H6" t="s">
        <v>5459</v>
      </c>
      <c r="I6" t="s">
        <v>5460</v>
      </c>
      <c r="J6" s="5">
        <v>5.16</v>
      </c>
      <c r="K6" t="s">
        <v>5440</v>
      </c>
      <c r="L6">
        <v>3.15</v>
      </c>
      <c r="M6" t="s">
        <v>5457</v>
      </c>
      <c r="N6" t="s">
        <v>10</v>
      </c>
      <c r="O6" t="s">
        <v>41</v>
      </c>
      <c r="Q6">
        <v>1</v>
      </c>
      <c r="R6" t="s">
        <v>5442</v>
      </c>
      <c r="T6" s="3">
        <v>42475</v>
      </c>
      <c r="U6" t="s">
        <v>5992</v>
      </c>
    </row>
    <row r="7" spans="1:23" x14ac:dyDescent="0.3">
      <c r="A7">
        <v>6</v>
      </c>
      <c r="B7">
        <v>5315</v>
      </c>
      <c r="C7" t="s">
        <v>5461</v>
      </c>
      <c r="D7">
        <v>29.6</v>
      </c>
      <c r="E7" t="s">
        <v>5462</v>
      </c>
      <c r="J7" s="5">
        <v>5.19</v>
      </c>
      <c r="K7" t="s">
        <v>5463</v>
      </c>
      <c r="L7">
        <v>3.16</v>
      </c>
      <c r="M7" t="s">
        <v>5464</v>
      </c>
      <c r="N7" t="s">
        <v>6</v>
      </c>
      <c r="O7" t="s">
        <v>2</v>
      </c>
      <c r="R7" t="s">
        <v>5442</v>
      </c>
      <c r="T7" s="3">
        <v>42474</v>
      </c>
      <c r="U7" t="s">
        <v>5993</v>
      </c>
    </row>
    <row r="8" spans="1:23" x14ac:dyDescent="0.3">
      <c r="A8">
        <v>7</v>
      </c>
      <c r="B8">
        <v>8074</v>
      </c>
      <c r="C8" t="s">
        <v>5465</v>
      </c>
      <c r="D8">
        <v>25.5</v>
      </c>
      <c r="E8" t="s">
        <v>5456</v>
      </c>
      <c r="F8">
        <v>5.17</v>
      </c>
      <c r="G8">
        <v>5.18</v>
      </c>
      <c r="H8" t="s">
        <v>5466</v>
      </c>
      <c r="J8" s="5">
        <v>5.18</v>
      </c>
      <c r="K8" t="s">
        <v>5467</v>
      </c>
      <c r="L8">
        <v>3.16</v>
      </c>
      <c r="M8" t="s">
        <v>5468</v>
      </c>
      <c r="N8" t="s">
        <v>20</v>
      </c>
      <c r="O8" t="s">
        <v>2</v>
      </c>
      <c r="Q8">
        <v>1</v>
      </c>
      <c r="R8" t="s">
        <v>5442</v>
      </c>
      <c r="T8" s="3">
        <v>42444</v>
      </c>
    </row>
    <row r="9" spans="1:23" x14ac:dyDescent="0.3">
      <c r="A9">
        <v>8</v>
      </c>
      <c r="B9">
        <v>4939</v>
      </c>
      <c r="C9" t="s">
        <v>39</v>
      </c>
      <c r="D9">
        <v>7.2</v>
      </c>
      <c r="E9" t="s">
        <v>5456</v>
      </c>
      <c r="J9" s="5">
        <v>5.19</v>
      </c>
      <c r="K9" t="s">
        <v>5469</v>
      </c>
      <c r="L9">
        <v>3.16</v>
      </c>
      <c r="M9" t="s">
        <v>5470</v>
      </c>
      <c r="N9" t="s">
        <v>5471</v>
      </c>
      <c r="O9" t="s">
        <v>2</v>
      </c>
      <c r="R9" t="s">
        <v>5442</v>
      </c>
      <c r="T9" s="3">
        <v>42431</v>
      </c>
    </row>
    <row r="10" spans="1:23" x14ac:dyDescent="0.3">
      <c r="A10">
        <v>9</v>
      </c>
      <c r="B10">
        <v>3455</v>
      </c>
      <c r="C10" t="s">
        <v>346</v>
      </c>
      <c r="D10">
        <v>35.049999999999997</v>
      </c>
      <c r="E10" t="s">
        <v>5456</v>
      </c>
      <c r="J10" s="5">
        <v>6.07</v>
      </c>
      <c r="K10" t="s">
        <v>5447</v>
      </c>
      <c r="L10">
        <v>4.0599999999999996</v>
      </c>
      <c r="M10" t="s">
        <v>5472</v>
      </c>
      <c r="N10" t="s">
        <v>34</v>
      </c>
      <c r="O10" t="s">
        <v>2</v>
      </c>
      <c r="R10" t="s">
        <v>5442</v>
      </c>
      <c r="T10" s="3">
        <v>42432</v>
      </c>
    </row>
    <row r="11" spans="1:23" x14ac:dyDescent="0.3">
      <c r="A11">
        <v>10</v>
      </c>
      <c r="B11">
        <v>3438</v>
      </c>
      <c r="C11" t="s">
        <v>5473</v>
      </c>
      <c r="D11">
        <v>22.7</v>
      </c>
      <c r="E11" t="s">
        <v>5474</v>
      </c>
      <c r="F11">
        <v>4.25</v>
      </c>
      <c r="G11">
        <v>4.28</v>
      </c>
      <c r="H11" t="s">
        <v>5475</v>
      </c>
      <c r="I11" t="s">
        <v>5476</v>
      </c>
      <c r="J11" s="5">
        <v>4.29</v>
      </c>
      <c r="K11" t="s">
        <v>5440</v>
      </c>
      <c r="L11">
        <v>2.25</v>
      </c>
      <c r="M11" t="s">
        <v>5477</v>
      </c>
      <c r="N11" t="s">
        <v>48</v>
      </c>
      <c r="O11" t="s">
        <v>2</v>
      </c>
      <c r="Q11">
        <v>1</v>
      </c>
      <c r="R11" t="s">
        <v>5478</v>
      </c>
      <c r="T11" s="3">
        <v>42474</v>
      </c>
      <c r="U11" t="s">
        <v>5994</v>
      </c>
    </row>
    <row r="12" spans="1:23" x14ac:dyDescent="0.3">
      <c r="A12">
        <v>11</v>
      </c>
      <c r="B12">
        <v>1452</v>
      </c>
      <c r="C12" t="s">
        <v>5479</v>
      </c>
      <c r="D12">
        <v>22.1</v>
      </c>
      <c r="E12" t="s">
        <v>5480</v>
      </c>
      <c r="J12" s="5">
        <v>6.17</v>
      </c>
      <c r="K12" t="s">
        <v>5481</v>
      </c>
      <c r="L12">
        <v>4.1399999999999997</v>
      </c>
      <c r="M12" t="s">
        <v>5482</v>
      </c>
      <c r="N12" t="s">
        <v>14</v>
      </c>
      <c r="O12" t="s">
        <v>2</v>
      </c>
      <c r="R12" t="s">
        <v>5442</v>
      </c>
      <c r="T12" s="3">
        <v>42436</v>
      </c>
    </row>
    <row r="13" spans="1:23" x14ac:dyDescent="0.3">
      <c r="A13">
        <v>12</v>
      </c>
      <c r="B13">
        <v>1708</v>
      </c>
      <c r="C13" t="s">
        <v>0</v>
      </c>
      <c r="D13">
        <v>29.3</v>
      </c>
      <c r="E13" t="s">
        <v>5483</v>
      </c>
      <c r="J13" s="5">
        <v>5.24</v>
      </c>
      <c r="K13" t="s">
        <v>5452</v>
      </c>
      <c r="L13">
        <v>3.23</v>
      </c>
      <c r="M13" t="s">
        <v>5484</v>
      </c>
      <c r="N13" t="s">
        <v>1</v>
      </c>
      <c r="O13" t="s">
        <v>2</v>
      </c>
      <c r="R13" t="s">
        <v>5442</v>
      </c>
      <c r="T13" s="3">
        <v>42436</v>
      </c>
    </row>
    <row r="14" spans="1:23" x14ac:dyDescent="0.3">
      <c r="A14">
        <v>13</v>
      </c>
      <c r="B14">
        <v>3291</v>
      </c>
      <c r="C14" t="s">
        <v>299</v>
      </c>
      <c r="D14">
        <v>15.9</v>
      </c>
      <c r="E14" t="s">
        <v>5485</v>
      </c>
      <c r="F14">
        <v>4.25</v>
      </c>
      <c r="G14">
        <v>4.28</v>
      </c>
      <c r="H14" t="s">
        <v>5475</v>
      </c>
      <c r="I14" t="s">
        <v>5486</v>
      </c>
      <c r="J14" s="5">
        <v>4.29</v>
      </c>
      <c r="K14" t="s">
        <v>5469</v>
      </c>
      <c r="L14">
        <v>2.2400000000000002</v>
      </c>
      <c r="M14" t="s">
        <v>5477</v>
      </c>
      <c r="N14" t="s">
        <v>48</v>
      </c>
      <c r="O14" t="s">
        <v>2</v>
      </c>
      <c r="Q14">
        <v>1</v>
      </c>
      <c r="R14" t="s">
        <v>5454</v>
      </c>
      <c r="T14" s="3">
        <v>42462</v>
      </c>
    </row>
    <row r="15" spans="1:23" x14ac:dyDescent="0.3">
      <c r="A15">
        <v>14</v>
      </c>
      <c r="B15">
        <v>2823</v>
      </c>
      <c r="C15" t="s">
        <v>181</v>
      </c>
      <c r="D15">
        <v>24.55</v>
      </c>
      <c r="E15" t="s">
        <v>5487</v>
      </c>
      <c r="J15" s="5">
        <v>5.31</v>
      </c>
      <c r="K15" t="s">
        <v>5440</v>
      </c>
      <c r="L15">
        <v>3.3</v>
      </c>
      <c r="M15" t="s">
        <v>5484</v>
      </c>
      <c r="N15" t="s">
        <v>1</v>
      </c>
      <c r="O15" t="s">
        <v>41</v>
      </c>
      <c r="R15" t="s">
        <v>5442</v>
      </c>
      <c r="T15" s="3">
        <v>42471</v>
      </c>
    </row>
    <row r="16" spans="1:23" x14ac:dyDescent="0.3">
      <c r="A16">
        <v>15</v>
      </c>
      <c r="B16">
        <v>1701</v>
      </c>
      <c r="C16" t="s">
        <v>43</v>
      </c>
      <c r="D16">
        <v>19</v>
      </c>
      <c r="E16" t="s">
        <v>5488</v>
      </c>
      <c r="J16" s="5">
        <v>5.27</v>
      </c>
      <c r="K16" t="s">
        <v>5440</v>
      </c>
      <c r="L16">
        <v>3.24</v>
      </c>
      <c r="M16" t="s">
        <v>5457</v>
      </c>
      <c r="N16" t="s">
        <v>10</v>
      </c>
      <c r="O16" t="s">
        <v>2</v>
      </c>
      <c r="R16" t="s">
        <v>5478</v>
      </c>
      <c r="T16" s="3">
        <v>42438</v>
      </c>
    </row>
    <row r="17" spans="1:20" x14ac:dyDescent="0.3">
      <c r="A17">
        <v>16</v>
      </c>
      <c r="B17">
        <v>2462</v>
      </c>
      <c r="C17" t="s">
        <v>5489</v>
      </c>
      <c r="D17">
        <v>17.649999999999999</v>
      </c>
      <c r="E17" t="s">
        <v>5490</v>
      </c>
      <c r="J17" s="5">
        <v>5.27</v>
      </c>
      <c r="K17" t="s">
        <v>5447</v>
      </c>
      <c r="L17">
        <v>3.24</v>
      </c>
      <c r="M17" t="s">
        <v>3</v>
      </c>
      <c r="N17" t="s">
        <v>4</v>
      </c>
      <c r="O17" t="s">
        <v>2</v>
      </c>
      <c r="R17" t="s">
        <v>5442</v>
      </c>
      <c r="T17" s="3">
        <v>42468</v>
      </c>
    </row>
    <row r="18" spans="1:20" x14ac:dyDescent="0.3">
      <c r="A18">
        <v>17</v>
      </c>
      <c r="B18">
        <v>6239</v>
      </c>
      <c r="C18" t="s">
        <v>238</v>
      </c>
      <c r="D18">
        <v>72.5</v>
      </c>
      <c r="E18" t="s">
        <v>5456</v>
      </c>
      <c r="J18" s="5">
        <v>5.27</v>
      </c>
      <c r="K18" t="s">
        <v>5469</v>
      </c>
      <c r="L18">
        <v>3.24</v>
      </c>
      <c r="M18" t="s">
        <v>5491</v>
      </c>
      <c r="N18" t="s">
        <v>122</v>
      </c>
      <c r="O18" t="s">
        <v>2</v>
      </c>
      <c r="R18" t="s">
        <v>5442</v>
      </c>
      <c r="T18" s="3">
        <v>42438</v>
      </c>
    </row>
    <row r="19" spans="1:20" x14ac:dyDescent="0.3">
      <c r="A19">
        <v>18</v>
      </c>
      <c r="B19">
        <v>1466</v>
      </c>
      <c r="C19" t="s">
        <v>29</v>
      </c>
      <c r="D19">
        <v>13.7</v>
      </c>
      <c r="E19" t="s">
        <v>5492</v>
      </c>
      <c r="J19" s="5">
        <v>5.27</v>
      </c>
      <c r="K19" t="s">
        <v>5493</v>
      </c>
      <c r="L19">
        <v>3.24</v>
      </c>
      <c r="M19" t="s">
        <v>5457</v>
      </c>
      <c r="N19" t="s">
        <v>10</v>
      </c>
      <c r="O19" t="s">
        <v>2</v>
      </c>
      <c r="R19" t="s">
        <v>5442</v>
      </c>
      <c r="T19" s="3">
        <v>42439</v>
      </c>
    </row>
    <row r="20" spans="1:20" x14ac:dyDescent="0.3">
      <c r="A20">
        <v>19</v>
      </c>
      <c r="B20">
        <v>2465</v>
      </c>
      <c r="C20" t="s">
        <v>5494</v>
      </c>
      <c r="D20">
        <v>9.92</v>
      </c>
      <c r="E20" t="s">
        <v>5495</v>
      </c>
      <c r="J20" s="5">
        <v>6.03</v>
      </c>
      <c r="K20" t="s">
        <v>5447</v>
      </c>
      <c r="L20">
        <v>3.3</v>
      </c>
      <c r="M20" t="s">
        <v>5496</v>
      </c>
      <c r="N20" t="s">
        <v>26</v>
      </c>
      <c r="O20" t="s">
        <v>2</v>
      </c>
      <c r="R20" t="s">
        <v>5442</v>
      </c>
      <c r="T20" s="3">
        <v>42439</v>
      </c>
    </row>
    <row r="21" spans="1:20" x14ac:dyDescent="0.3">
      <c r="A21">
        <v>20</v>
      </c>
      <c r="B21">
        <v>6257</v>
      </c>
      <c r="C21" t="s">
        <v>56</v>
      </c>
      <c r="D21">
        <v>24.65</v>
      </c>
      <c r="E21" t="s">
        <v>5444</v>
      </c>
      <c r="J21" s="6" t="s">
        <v>7263</v>
      </c>
      <c r="K21" t="s">
        <v>5469</v>
      </c>
      <c r="L21">
        <v>4.1900000000000004</v>
      </c>
      <c r="M21" t="s">
        <v>5457</v>
      </c>
      <c r="N21" t="s">
        <v>10</v>
      </c>
      <c r="O21" t="s">
        <v>2</v>
      </c>
      <c r="R21" t="s">
        <v>5442</v>
      </c>
      <c r="T21" s="3">
        <v>42453</v>
      </c>
    </row>
    <row r="22" spans="1:20" x14ac:dyDescent="0.3">
      <c r="A22">
        <v>21</v>
      </c>
      <c r="B22">
        <v>2812</v>
      </c>
      <c r="C22" t="s">
        <v>5497</v>
      </c>
      <c r="D22">
        <v>9.35</v>
      </c>
      <c r="E22" t="s">
        <v>5498</v>
      </c>
      <c r="J22" s="5">
        <v>6.21</v>
      </c>
      <c r="K22" t="s">
        <v>5463</v>
      </c>
      <c r="L22">
        <v>4.2</v>
      </c>
      <c r="M22" t="s">
        <v>12</v>
      </c>
      <c r="N22" t="s">
        <v>5499</v>
      </c>
      <c r="O22" t="s">
        <v>41</v>
      </c>
      <c r="R22" t="s">
        <v>5442</v>
      </c>
      <c r="T22" s="3">
        <v>42439</v>
      </c>
    </row>
    <row r="23" spans="1:20" x14ac:dyDescent="0.3">
      <c r="A23">
        <v>22</v>
      </c>
      <c r="B23">
        <v>3257</v>
      </c>
      <c r="C23" t="s">
        <v>88</v>
      </c>
      <c r="D23">
        <v>40.200000000000003</v>
      </c>
      <c r="E23" t="s">
        <v>5500</v>
      </c>
      <c r="J23" s="6" t="s">
        <v>7263</v>
      </c>
      <c r="K23" t="s">
        <v>5469</v>
      </c>
      <c r="L23">
        <v>4.1900000000000004</v>
      </c>
      <c r="M23" t="s">
        <v>5496</v>
      </c>
      <c r="N23" t="s">
        <v>26</v>
      </c>
      <c r="O23" t="s">
        <v>2</v>
      </c>
      <c r="R23" t="s">
        <v>5442</v>
      </c>
      <c r="T23" s="3">
        <v>42439</v>
      </c>
    </row>
    <row r="24" spans="1:20" x14ac:dyDescent="0.3">
      <c r="A24">
        <v>23</v>
      </c>
      <c r="B24">
        <v>3023</v>
      </c>
      <c r="C24" t="s">
        <v>5501</v>
      </c>
      <c r="D24">
        <v>64.3</v>
      </c>
      <c r="E24" t="s">
        <v>5502</v>
      </c>
      <c r="J24" s="5">
        <v>6.17</v>
      </c>
      <c r="K24" t="s">
        <v>5503</v>
      </c>
      <c r="L24">
        <v>4.1399999999999997</v>
      </c>
      <c r="M24" t="s">
        <v>5496</v>
      </c>
      <c r="N24" t="s">
        <v>26</v>
      </c>
      <c r="O24" t="s">
        <v>2</v>
      </c>
      <c r="R24" t="s">
        <v>5442</v>
      </c>
      <c r="T24" s="3">
        <v>42440</v>
      </c>
    </row>
    <row r="25" spans="1:20" x14ac:dyDescent="0.3">
      <c r="A25">
        <v>24</v>
      </c>
      <c r="B25">
        <v>3303</v>
      </c>
      <c r="C25" t="s">
        <v>176</v>
      </c>
      <c r="D25">
        <v>22.3</v>
      </c>
      <c r="E25" t="s">
        <v>5504</v>
      </c>
      <c r="J25" s="5">
        <v>6.21</v>
      </c>
      <c r="K25" t="s">
        <v>5467</v>
      </c>
      <c r="L25">
        <v>4.2</v>
      </c>
      <c r="M25" t="s">
        <v>5470</v>
      </c>
      <c r="N25" t="s">
        <v>5471</v>
      </c>
      <c r="O25" t="s">
        <v>2</v>
      </c>
      <c r="R25" t="s">
        <v>5454</v>
      </c>
      <c r="T25" s="3">
        <v>42440</v>
      </c>
    </row>
    <row r="26" spans="1:20" x14ac:dyDescent="0.3">
      <c r="A26">
        <v>25</v>
      </c>
      <c r="B26">
        <v>2409</v>
      </c>
      <c r="C26" t="s">
        <v>72</v>
      </c>
      <c r="D26">
        <v>9.98</v>
      </c>
      <c r="E26" t="s">
        <v>5505</v>
      </c>
      <c r="J26" s="5">
        <v>6.16</v>
      </c>
      <c r="K26" t="s">
        <v>5463</v>
      </c>
      <c r="L26">
        <v>4.13</v>
      </c>
      <c r="M26" t="s">
        <v>5496</v>
      </c>
      <c r="N26" t="s">
        <v>26</v>
      </c>
      <c r="O26" t="s">
        <v>2</v>
      </c>
      <c r="R26" t="s">
        <v>5478</v>
      </c>
      <c r="T26" s="3">
        <v>42440</v>
      </c>
    </row>
    <row r="27" spans="1:20" x14ac:dyDescent="0.3">
      <c r="A27">
        <v>26</v>
      </c>
      <c r="B27">
        <v>1762</v>
      </c>
      <c r="C27" t="s">
        <v>87</v>
      </c>
      <c r="D27">
        <v>36.5</v>
      </c>
      <c r="E27" t="s">
        <v>5506</v>
      </c>
      <c r="J27" s="5">
        <v>5.31</v>
      </c>
      <c r="K27" t="s">
        <v>5440</v>
      </c>
      <c r="L27">
        <v>3.3</v>
      </c>
      <c r="M27" t="s">
        <v>50</v>
      </c>
      <c r="N27" t="s">
        <v>51</v>
      </c>
      <c r="O27" t="s">
        <v>2</v>
      </c>
      <c r="R27" t="s">
        <v>5478</v>
      </c>
      <c r="T27" s="3">
        <v>42440</v>
      </c>
    </row>
    <row r="28" spans="1:20" x14ac:dyDescent="0.3">
      <c r="A28">
        <v>27</v>
      </c>
      <c r="B28">
        <v>4131</v>
      </c>
      <c r="C28" t="s">
        <v>5507</v>
      </c>
      <c r="D28">
        <v>8.9</v>
      </c>
      <c r="E28" t="s">
        <v>5508</v>
      </c>
      <c r="J28" s="5">
        <v>5.27</v>
      </c>
      <c r="K28" t="s">
        <v>5503</v>
      </c>
      <c r="L28">
        <v>3.24</v>
      </c>
      <c r="M28" t="s">
        <v>50</v>
      </c>
      <c r="N28" t="s">
        <v>51</v>
      </c>
      <c r="O28" t="s">
        <v>2</v>
      </c>
      <c r="R28" t="s">
        <v>5442</v>
      </c>
      <c r="T28" s="3">
        <v>42443</v>
      </c>
    </row>
    <row r="29" spans="1:20" x14ac:dyDescent="0.3">
      <c r="A29">
        <v>28</v>
      </c>
      <c r="B29">
        <v>8271</v>
      </c>
      <c r="C29" t="s">
        <v>5509</v>
      </c>
      <c r="D29">
        <v>21.9</v>
      </c>
      <c r="E29" t="s">
        <v>5510</v>
      </c>
      <c r="J29" s="5">
        <v>6.03</v>
      </c>
      <c r="K29" t="s">
        <v>5447</v>
      </c>
      <c r="L29">
        <v>3.3</v>
      </c>
      <c r="M29" t="s">
        <v>5457</v>
      </c>
      <c r="N29" t="s">
        <v>10</v>
      </c>
      <c r="O29" t="s">
        <v>2</v>
      </c>
      <c r="R29" t="s">
        <v>5442</v>
      </c>
      <c r="T29" s="3">
        <v>42443</v>
      </c>
    </row>
    <row r="30" spans="1:20" x14ac:dyDescent="0.3">
      <c r="A30">
        <v>29</v>
      </c>
      <c r="B30">
        <v>3034</v>
      </c>
      <c r="C30" t="s">
        <v>27</v>
      </c>
      <c r="D30">
        <v>115.5</v>
      </c>
      <c r="E30" t="s">
        <v>5456</v>
      </c>
      <c r="J30" s="5">
        <v>6.08</v>
      </c>
      <c r="K30" t="s">
        <v>5469</v>
      </c>
      <c r="L30">
        <v>4.0599999999999996</v>
      </c>
      <c r="M30" t="s">
        <v>16</v>
      </c>
      <c r="N30" t="s">
        <v>17</v>
      </c>
      <c r="O30" t="s">
        <v>2</v>
      </c>
      <c r="R30" t="s">
        <v>5442</v>
      </c>
      <c r="T30" s="3">
        <v>42444</v>
      </c>
    </row>
    <row r="31" spans="1:20" x14ac:dyDescent="0.3">
      <c r="A31">
        <v>30</v>
      </c>
      <c r="B31">
        <v>2530</v>
      </c>
      <c r="C31" t="s">
        <v>158</v>
      </c>
      <c r="D31">
        <v>17.7</v>
      </c>
      <c r="E31" t="s">
        <v>5500</v>
      </c>
      <c r="J31" s="5">
        <v>5.31</v>
      </c>
      <c r="K31" t="s">
        <v>5440</v>
      </c>
      <c r="L31">
        <v>3.3</v>
      </c>
      <c r="M31" t="s">
        <v>5484</v>
      </c>
      <c r="N31" t="s">
        <v>1</v>
      </c>
      <c r="O31" t="s">
        <v>2</v>
      </c>
      <c r="R31" t="s">
        <v>5442</v>
      </c>
      <c r="T31" s="3">
        <v>42444</v>
      </c>
    </row>
    <row r="32" spans="1:20" x14ac:dyDescent="0.3">
      <c r="A32">
        <v>31</v>
      </c>
      <c r="B32">
        <v>3632</v>
      </c>
      <c r="C32" t="s">
        <v>46</v>
      </c>
      <c r="D32">
        <v>25.5</v>
      </c>
      <c r="E32" t="s">
        <v>5511</v>
      </c>
      <c r="J32" s="5">
        <v>5.31</v>
      </c>
      <c r="K32" t="s">
        <v>5440</v>
      </c>
      <c r="L32">
        <v>3.3</v>
      </c>
      <c r="M32" t="s">
        <v>5496</v>
      </c>
      <c r="N32" t="s">
        <v>26</v>
      </c>
      <c r="O32" t="s">
        <v>2</v>
      </c>
      <c r="R32" t="s">
        <v>5442</v>
      </c>
      <c r="T32" s="3">
        <v>42444</v>
      </c>
    </row>
    <row r="33" spans="1:20" x14ac:dyDescent="0.3">
      <c r="A33">
        <v>32</v>
      </c>
      <c r="B33">
        <v>8935</v>
      </c>
      <c r="C33" t="s">
        <v>44</v>
      </c>
      <c r="D33">
        <v>6.3</v>
      </c>
      <c r="E33" t="s">
        <v>5512</v>
      </c>
      <c r="J33" s="5">
        <v>6.02</v>
      </c>
      <c r="K33" t="s">
        <v>5463</v>
      </c>
      <c r="L33">
        <v>3.3</v>
      </c>
      <c r="M33" t="s">
        <v>5482</v>
      </c>
      <c r="N33" t="s">
        <v>14</v>
      </c>
      <c r="O33" t="s">
        <v>2</v>
      </c>
      <c r="R33" t="s">
        <v>5454</v>
      </c>
      <c r="T33" s="3">
        <v>42444</v>
      </c>
    </row>
    <row r="34" spans="1:20" x14ac:dyDescent="0.3">
      <c r="A34">
        <v>33</v>
      </c>
      <c r="B34">
        <v>6142</v>
      </c>
      <c r="C34" t="s">
        <v>5513</v>
      </c>
      <c r="D34">
        <v>5.53</v>
      </c>
      <c r="E34" t="s">
        <v>5514</v>
      </c>
      <c r="J34" s="5">
        <v>6.17</v>
      </c>
      <c r="K34" t="s">
        <v>5440</v>
      </c>
      <c r="L34">
        <v>4.1399999999999997</v>
      </c>
      <c r="M34" t="s">
        <v>16</v>
      </c>
      <c r="N34" t="s">
        <v>17</v>
      </c>
      <c r="O34" t="s">
        <v>2</v>
      </c>
      <c r="R34" t="s">
        <v>5442</v>
      </c>
      <c r="T34" s="3">
        <v>42444</v>
      </c>
    </row>
    <row r="35" spans="1:20" x14ac:dyDescent="0.3">
      <c r="A35">
        <v>34</v>
      </c>
      <c r="B35">
        <v>3305</v>
      </c>
      <c r="C35" t="s">
        <v>5515</v>
      </c>
      <c r="D35">
        <v>23.55</v>
      </c>
      <c r="E35" t="s">
        <v>5516</v>
      </c>
      <c r="J35" s="5">
        <v>6.07</v>
      </c>
      <c r="K35" t="s">
        <v>5481</v>
      </c>
      <c r="L35">
        <v>4.0599999999999996</v>
      </c>
      <c r="M35" t="s">
        <v>5457</v>
      </c>
      <c r="N35" t="s">
        <v>10</v>
      </c>
      <c r="O35" t="s">
        <v>2</v>
      </c>
      <c r="R35" t="s">
        <v>5478</v>
      </c>
      <c r="T35" s="3">
        <v>42444</v>
      </c>
    </row>
    <row r="36" spans="1:20" x14ac:dyDescent="0.3">
      <c r="A36">
        <v>35</v>
      </c>
      <c r="B36">
        <v>6443</v>
      </c>
      <c r="C36" t="s">
        <v>4521</v>
      </c>
      <c r="D36">
        <v>14.95</v>
      </c>
      <c r="E36" t="s">
        <v>5456</v>
      </c>
      <c r="F36">
        <v>5.04</v>
      </c>
      <c r="G36">
        <v>5.09</v>
      </c>
      <c r="H36" t="s">
        <v>5517</v>
      </c>
      <c r="I36" t="s">
        <v>5518</v>
      </c>
      <c r="J36" s="5">
        <v>5.09</v>
      </c>
      <c r="K36" t="s">
        <v>5469</v>
      </c>
      <c r="L36">
        <v>3.08</v>
      </c>
      <c r="M36" t="s">
        <v>5519</v>
      </c>
      <c r="N36" t="s">
        <v>140</v>
      </c>
      <c r="O36" t="s">
        <v>2</v>
      </c>
      <c r="Q36">
        <v>1</v>
      </c>
      <c r="R36" t="s">
        <v>5454</v>
      </c>
      <c r="T36" s="3">
        <v>42469</v>
      </c>
    </row>
    <row r="37" spans="1:20" x14ac:dyDescent="0.3">
      <c r="A37">
        <v>36</v>
      </c>
      <c r="B37">
        <v>2365</v>
      </c>
      <c r="C37" t="s">
        <v>5520</v>
      </c>
      <c r="D37">
        <v>9.99</v>
      </c>
      <c r="E37" t="s">
        <v>5521</v>
      </c>
      <c r="J37" s="5">
        <v>6.06</v>
      </c>
      <c r="K37" t="s">
        <v>5447</v>
      </c>
      <c r="L37">
        <v>4.01</v>
      </c>
      <c r="M37" t="s">
        <v>5441</v>
      </c>
      <c r="N37" t="s">
        <v>37</v>
      </c>
      <c r="O37" t="s">
        <v>2</v>
      </c>
      <c r="R37" t="s">
        <v>5454</v>
      </c>
      <c r="T37" s="3">
        <v>42444</v>
      </c>
    </row>
    <row r="38" spans="1:20" x14ac:dyDescent="0.3">
      <c r="A38">
        <v>37</v>
      </c>
      <c r="B38">
        <v>2421</v>
      </c>
      <c r="C38" t="s">
        <v>5522</v>
      </c>
      <c r="D38">
        <v>24.75</v>
      </c>
      <c r="E38" t="s">
        <v>5523</v>
      </c>
      <c r="J38" s="5">
        <v>6.03</v>
      </c>
      <c r="K38" t="s">
        <v>5524</v>
      </c>
      <c r="L38">
        <v>3.3</v>
      </c>
      <c r="M38" t="s">
        <v>5470</v>
      </c>
      <c r="N38" t="s">
        <v>5471</v>
      </c>
      <c r="O38" t="s">
        <v>2</v>
      </c>
      <c r="R38" t="s">
        <v>5442</v>
      </c>
      <c r="T38" s="3">
        <v>42445</v>
      </c>
    </row>
    <row r="39" spans="1:20" x14ac:dyDescent="0.3">
      <c r="A39">
        <v>38</v>
      </c>
      <c r="B39">
        <v>3686</v>
      </c>
      <c r="C39" t="s">
        <v>173</v>
      </c>
      <c r="D39">
        <v>8.4600000000000009</v>
      </c>
      <c r="E39" t="s">
        <v>5525</v>
      </c>
      <c r="J39" s="5">
        <v>5.31</v>
      </c>
      <c r="K39" t="s">
        <v>5481</v>
      </c>
      <c r="L39">
        <v>3.3</v>
      </c>
      <c r="M39" t="s">
        <v>5484</v>
      </c>
      <c r="N39" t="s">
        <v>1</v>
      </c>
      <c r="O39" t="s">
        <v>2</v>
      </c>
      <c r="R39" t="s">
        <v>5442</v>
      </c>
      <c r="T39" s="3">
        <v>42445</v>
      </c>
    </row>
    <row r="40" spans="1:20" x14ac:dyDescent="0.3">
      <c r="A40">
        <v>39</v>
      </c>
      <c r="B40">
        <v>5701</v>
      </c>
      <c r="C40" t="s">
        <v>100</v>
      </c>
      <c r="D40">
        <v>2.95</v>
      </c>
      <c r="E40" t="s">
        <v>5526</v>
      </c>
      <c r="J40" s="5">
        <v>6.03</v>
      </c>
      <c r="K40" t="s">
        <v>5527</v>
      </c>
      <c r="L40">
        <v>3.3</v>
      </c>
      <c r="M40" t="s">
        <v>5482</v>
      </c>
      <c r="N40" t="s">
        <v>14</v>
      </c>
      <c r="O40" t="s">
        <v>2</v>
      </c>
      <c r="R40" t="s">
        <v>5442</v>
      </c>
      <c r="T40" s="3">
        <v>42445</v>
      </c>
    </row>
    <row r="41" spans="1:20" x14ac:dyDescent="0.3">
      <c r="A41">
        <v>40</v>
      </c>
      <c r="B41">
        <v>4147</v>
      </c>
      <c r="C41" t="s">
        <v>5528</v>
      </c>
      <c r="D41">
        <v>204.5</v>
      </c>
      <c r="E41" t="s">
        <v>5444</v>
      </c>
      <c r="J41" s="5">
        <v>6.02</v>
      </c>
      <c r="K41" t="s">
        <v>5440</v>
      </c>
      <c r="L41">
        <v>3.3</v>
      </c>
      <c r="M41" t="s">
        <v>5472</v>
      </c>
      <c r="N41" t="s">
        <v>34</v>
      </c>
      <c r="O41" t="s">
        <v>2</v>
      </c>
      <c r="R41" t="s">
        <v>5478</v>
      </c>
      <c r="T41" s="3">
        <v>42445</v>
      </c>
    </row>
    <row r="42" spans="1:20" x14ac:dyDescent="0.3">
      <c r="A42">
        <v>41</v>
      </c>
      <c r="B42">
        <v>2024</v>
      </c>
      <c r="C42" t="s">
        <v>5529</v>
      </c>
      <c r="D42">
        <v>7.42</v>
      </c>
      <c r="E42" t="s">
        <v>5530</v>
      </c>
      <c r="J42" s="5">
        <v>6.03</v>
      </c>
      <c r="K42" t="s">
        <v>5481</v>
      </c>
      <c r="L42">
        <v>3.3</v>
      </c>
      <c r="M42" t="s">
        <v>5482</v>
      </c>
      <c r="N42" t="s">
        <v>14</v>
      </c>
      <c r="O42" t="s">
        <v>2</v>
      </c>
      <c r="R42" t="s">
        <v>5442</v>
      </c>
      <c r="T42" s="3">
        <v>42445</v>
      </c>
    </row>
    <row r="43" spans="1:20" x14ac:dyDescent="0.3">
      <c r="A43">
        <v>42</v>
      </c>
      <c r="B43">
        <v>2449</v>
      </c>
      <c r="C43" t="s">
        <v>133</v>
      </c>
      <c r="D43">
        <v>27.05</v>
      </c>
      <c r="E43" t="s">
        <v>5531</v>
      </c>
      <c r="J43" s="5">
        <v>6.08</v>
      </c>
      <c r="K43" t="s">
        <v>5503</v>
      </c>
      <c r="L43">
        <v>4.0599999999999996</v>
      </c>
      <c r="M43" t="s">
        <v>16</v>
      </c>
      <c r="N43" t="s">
        <v>17</v>
      </c>
      <c r="O43" t="s">
        <v>2</v>
      </c>
      <c r="R43" t="s">
        <v>5442</v>
      </c>
      <c r="T43" s="3">
        <v>42445</v>
      </c>
    </row>
    <row r="44" spans="1:20" x14ac:dyDescent="0.3">
      <c r="A44">
        <v>43</v>
      </c>
      <c r="B44">
        <v>2448</v>
      </c>
      <c r="C44" t="s">
        <v>59</v>
      </c>
      <c r="D44">
        <v>22.65</v>
      </c>
      <c r="E44" t="s">
        <v>5532</v>
      </c>
      <c r="J44" s="5">
        <v>6.17</v>
      </c>
      <c r="K44" t="s">
        <v>5469</v>
      </c>
      <c r="L44">
        <v>4.1399999999999997</v>
      </c>
      <c r="M44" t="s">
        <v>16</v>
      </c>
      <c r="N44" t="s">
        <v>17</v>
      </c>
      <c r="O44" t="s">
        <v>2</v>
      </c>
      <c r="R44" t="s">
        <v>5478</v>
      </c>
      <c r="T44" s="3">
        <v>42445</v>
      </c>
    </row>
    <row r="45" spans="1:20" x14ac:dyDescent="0.3">
      <c r="A45">
        <v>44</v>
      </c>
      <c r="B45">
        <v>1609</v>
      </c>
      <c r="C45" t="s">
        <v>5533</v>
      </c>
      <c r="D45">
        <v>4.67</v>
      </c>
      <c r="E45" t="s">
        <v>5500</v>
      </c>
      <c r="J45" s="5">
        <v>6.08</v>
      </c>
      <c r="K45" t="s">
        <v>5467</v>
      </c>
      <c r="L45">
        <v>4.0599999999999996</v>
      </c>
      <c r="M45" t="s">
        <v>5457</v>
      </c>
      <c r="N45" t="s">
        <v>10</v>
      </c>
      <c r="O45" t="s">
        <v>2</v>
      </c>
      <c r="R45" t="s">
        <v>5442</v>
      </c>
      <c r="T45" s="3">
        <v>42445</v>
      </c>
    </row>
    <row r="46" spans="1:20" x14ac:dyDescent="0.3">
      <c r="A46">
        <v>45</v>
      </c>
      <c r="B46">
        <v>2375</v>
      </c>
      <c r="C46" t="s">
        <v>301</v>
      </c>
      <c r="D46">
        <v>12.6</v>
      </c>
      <c r="E46" t="s">
        <v>5534</v>
      </c>
      <c r="J46" s="5">
        <v>6.03</v>
      </c>
      <c r="K46" t="s">
        <v>5447</v>
      </c>
      <c r="L46">
        <v>3.3</v>
      </c>
      <c r="M46" t="s">
        <v>5472</v>
      </c>
      <c r="N46" t="s">
        <v>34</v>
      </c>
      <c r="O46" t="s">
        <v>2</v>
      </c>
      <c r="R46" t="s">
        <v>5454</v>
      </c>
      <c r="T46" s="3">
        <v>42445</v>
      </c>
    </row>
    <row r="47" spans="1:20" x14ac:dyDescent="0.3">
      <c r="A47">
        <v>46</v>
      </c>
      <c r="B47">
        <v>8086</v>
      </c>
      <c r="C47" t="s">
        <v>5535</v>
      </c>
      <c r="D47">
        <v>61.2</v>
      </c>
      <c r="E47" t="s">
        <v>5536</v>
      </c>
      <c r="J47" s="5">
        <v>6.07</v>
      </c>
      <c r="K47" t="s">
        <v>5467</v>
      </c>
      <c r="L47">
        <v>4.0599999999999996</v>
      </c>
      <c r="M47" t="s">
        <v>50</v>
      </c>
      <c r="N47" t="s">
        <v>51</v>
      </c>
      <c r="O47" t="s">
        <v>2</v>
      </c>
      <c r="R47" t="s">
        <v>5478</v>
      </c>
      <c r="T47" s="3">
        <v>42472</v>
      </c>
    </row>
    <row r="48" spans="1:20" x14ac:dyDescent="0.3">
      <c r="A48">
        <v>47</v>
      </c>
      <c r="B48">
        <v>3264</v>
      </c>
      <c r="C48" t="s">
        <v>5537</v>
      </c>
      <c r="D48">
        <v>21.15</v>
      </c>
      <c r="E48" t="s">
        <v>5538</v>
      </c>
      <c r="J48" s="5">
        <v>6.28</v>
      </c>
      <c r="K48" t="s">
        <v>5469</v>
      </c>
      <c r="L48">
        <v>4.2699999999999996</v>
      </c>
      <c r="M48" t="s">
        <v>5484</v>
      </c>
      <c r="N48" t="s">
        <v>1</v>
      </c>
      <c r="O48" t="s">
        <v>2</v>
      </c>
      <c r="R48" t="s">
        <v>5454</v>
      </c>
      <c r="T48" s="3">
        <v>42445</v>
      </c>
    </row>
    <row r="49" spans="1:20" x14ac:dyDescent="0.3">
      <c r="A49">
        <v>48</v>
      </c>
      <c r="B49">
        <v>1414</v>
      </c>
      <c r="C49" t="s">
        <v>5539</v>
      </c>
      <c r="D49">
        <v>6.04</v>
      </c>
      <c r="E49" t="s">
        <v>5540</v>
      </c>
      <c r="J49" s="5">
        <v>6.08</v>
      </c>
      <c r="K49" t="s">
        <v>5440</v>
      </c>
      <c r="L49">
        <v>4.0599999999999996</v>
      </c>
      <c r="M49" t="s">
        <v>5484</v>
      </c>
      <c r="N49" t="s">
        <v>1</v>
      </c>
      <c r="O49" t="s">
        <v>2</v>
      </c>
      <c r="R49" t="s">
        <v>5454</v>
      </c>
      <c r="T49" s="3">
        <v>42445</v>
      </c>
    </row>
    <row r="50" spans="1:20" x14ac:dyDescent="0.3">
      <c r="A50">
        <v>49</v>
      </c>
      <c r="B50">
        <v>3289</v>
      </c>
      <c r="C50" t="s">
        <v>5541</v>
      </c>
      <c r="D50">
        <v>125</v>
      </c>
      <c r="E50" t="s">
        <v>5542</v>
      </c>
      <c r="J50" s="5">
        <v>6.14</v>
      </c>
      <c r="K50" t="s">
        <v>5469</v>
      </c>
      <c r="L50">
        <v>4.13</v>
      </c>
      <c r="M50" t="s">
        <v>5441</v>
      </c>
      <c r="N50" t="s">
        <v>37</v>
      </c>
      <c r="O50" t="s">
        <v>2</v>
      </c>
      <c r="R50" t="s">
        <v>5442</v>
      </c>
      <c r="T50" s="3">
        <v>42446</v>
      </c>
    </row>
    <row r="51" spans="1:20" x14ac:dyDescent="0.3">
      <c r="A51">
        <v>50</v>
      </c>
      <c r="B51">
        <v>2636</v>
      </c>
      <c r="C51" t="s">
        <v>5543</v>
      </c>
      <c r="D51">
        <v>26.7</v>
      </c>
      <c r="E51" t="s">
        <v>5544</v>
      </c>
      <c r="J51" s="5">
        <v>5.31</v>
      </c>
      <c r="K51" t="s">
        <v>5440</v>
      </c>
      <c r="L51">
        <v>3.3</v>
      </c>
      <c r="M51" t="s">
        <v>5482</v>
      </c>
      <c r="N51" t="s">
        <v>14</v>
      </c>
      <c r="O51" t="s">
        <v>2</v>
      </c>
      <c r="R51" t="s">
        <v>5454</v>
      </c>
      <c r="T51" s="3">
        <v>42446</v>
      </c>
    </row>
    <row r="52" spans="1:20" x14ac:dyDescent="0.3">
      <c r="A52">
        <v>51</v>
      </c>
      <c r="B52">
        <v>6151</v>
      </c>
      <c r="C52" t="s">
        <v>5545</v>
      </c>
      <c r="D52">
        <v>27.45</v>
      </c>
      <c r="E52" t="s">
        <v>5546</v>
      </c>
      <c r="J52" s="5">
        <v>5.24</v>
      </c>
      <c r="K52" t="s">
        <v>5481</v>
      </c>
      <c r="L52">
        <v>3.23</v>
      </c>
      <c r="M52" t="s">
        <v>3</v>
      </c>
      <c r="N52" t="s">
        <v>4</v>
      </c>
      <c r="O52" t="s">
        <v>2</v>
      </c>
      <c r="R52" t="s">
        <v>5454</v>
      </c>
      <c r="T52" s="3">
        <v>42446</v>
      </c>
    </row>
    <row r="53" spans="1:20" x14ac:dyDescent="0.3">
      <c r="A53">
        <v>52</v>
      </c>
      <c r="B53">
        <v>1236</v>
      </c>
      <c r="C53" t="s">
        <v>5547</v>
      </c>
      <c r="D53">
        <v>20.6</v>
      </c>
      <c r="E53" t="s">
        <v>5548</v>
      </c>
      <c r="J53" s="5">
        <v>6.22</v>
      </c>
      <c r="K53" t="s">
        <v>5481</v>
      </c>
      <c r="L53">
        <v>4.2</v>
      </c>
      <c r="M53" t="s">
        <v>5482</v>
      </c>
      <c r="N53" t="s">
        <v>14</v>
      </c>
      <c r="O53" t="s">
        <v>41</v>
      </c>
      <c r="R53" t="s">
        <v>5454</v>
      </c>
      <c r="T53" s="3">
        <v>42446</v>
      </c>
    </row>
    <row r="54" spans="1:20" x14ac:dyDescent="0.3">
      <c r="A54">
        <v>53</v>
      </c>
      <c r="B54">
        <v>6213</v>
      </c>
      <c r="C54" t="s">
        <v>97</v>
      </c>
      <c r="D54">
        <v>27.9</v>
      </c>
      <c r="E54" t="s">
        <v>5549</v>
      </c>
      <c r="J54" s="5">
        <v>6.15</v>
      </c>
      <c r="K54" t="s">
        <v>5469</v>
      </c>
      <c r="L54">
        <v>4.13</v>
      </c>
      <c r="M54" t="s">
        <v>5482</v>
      </c>
      <c r="N54" t="s">
        <v>14</v>
      </c>
      <c r="O54" t="s">
        <v>2</v>
      </c>
      <c r="R54" t="s">
        <v>5442</v>
      </c>
      <c r="T54" s="3">
        <v>42446</v>
      </c>
    </row>
    <row r="55" spans="1:20" x14ac:dyDescent="0.3">
      <c r="A55">
        <v>54</v>
      </c>
      <c r="B55">
        <v>1702</v>
      </c>
      <c r="C55" t="s">
        <v>5550</v>
      </c>
      <c r="D55">
        <v>62.1</v>
      </c>
      <c r="E55" t="s">
        <v>5551</v>
      </c>
      <c r="J55" s="5">
        <v>6.08</v>
      </c>
      <c r="K55" t="s">
        <v>5440</v>
      </c>
      <c r="L55">
        <v>4.0599999999999996</v>
      </c>
      <c r="M55" t="s">
        <v>5484</v>
      </c>
      <c r="N55" t="s">
        <v>1</v>
      </c>
      <c r="O55" t="s">
        <v>2</v>
      </c>
      <c r="R55" t="s">
        <v>5552</v>
      </c>
      <c r="T55" s="3">
        <v>42446</v>
      </c>
    </row>
    <row r="56" spans="1:20" x14ac:dyDescent="0.3">
      <c r="A56">
        <v>55</v>
      </c>
      <c r="B56">
        <v>2369</v>
      </c>
      <c r="C56" t="s">
        <v>75</v>
      </c>
      <c r="D56">
        <v>8.94</v>
      </c>
      <c r="E56" t="s">
        <v>5553</v>
      </c>
      <c r="J56" s="5">
        <v>6.15</v>
      </c>
      <c r="K56" t="s">
        <v>5463</v>
      </c>
      <c r="L56">
        <v>4.13</v>
      </c>
      <c r="M56" t="s">
        <v>5484</v>
      </c>
      <c r="N56" t="s">
        <v>1</v>
      </c>
      <c r="O56" t="s">
        <v>2</v>
      </c>
      <c r="R56" t="s">
        <v>5478</v>
      </c>
      <c r="T56" s="3">
        <v>42446</v>
      </c>
    </row>
    <row r="57" spans="1:20" x14ac:dyDescent="0.3">
      <c r="A57">
        <v>56</v>
      </c>
      <c r="B57">
        <v>3042</v>
      </c>
      <c r="C57" t="s">
        <v>187</v>
      </c>
      <c r="D57">
        <v>43</v>
      </c>
      <c r="E57" t="s">
        <v>5554</v>
      </c>
      <c r="J57" s="5">
        <v>6.07</v>
      </c>
      <c r="K57" t="s">
        <v>5481</v>
      </c>
      <c r="L57">
        <v>4.0599999999999996</v>
      </c>
      <c r="M57" t="s">
        <v>5555</v>
      </c>
      <c r="N57" t="s">
        <v>25</v>
      </c>
      <c r="O57" t="s">
        <v>2</v>
      </c>
      <c r="R57" t="s">
        <v>5478</v>
      </c>
      <c r="T57" s="3">
        <v>42447</v>
      </c>
    </row>
    <row r="58" spans="1:20" x14ac:dyDescent="0.3">
      <c r="A58">
        <v>57</v>
      </c>
      <c r="B58">
        <v>6244</v>
      </c>
      <c r="C58" t="s">
        <v>149</v>
      </c>
      <c r="D58">
        <v>33.200000000000003</v>
      </c>
      <c r="E58" t="s">
        <v>5556</v>
      </c>
      <c r="J58" s="5">
        <v>6.13</v>
      </c>
      <c r="K58" t="s">
        <v>5467</v>
      </c>
      <c r="L58">
        <v>4.12</v>
      </c>
      <c r="M58" t="s">
        <v>5484</v>
      </c>
      <c r="N58" t="s">
        <v>1</v>
      </c>
      <c r="O58" t="s">
        <v>2</v>
      </c>
      <c r="R58" t="s">
        <v>5478</v>
      </c>
      <c r="T58" s="3">
        <v>42447</v>
      </c>
    </row>
    <row r="59" spans="1:20" x14ac:dyDescent="0.3">
      <c r="A59">
        <v>58</v>
      </c>
      <c r="B59">
        <v>8215</v>
      </c>
      <c r="C59" t="s">
        <v>5557</v>
      </c>
      <c r="D59">
        <v>18.649999999999999</v>
      </c>
      <c r="E59" t="s">
        <v>5558</v>
      </c>
      <c r="J59" s="5">
        <v>6.14</v>
      </c>
      <c r="K59" t="s">
        <v>5481</v>
      </c>
      <c r="L59">
        <v>4.13</v>
      </c>
      <c r="M59" t="s">
        <v>5496</v>
      </c>
      <c r="N59" t="s">
        <v>26</v>
      </c>
      <c r="O59" t="s">
        <v>2</v>
      </c>
      <c r="R59" t="s">
        <v>5478</v>
      </c>
      <c r="T59" s="3">
        <v>42447</v>
      </c>
    </row>
    <row r="60" spans="1:20" x14ac:dyDescent="0.3">
      <c r="A60">
        <v>59</v>
      </c>
      <c r="B60">
        <v>1904</v>
      </c>
      <c r="C60" t="s">
        <v>90</v>
      </c>
      <c r="D60">
        <v>11.55</v>
      </c>
      <c r="E60" t="s">
        <v>5559</v>
      </c>
      <c r="J60" s="5">
        <v>6.06</v>
      </c>
      <c r="K60" t="s">
        <v>5447</v>
      </c>
      <c r="L60">
        <v>4.01</v>
      </c>
      <c r="M60" t="s">
        <v>12</v>
      </c>
      <c r="N60" t="s">
        <v>91</v>
      </c>
      <c r="O60" t="s">
        <v>41</v>
      </c>
      <c r="R60" t="s">
        <v>5478</v>
      </c>
      <c r="T60" s="3">
        <v>42447</v>
      </c>
    </row>
    <row r="61" spans="1:20" x14ac:dyDescent="0.3">
      <c r="A61">
        <v>60</v>
      </c>
      <c r="B61">
        <v>3556</v>
      </c>
      <c r="C61" t="s">
        <v>83</v>
      </c>
      <c r="D61">
        <v>53.9</v>
      </c>
      <c r="E61" t="s">
        <v>5444</v>
      </c>
      <c r="J61" s="5">
        <v>6.15</v>
      </c>
      <c r="K61" t="s">
        <v>5440</v>
      </c>
      <c r="L61">
        <v>4.13</v>
      </c>
      <c r="M61" t="s">
        <v>5484</v>
      </c>
      <c r="N61" t="s">
        <v>1</v>
      </c>
      <c r="O61" t="s">
        <v>2</v>
      </c>
      <c r="R61" t="s">
        <v>5442</v>
      </c>
      <c r="T61" s="3">
        <v>42447</v>
      </c>
    </row>
    <row r="62" spans="1:20" x14ac:dyDescent="0.3">
      <c r="A62">
        <v>61</v>
      </c>
      <c r="B62">
        <v>2444</v>
      </c>
      <c r="C62" t="s">
        <v>5560</v>
      </c>
      <c r="D62">
        <v>15.95</v>
      </c>
      <c r="E62" t="s">
        <v>5561</v>
      </c>
      <c r="J62" s="5">
        <v>6.08</v>
      </c>
      <c r="K62" t="s">
        <v>5503</v>
      </c>
      <c r="L62">
        <v>4.0599999999999996</v>
      </c>
      <c r="M62" t="s">
        <v>16</v>
      </c>
      <c r="N62" t="s">
        <v>17</v>
      </c>
      <c r="O62" t="s">
        <v>2</v>
      </c>
      <c r="R62" t="s">
        <v>5454</v>
      </c>
      <c r="T62" s="3">
        <v>42447</v>
      </c>
    </row>
    <row r="63" spans="1:20" x14ac:dyDescent="0.3">
      <c r="A63">
        <v>62</v>
      </c>
      <c r="B63">
        <v>2103</v>
      </c>
      <c r="C63" t="s">
        <v>47</v>
      </c>
      <c r="D63">
        <v>29.35</v>
      </c>
      <c r="E63" t="s">
        <v>5562</v>
      </c>
      <c r="J63" s="5">
        <v>6.24</v>
      </c>
      <c r="K63" t="s">
        <v>5440</v>
      </c>
      <c r="L63">
        <v>4.21</v>
      </c>
      <c r="M63" t="s">
        <v>5464</v>
      </c>
      <c r="N63" t="s">
        <v>6</v>
      </c>
      <c r="O63" t="s">
        <v>2</v>
      </c>
      <c r="R63" t="s">
        <v>5478</v>
      </c>
      <c r="T63" s="3">
        <v>42447</v>
      </c>
    </row>
    <row r="64" spans="1:20" x14ac:dyDescent="0.3">
      <c r="A64">
        <v>63</v>
      </c>
      <c r="B64">
        <v>3559</v>
      </c>
      <c r="C64" t="s">
        <v>157</v>
      </c>
      <c r="D64">
        <v>20</v>
      </c>
      <c r="E64" t="s">
        <v>5563</v>
      </c>
      <c r="J64" s="5">
        <v>6.07</v>
      </c>
      <c r="K64" t="s">
        <v>5469</v>
      </c>
      <c r="L64">
        <v>4.0599999999999996</v>
      </c>
      <c r="M64" t="s">
        <v>5464</v>
      </c>
      <c r="N64" t="s">
        <v>6</v>
      </c>
      <c r="O64" t="s">
        <v>2</v>
      </c>
      <c r="R64" t="s">
        <v>5454</v>
      </c>
      <c r="T64" s="3">
        <v>42447</v>
      </c>
    </row>
    <row r="65" spans="1:20" x14ac:dyDescent="0.3">
      <c r="A65">
        <v>64</v>
      </c>
      <c r="B65">
        <v>6125</v>
      </c>
      <c r="C65" t="s">
        <v>74</v>
      </c>
      <c r="D65">
        <v>12.2</v>
      </c>
      <c r="E65" t="s">
        <v>5546</v>
      </c>
      <c r="J65" s="6" t="s">
        <v>7264</v>
      </c>
      <c r="K65" t="s">
        <v>5447</v>
      </c>
      <c r="L65">
        <v>4.2699999999999996</v>
      </c>
      <c r="M65" t="s">
        <v>3</v>
      </c>
      <c r="N65" t="s">
        <v>4</v>
      </c>
      <c r="O65" t="s">
        <v>2</v>
      </c>
      <c r="R65" t="s">
        <v>5442</v>
      </c>
      <c r="T65" s="3">
        <v>42447</v>
      </c>
    </row>
    <row r="66" spans="1:20" x14ac:dyDescent="0.3">
      <c r="A66">
        <v>65</v>
      </c>
      <c r="B66">
        <v>4934</v>
      </c>
      <c r="C66" t="s">
        <v>5564</v>
      </c>
      <c r="D66">
        <v>18.5</v>
      </c>
      <c r="E66" t="s">
        <v>5565</v>
      </c>
      <c r="J66" s="5">
        <v>6.06</v>
      </c>
      <c r="K66" t="s">
        <v>5481</v>
      </c>
      <c r="L66">
        <v>4.01</v>
      </c>
      <c r="M66" t="s">
        <v>5496</v>
      </c>
      <c r="N66" t="s">
        <v>26</v>
      </c>
      <c r="O66" t="s">
        <v>2</v>
      </c>
      <c r="R66" t="s">
        <v>5478</v>
      </c>
      <c r="T66" s="3">
        <v>42447</v>
      </c>
    </row>
    <row r="67" spans="1:20" x14ac:dyDescent="0.3">
      <c r="A67">
        <v>66</v>
      </c>
      <c r="B67">
        <v>2457</v>
      </c>
      <c r="C67" t="s">
        <v>5566</v>
      </c>
      <c r="D67">
        <v>11.8</v>
      </c>
      <c r="E67" t="s">
        <v>5567</v>
      </c>
      <c r="J67" s="5">
        <v>6.08</v>
      </c>
      <c r="K67" t="s">
        <v>5481</v>
      </c>
      <c r="L67">
        <v>4.0599999999999996</v>
      </c>
      <c r="M67" t="s">
        <v>5484</v>
      </c>
      <c r="N67" t="s">
        <v>1</v>
      </c>
      <c r="O67" t="s">
        <v>2</v>
      </c>
      <c r="R67" t="s">
        <v>5442</v>
      </c>
      <c r="T67" s="3">
        <v>42447</v>
      </c>
    </row>
    <row r="68" spans="1:20" x14ac:dyDescent="0.3">
      <c r="A68">
        <v>67</v>
      </c>
      <c r="B68">
        <v>2436</v>
      </c>
      <c r="C68" t="s">
        <v>5568</v>
      </c>
      <c r="D68">
        <v>23.6</v>
      </c>
      <c r="E68" t="s">
        <v>5569</v>
      </c>
      <c r="J68" s="5">
        <v>6.08</v>
      </c>
      <c r="K68" t="s">
        <v>5469</v>
      </c>
      <c r="L68">
        <v>4.0599999999999996</v>
      </c>
      <c r="M68" t="s">
        <v>5484</v>
      </c>
      <c r="N68" t="s">
        <v>1</v>
      </c>
      <c r="O68" t="s">
        <v>2</v>
      </c>
      <c r="R68" t="s">
        <v>5454</v>
      </c>
      <c r="T68" s="3">
        <v>42447</v>
      </c>
    </row>
    <row r="69" spans="1:20" x14ac:dyDescent="0.3">
      <c r="A69">
        <v>68</v>
      </c>
      <c r="B69">
        <v>1909</v>
      </c>
      <c r="C69" t="s">
        <v>113</v>
      </c>
      <c r="D69">
        <v>13.85</v>
      </c>
      <c r="E69" t="s">
        <v>5570</v>
      </c>
      <c r="J69" s="5">
        <v>6.07</v>
      </c>
      <c r="K69" t="s">
        <v>5493</v>
      </c>
      <c r="L69">
        <v>4.0599999999999996</v>
      </c>
      <c r="M69" t="s">
        <v>5555</v>
      </c>
      <c r="N69" t="s">
        <v>25</v>
      </c>
      <c r="O69" t="s">
        <v>2</v>
      </c>
      <c r="R69" t="s">
        <v>5442</v>
      </c>
      <c r="T69" s="3">
        <v>42447</v>
      </c>
    </row>
    <row r="70" spans="1:20" x14ac:dyDescent="0.3">
      <c r="A70">
        <v>69</v>
      </c>
      <c r="B70">
        <v>2102</v>
      </c>
      <c r="C70" t="s">
        <v>5571</v>
      </c>
      <c r="D70">
        <v>14.5</v>
      </c>
      <c r="E70" t="s">
        <v>5572</v>
      </c>
      <c r="J70" s="5">
        <v>6.06</v>
      </c>
      <c r="K70" t="s">
        <v>5481</v>
      </c>
      <c r="L70">
        <v>4.01</v>
      </c>
      <c r="M70" t="s">
        <v>5555</v>
      </c>
      <c r="N70" t="s">
        <v>25</v>
      </c>
      <c r="O70" t="s">
        <v>2</v>
      </c>
      <c r="R70" t="s">
        <v>5442</v>
      </c>
      <c r="T70" s="3">
        <v>42447</v>
      </c>
    </row>
    <row r="71" spans="1:20" x14ac:dyDescent="0.3">
      <c r="A71">
        <v>70</v>
      </c>
      <c r="B71">
        <v>3014</v>
      </c>
      <c r="C71" t="s">
        <v>70</v>
      </c>
      <c r="D71">
        <v>28.2</v>
      </c>
      <c r="E71" t="s">
        <v>5573</v>
      </c>
      <c r="J71" s="6" t="s">
        <v>7263</v>
      </c>
      <c r="K71" t="s">
        <v>5469</v>
      </c>
      <c r="L71">
        <v>4.1900000000000004</v>
      </c>
      <c r="M71" t="s">
        <v>16</v>
      </c>
      <c r="N71" t="s">
        <v>17</v>
      </c>
      <c r="O71" t="s">
        <v>2</v>
      </c>
      <c r="R71" t="s">
        <v>5442</v>
      </c>
      <c r="T71" s="3">
        <v>42447</v>
      </c>
    </row>
    <row r="72" spans="1:20" x14ac:dyDescent="0.3">
      <c r="A72">
        <v>71</v>
      </c>
      <c r="B72">
        <v>2379</v>
      </c>
      <c r="C72" t="s">
        <v>55</v>
      </c>
      <c r="D72">
        <v>86.9</v>
      </c>
      <c r="E72" t="s">
        <v>5563</v>
      </c>
      <c r="J72" s="5">
        <v>6.07</v>
      </c>
      <c r="K72" t="s">
        <v>5469</v>
      </c>
      <c r="L72">
        <v>4.0599999999999996</v>
      </c>
      <c r="M72" t="s">
        <v>5484</v>
      </c>
      <c r="N72" t="s">
        <v>1</v>
      </c>
      <c r="O72" t="s">
        <v>2</v>
      </c>
      <c r="R72" t="s">
        <v>5442</v>
      </c>
      <c r="T72" s="3">
        <v>42447</v>
      </c>
    </row>
    <row r="73" spans="1:20" x14ac:dyDescent="0.3">
      <c r="A73">
        <v>72</v>
      </c>
      <c r="B73">
        <v>6233</v>
      </c>
      <c r="C73" t="s">
        <v>5574</v>
      </c>
      <c r="D73">
        <v>12.5</v>
      </c>
      <c r="E73" t="s">
        <v>5444</v>
      </c>
      <c r="J73" s="5">
        <v>6.08</v>
      </c>
      <c r="K73" t="s">
        <v>5440</v>
      </c>
      <c r="L73">
        <v>4.0599999999999996</v>
      </c>
      <c r="M73" t="s">
        <v>5457</v>
      </c>
      <c r="N73" t="s">
        <v>10</v>
      </c>
      <c r="O73" t="s">
        <v>2</v>
      </c>
      <c r="R73" t="s">
        <v>5442</v>
      </c>
      <c r="T73" s="3">
        <v>42450</v>
      </c>
    </row>
    <row r="74" spans="1:20" x14ac:dyDescent="0.3">
      <c r="A74">
        <v>73</v>
      </c>
      <c r="B74">
        <v>4401</v>
      </c>
      <c r="C74" t="s">
        <v>5575</v>
      </c>
      <c r="D74">
        <v>80.3</v>
      </c>
      <c r="E74" t="s">
        <v>5576</v>
      </c>
      <c r="F74">
        <v>5.31</v>
      </c>
      <c r="G74">
        <v>6.03</v>
      </c>
      <c r="H74" t="s">
        <v>5577</v>
      </c>
      <c r="J74" s="5">
        <v>6.07</v>
      </c>
      <c r="K74" t="s">
        <v>5493</v>
      </c>
      <c r="L74">
        <v>4.0599999999999996</v>
      </c>
      <c r="M74" t="s">
        <v>5484</v>
      </c>
      <c r="N74" t="s">
        <v>1</v>
      </c>
      <c r="O74" t="s">
        <v>2</v>
      </c>
      <c r="Q74">
        <v>1</v>
      </c>
      <c r="R74" t="s">
        <v>5454</v>
      </c>
      <c r="T74" s="3">
        <v>42466</v>
      </c>
    </row>
    <row r="75" spans="1:20" x14ac:dyDescent="0.3">
      <c r="A75">
        <v>74</v>
      </c>
      <c r="B75">
        <v>6143</v>
      </c>
      <c r="C75" t="s">
        <v>5578</v>
      </c>
      <c r="D75">
        <v>56.7</v>
      </c>
      <c r="E75" t="s">
        <v>5456</v>
      </c>
      <c r="J75" s="5">
        <v>6.13</v>
      </c>
      <c r="K75" t="s">
        <v>5469</v>
      </c>
      <c r="L75">
        <v>4.12</v>
      </c>
      <c r="M75" t="s">
        <v>5555</v>
      </c>
      <c r="N75" t="s">
        <v>25</v>
      </c>
      <c r="O75" t="s">
        <v>2</v>
      </c>
      <c r="R75" t="s">
        <v>5442</v>
      </c>
      <c r="T75" s="3">
        <v>42450</v>
      </c>
    </row>
    <row r="76" spans="1:20" x14ac:dyDescent="0.3">
      <c r="A76">
        <v>75</v>
      </c>
      <c r="B76">
        <v>8923</v>
      </c>
      <c r="C76" t="s">
        <v>5579</v>
      </c>
      <c r="D76">
        <v>17.7</v>
      </c>
      <c r="E76" t="s">
        <v>5580</v>
      </c>
      <c r="J76" s="5">
        <v>6.07</v>
      </c>
      <c r="K76" t="s">
        <v>5440</v>
      </c>
      <c r="L76">
        <v>4.0599999999999996</v>
      </c>
      <c r="M76" t="s">
        <v>50</v>
      </c>
      <c r="N76" t="s">
        <v>51</v>
      </c>
      <c r="O76" t="s">
        <v>2</v>
      </c>
      <c r="R76" t="s">
        <v>5442</v>
      </c>
      <c r="T76" s="3">
        <v>42450</v>
      </c>
    </row>
    <row r="77" spans="1:20" x14ac:dyDescent="0.3">
      <c r="A77">
        <v>76</v>
      </c>
      <c r="B77">
        <v>6147</v>
      </c>
      <c r="C77" t="s">
        <v>5581</v>
      </c>
      <c r="D77">
        <v>45.65</v>
      </c>
      <c r="E77" t="s">
        <v>5456</v>
      </c>
      <c r="J77" s="5">
        <v>6.15</v>
      </c>
      <c r="K77" t="s">
        <v>5469</v>
      </c>
      <c r="L77">
        <v>4.13</v>
      </c>
      <c r="M77" t="s">
        <v>5555</v>
      </c>
      <c r="N77" t="s">
        <v>25</v>
      </c>
      <c r="O77" t="s">
        <v>2</v>
      </c>
      <c r="R77" t="s">
        <v>5442</v>
      </c>
      <c r="T77" s="3">
        <v>42450</v>
      </c>
    </row>
    <row r="78" spans="1:20" x14ac:dyDescent="0.3">
      <c r="A78">
        <v>77</v>
      </c>
      <c r="B78">
        <v>6224</v>
      </c>
      <c r="C78" t="s">
        <v>2239</v>
      </c>
      <c r="D78">
        <v>60.2</v>
      </c>
      <c r="E78" t="s">
        <v>5582</v>
      </c>
      <c r="J78" s="5">
        <v>6.23</v>
      </c>
      <c r="K78" t="s">
        <v>5469</v>
      </c>
      <c r="L78">
        <v>4.2</v>
      </c>
      <c r="M78" t="s">
        <v>5464</v>
      </c>
      <c r="N78" t="s">
        <v>6</v>
      </c>
      <c r="O78" t="s">
        <v>2</v>
      </c>
      <c r="R78" t="s">
        <v>5442</v>
      </c>
      <c r="T78" s="3">
        <v>42450</v>
      </c>
    </row>
    <row r="79" spans="1:20" x14ac:dyDescent="0.3">
      <c r="A79">
        <v>78</v>
      </c>
      <c r="B79">
        <v>1528</v>
      </c>
      <c r="C79" t="s">
        <v>356</v>
      </c>
      <c r="D79">
        <v>10.9</v>
      </c>
      <c r="E79" t="s">
        <v>5583</v>
      </c>
      <c r="J79" s="5">
        <v>6.06</v>
      </c>
      <c r="K79" t="s">
        <v>5503</v>
      </c>
      <c r="L79">
        <v>4.01</v>
      </c>
      <c r="M79" t="s">
        <v>5457</v>
      </c>
      <c r="N79" t="s">
        <v>10</v>
      </c>
      <c r="O79" t="s">
        <v>2</v>
      </c>
      <c r="R79" t="s">
        <v>5442</v>
      </c>
      <c r="T79" s="3">
        <v>42450</v>
      </c>
    </row>
    <row r="80" spans="1:20" x14ac:dyDescent="0.3">
      <c r="A80">
        <v>79</v>
      </c>
      <c r="B80">
        <v>2405</v>
      </c>
      <c r="C80" t="s">
        <v>96</v>
      </c>
      <c r="D80">
        <v>9.4499999999999993</v>
      </c>
      <c r="E80" t="s">
        <v>5584</v>
      </c>
      <c r="J80" s="5">
        <v>6.15</v>
      </c>
      <c r="K80" t="s">
        <v>5440</v>
      </c>
      <c r="L80">
        <v>4.13</v>
      </c>
      <c r="M80" t="s">
        <v>5482</v>
      </c>
      <c r="N80" t="s">
        <v>14</v>
      </c>
      <c r="O80" t="s">
        <v>2</v>
      </c>
      <c r="R80" t="s">
        <v>5454</v>
      </c>
      <c r="T80" s="3">
        <v>42450</v>
      </c>
    </row>
    <row r="81" spans="1:21" x14ac:dyDescent="0.3">
      <c r="A81">
        <v>80</v>
      </c>
      <c r="B81">
        <v>3522</v>
      </c>
      <c r="C81" t="s">
        <v>138</v>
      </c>
      <c r="D81">
        <v>14.05</v>
      </c>
      <c r="E81" t="s">
        <v>5585</v>
      </c>
      <c r="J81" s="5">
        <v>6.08</v>
      </c>
      <c r="K81" t="s">
        <v>5469</v>
      </c>
      <c r="L81">
        <v>4.0599999999999996</v>
      </c>
      <c r="M81" t="s">
        <v>5482</v>
      </c>
      <c r="N81" t="s">
        <v>14</v>
      </c>
      <c r="O81" t="s">
        <v>2</v>
      </c>
      <c r="R81" t="s">
        <v>5478</v>
      </c>
      <c r="T81" s="3">
        <v>42450</v>
      </c>
    </row>
    <row r="82" spans="1:21" x14ac:dyDescent="0.3">
      <c r="A82">
        <v>81</v>
      </c>
      <c r="B82">
        <v>3630</v>
      </c>
      <c r="C82" t="s">
        <v>139</v>
      </c>
      <c r="D82">
        <v>14.65</v>
      </c>
      <c r="E82" t="s">
        <v>5456</v>
      </c>
      <c r="J82" s="5">
        <v>6.07</v>
      </c>
      <c r="K82" t="s">
        <v>5463</v>
      </c>
      <c r="L82">
        <v>4.0599999999999996</v>
      </c>
      <c r="M82" t="s">
        <v>5519</v>
      </c>
      <c r="N82" t="s">
        <v>140</v>
      </c>
      <c r="O82" t="s">
        <v>2</v>
      </c>
      <c r="R82" t="s">
        <v>5454</v>
      </c>
      <c r="T82" s="3">
        <v>42450</v>
      </c>
    </row>
    <row r="83" spans="1:21" x14ac:dyDescent="0.3">
      <c r="A83">
        <v>82</v>
      </c>
      <c r="B83">
        <v>2913</v>
      </c>
      <c r="C83" t="s">
        <v>5586</v>
      </c>
      <c r="D83">
        <v>14.7</v>
      </c>
      <c r="E83" t="s">
        <v>5587</v>
      </c>
      <c r="J83" s="5">
        <v>6.08</v>
      </c>
      <c r="K83" t="s">
        <v>5481</v>
      </c>
      <c r="L83">
        <v>4.0599999999999996</v>
      </c>
      <c r="M83" t="s">
        <v>5470</v>
      </c>
      <c r="N83" t="s">
        <v>5471</v>
      </c>
      <c r="O83" t="s">
        <v>2</v>
      </c>
      <c r="R83" t="s">
        <v>5442</v>
      </c>
      <c r="T83" s="3">
        <v>42450</v>
      </c>
    </row>
    <row r="84" spans="1:21" x14ac:dyDescent="0.3">
      <c r="A84">
        <v>83</v>
      </c>
      <c r="B84">
        <v>3011</v>
      </c>
      <c r="C84" t="s">
        <v>305</v>
      </c>
      <c r="D84">
        <v>8.35</v>
      </c>
      <c r="E84" t="s">
        <v>5588</v>
      </c>
      <c r="J84" s="5">
        <v>6.13</v>
      </c>
      <c r="K84" t="s">
        <v>5447</v>
      </c>
      <c r="L84">
        <v>4.12</v>
      </c>
      <c r="M84" t="s">
        <v>5496</v>
      </c>
      <c r="N84" t="s">
        <v>26</v>
      </c>
      <c r="O84" t="s">
        <v>2</v>
      </c>
      <c r="R84" t="s">
        <v>5454</v>
      </c>
      <c r="T84" s="3">
        <v>42450</v>
      </c>
    </row>
    <row r="85" spans="1:21" x14ac:dyDescent="0.3">
      <c r="A85">
        <v>84</v>
      </c>
      <c r="B85">
        <v>2107</v>
      </c>
      <c r="C85" t="s">
        <v>117</v>
      </c>
      <c r="D85">
        <v>17.100000000000001</v>
      </c>
      <c r="E85" t="s">
        <v>5589</v>
      </c>
      <c r="J85" s="5">
        <v>6.07</v>
      </c>
      <c r="K85" t="s">
        <v>5481</v>
      </c>
      <c r="L85">
        <v>4.0599999999999996</v>
      </c>
      <c r="M85" t="s">
        <v>5496</v>
      </c>
      <c r="N85" t="s">
        <v>26</v>
      </c>
      <c r="O85" t="s">
        <v>41</v>
      </c>
      <c r="R85" t="s">
        <v>5454</v>
      </c>
      <c r="T85" s="3">
        <v>42450</v>
      </c>
    </row>
    <row r="86" spans="1:21" x14ac:dyDescent="0.3">
      <c r="A86">
        <v>85</v>
      </c>
      <c r="B86">
        <v>1903</v>
      </c>
      <c r="C86" t="s">
        <v>61</v>
      </c>
      <c r="D86">
        <v>31.5</v>
      </c>
      <c r="E86" t="s">
        <v>5590</v>
      </c>
      <c r="J86" s="5">
        <v>6.08</v>
      </c>
      <c r="K86" t="s">
        <v>5440</v>
      </c>
      <c r="L86">
        <v>4.0599999999999996</v>
      </c>
      <c r="M86" t="s">
        <v>5457</v>
      </c>
      <c r="N86" t="s">
        <v>10</v>
      </c>
      <c r="O86" t="s">
        <v>41</v>
      </c>
      <c r="R86" t="s">
        <v>5454</v>
      </c>
      <c r="T86" s="3">
        <v>42450</v>
      </c>
    </row>
    <row r="87" spans="1:21" x14ac:dyDescent="0.3">
      <c r="A87">
        <v>86</v>
      </c>
      <c r="B87">
        <v>2303</v>
      </c>
      <c r="C87" t="s">
        <v>81</v>
      </c>
      <c r="D87">
        <v>12.9</v>
      </c>
      <c r="E87" t="s">
        <v>5591</v>
      </c>
      <c r="J87" s="5">
        <v>6.07</v>
      </c>
      <c r="K87" t="s">
        <v>5469</v>
      </c>
      <c r="L87">
        <v>4.0599999999999996</v>
      </c>
      <c r="M87" t="s">
        <v>16</v>
      </c>
      <c r="N87" t="s">
        <v>17</v>
      </c>
      <c r="O87" t="s">
        <v>2</v>
      </c>
      <c r="R87" t="s">
        <v>5442</v>
      </c>
      <c r="T87" s="3">
        <v>42450</v>
      </c>
    </row>
    <row r="88" spans="1:21" x14ac:dyDescent="0.3">
      <c r="A88">
        <v>87</v>
      </c>
      <c r="B88">
        <v>2342</v>
      </c>
      <c r="C88" t="s">
        <v>329</v>
      </c>
      <c r="D88">
        <v>3.11</v>
      </c>
      <c r="E88" t="s">
        <v>5592</v>
      </c>
      <c r="F88">
        <v>4.29</v>
      </c>
      <c r="G88">
        <v>5.03</v>
      </c>
      <c r="H88" t="s">
        <v>5593</v>
      </c>
      <c r="I88" t="s">
        <v>5594</v>
      </c>
      <c r="J88" s="5">
        <v>5.04</v>
      </c>
      <c r="K88" t="s">
        <v>5469</v>
      </c>
      <c r="L88">
        <v>3.02</v>
      </c>
      <c r="M88" t="s">
        <v>5496</v>
      </c>
      <c r="N88" t="s">
        <v>26</v>
      </c>
      <c r="O88" t="s">
        <v>2</v>
      </c>
      <c r="Q88">
        <v>1</v>
      </c>
      <c r="R88" t="s">
        <v>5442</v>
      </c>
      <c r="T88" s="3">
        <v>42468</v>
      </c>
      <c r="U88" t="s">
        <v>5995</v>
      </c>
    </row>
    <row r="89" spans="1:21" x14ac:dyDescent="0.3">
      <c r="A89">
        <v>88</v>
      </c>
      <c r="B89">
        <v>1723</v>
      </c>
      <c r="C89" t="s">
        <v>853</v>
      </c>
      <c r="D89">
        <v>111.5</v>
      </c>
      <c r="E89" t="s">
        <v>5595</v>
      </c>
      <c r="J89" s="5">
        <v>6.16</v>
      </c>
      <c r="K89" t="s">
        <v>5524</v>
      </c>
      <c r="L89">
        <v>4.13</v>
      </c>
      <c r="M89" t="s">
        <v>5482</v>
      </c>
      <c r="N89" t="s">
        <v>14</v>
      </c>
      <c r="O89" t="s">
        <v>2</v>
      </c>
      <c r="R89" t="s">
        <v>5454</v>
      </c>
      <c r="T89" s="3">
        <v>42450</v>
      </c>
    </row>
    <row r="90" spans="1:21" x14ac:dyDescent="0.3">
      <c r="A90">
        <v>89</v>
      </c>
      <c r="B90">
        <v>3027</v>
      </c>
      <c r="C90" t="s">
        <v>5596</v>
      </c>
      <c r="D90">
        <v>13.8</v>
      </c>
      <c r="E90" t="s">
        <v>5597</v>
      </c>
      <c r="J90" s="5">
        <v>6.07</v>
      </c>
      <c r="K90" t="s">
        <v>5447</v>
      </c>
      <c r="L90">
        <v>4.0599999999999996</v>
      </c>
      <c r="M90" t="s">
        <v>5482</v>
      </c>
      <c r="N90" t="s">
        <v>14</v>
      </c>
      <c r="O90" t="s">
        <v>2</v>
      </c>
      <c r="R90" t="s">
        <v>5442</v>
      </c>
      <c r="T90" s="3">
        <v>42450</v>
      </c>
    </row>
    <row r="91" spans="1:21" x14ac:dyDescent="0.3">
      <c r="A91">
        <v>90</v>
      </c>
      <c r="B91">
        <v>4138</v>
      </c>
      <c r="C91" t="s">
        <v>5598</v>
      </c>
      <c r="D91">
        <v>64.400000000000006</v>
      </c>
      <c r="E91" t="s">
        <v>5599</v>
      </c>
      <c r="J91" s="5">
        <v>6.07</v>
      </c>
      <c r="K91" t="s">
        <v>5447</v>
      </c>
      <c r="L91">
        <v>4.0599999999999996</v>
      </c>
      <c r="M91" t="s">
        <v>3</v>
      </c>
      <c r="N91" t="s">
        <v>4</v>
      </c>
      <c r="O91" t="s">
        <v>2</v>
      </c>
      <c r="R91" t="s">
        <v>5442</v>
      </c>
      <c r="T91" s="3">
        <v>42450</v>
      </c>
    </row>
    <row r="92" spans="1:21" x14ac:dyDescent="0.3">
      <c r="A92">
        <v>91</v>
      </c>
      <c r="B92">
        <v>8213</v>
      </c>
      <c r="C92" t="s">
        <v>102</v>
      </c>
      <c r="D92">
        <v>32.299999999999997</v>
      </c>
      <c r="E92" t="s">
        <v>5572</v>
      </c>
      <c r="J92" s="5">
        <v>6.08</v>
      </c>
      <c r="K92" t="s">
        <v>5481</v>
      </c>
      <c r="L92">
        <v>4.0599999999999996</v>
      </c>
      <c r="M92" t="s">
        <v>5457</v>
      </c>
      <c r="N92" t="s">
        <v>10</v>
      </c>
      <c r="O92" t="s">
        <v>2</v>
      </c>
      <c r="R92" t="s">
        <v>5442</v>
      </c>
      <c r="T92" s="3">
        <v>42450</v>
      </c>
    </row>
    <row r="93" spans="1:21" x14ac:dyDescent="0.3">
      <c r="A93">
        <v>92</v>
      </c>
      <c r="B93">
        <v>2363</v>
      </c>
      <c r="C93" t="s">
        <v>5600</v>
      </c>
      <c r="D93">
        <v>7.16</v>
      </c>
      <c r="E93" t="s">
        <v>5601</v>
      </c>
      <c r="J93" s="5">
        <v>6.21</v>
      </c>
      <c r="K93" t="s">
        <v>5469</v>
      </c>
      <c r="L93">
        <v>4.2</v>
      </c>
      <c r="M93" t="s">
        <v>16</v>
      </c>
      <c r="N93" t="s">
        <v>17</v>
      </c>
      <c r="O93" t="s">
        <v>2</v>
      </c>
      <c r="R93" t="s">
        <v>5454</v>
      </c>
      <c r="T93" s="3">
        <v>42450</v>
      </c>
    </row>
    <row r="94" spans="1:21" x14ac:dyDescent="0.3">
      <c r="A94">
        <v>93</v>
      </c>
      <c r="B94">
        <v>4190</v>
      </c>
      <c r="C94" t="s">
        <v>5602</v>
      </c>
      <c r="D94">
        <v>110.5</v>
      </c>
      <c r="E94" t="s">
        <v>5599</v>
      </c>
      <c r="J94" s="5">
        <v>6.23</v>
      </c>
      <c r="K94" t="s">
        <v>5463</v>
      </c>
      <c r="L94">
        <v>4.2</v>
      </c>
      <c r="M94" t="s">
        <v>5464</v>
      </c>
      <c r="N94" t="s">
        <v>6</v>
      </c>
      <c r="O94" t="s">
        <v>2</v>
      </c>
      <c r="R94" t="s">
        <v>5442</v>
      </c>
      <c r="T94" s="3">
        <v>42451</v>
      </c>
    </row>
    <row r="95" spans="1:21" x14ac:dyDescent="0.3">
      <c r="A95">
        <v>94</v>
      </c>
      <c r="B95">
        <v>1718</v>
      </c>
      <c r="C95" t="s">
        <v>68</v>
      </c>
      <c r="D95">
        <v>7.98</v>
      </c>
      <c r="E95" t="s">
        <v>5498</v>
      </c>
      <c r="J95" s="5">
        <v>6.08</v>
      </c>
      <c r="K95" t="s">
        <v>5440</v>
      </c>
      <c r="L95">
        <v>4.0599999999999996</v>
      </c>
      <c r="M95" t="s">
        <v>12</v>
      </c>
      <c r="N95" t="s">
        <v>5603</v>
      </c>
      <c r="O95" t="s">
        <v>41</v>
      </c>
      <c r="R95" t="s">
        <v>5454</v>
      </c>
      <c r="T95" s="3">
        <v>42451</v>
      </c>
    </row>
    <row r="96" spans="1:21" x14ac:dyDescent="0.3">
      <c r="A96">
        <v>95</v>
      </c>
      <c r="B96">
        <v>5205</v>
      </c>
      <c r="C96" t="s">
        <v>5604</v>
      </c>
      <c r="D96">
        <v>13.6</v>
      </c>
      <c r="E96" t="s">
        <v>5605</v>
      </c>
      <c r="J96" s="5">
        <v>5.19</v>
      </c>
      <c r="K96" t="s">
        <v>5440</v>
      </c>
      <c r="L96">
        <v>3.16</v>
      </c>
      <c r="M96" t="s">
        <v>5482</v>
      </c>
      <c r="N96" t="s">
        <v>14</v>
      </c>
      <c r="O96" t="s">
        <v>2</v>
      </c>
      <c r="R96" t="s">
        <v>5454</v>
      </c>
      <c r="T96" s="3">
        <v>42474</v>
      </c>
      <c r="U96" t="s">
        <v>5996</v>
      </c>
    </row>
    <row r="97" spans="1:21" x14ac:dyDescent="0.3">
      <c r="A97">
        <v>96</v>
      </c>
      <c r="B97">
        <v>3322</v>
      </c>
      <c r="C97" t="s">
        <v>5606</v>
      </c>
      <c r="D97">
        <v>10.65</v>
      </c>
      <c r="E97" t="s">
        <v>5444</v>
      </c>
      <c r="J97" s="5">
        <v>6.07</v>
      </c>
      <c r="K97" t="s">
        <v>5447</v>
      </c>
      <c r="L97">
        <v>4.0599999999999996</v>
      </c>
      <c r="M97" t="s">
        <v>5457</v>
      </c>
      <c r="N97" t="s">
        <v>10</v>
      </c>
      <c r="O97" t="s">
        <v>2</v>
      </c>
      <c r="R97" t="s">
        <v>5454</v>
      </c>
      <c r="T97" s="3">
        <v>42451</v>
      </c>
    </row>
    <row r="98" spans="1:21" x14ac:dyDescent="0.3">
      <c r="A98">
        <v>97</v>
      </c>
      <c r="B98">
        <v>2323</v>
      </c>
      <c r="C98" t="s">
        <v>15</v>
      </c>
      <c r="D98">
        <v>3.55</v>
      </c>
      <c r="E98" t="s">
        <v>5607</v>
      </c>
      <c r="J98" s="5">
        <v>6.07</v>
      </c>
      <c r="K98" t="s">
        <v>5440</v>
      </c>
      <c r="L98">
        <v>4.0599999999999996</v>
      </c>
      <c r="M98" t="s">
        <v>5457</v>
      </c>
      <c r="N98" t="s">
        <v>10</v>
      </c>
      <c r="O98" t="s">
        <v>2</v>
      </c>
      <c r="R98" t="s">
        <v>5442</v>
      </c>
      <c r="T98" s="3">
        <v>42451</v>
      </c>
    </row>
    <row r="99" spans="1:21" x14ac:dyDescent="0.3">
      <c r="A99">
        <v>98</v>
      </c>
      <c r="B99">
        <v>3687</v>
      </c>
      <c r="C99" t="s">
        <v>210</v>
      </c>
      <c r="D99">
        <v>63.6</v>
      </c>
      <c r="E99" t="s">
        <v>5608</v>
      </c>
      <c r="J99" s="6" t="s">
        <v>7263</v>
      </c>
      <c r="K99" t="s">
        <v>5440</v>
      </c>
      <c r="L99">
        <v>4.1900000000000004</v>
      </c>
      <c r="M99" t="s">
        <v>5496</v>
      </c>
      <c r="N99" t="s">
        <v>26</v>
      </c>
      <c r="O99" t="s">
        <v>2</v>
      </c>
      <c r="R99" t="s">
        <v>5454</v>
      </c>
      <c r="T99" s="3">
        <v>42451</v>
      </c>
    </row>
    <row r="100" spans="1:21" x14ac:dyDescent="0.3">
      <c r="A100">
        <v>99</v>
      </c>
      <c r="B100">
        <v>2368</v>
      </c>
      <c r="C100" t="s">
        <v>5609</v>
      </c>
      <c r="D100">
        <v>8.4</v>
      </c>
      <c r="E100" t="s">
        <v>5610</v>
      </c>
      <c r="J100" s="5">
        <v>6.14</v>
      </c>
      <c r="K100" t="s">
        <v>5481</v>
      </c>
      <c r="L100">
        <v>4.13</v>
      </c>
      <c r="M100" t="s">
        <v>5484</v>
      </c>
      <c r="N100" t="s">
        <v>1</v>
      </c>
      <c r="O100" t="s">
        <v>2</v>
      </c>
      <c r="R100" t="s">
        <v>5478</v>
      </c>
      <c r="T100" s="3">
        <v>42451</v>
      </c>
    </row>
    <row r="101" spans="1:21" x14ac:dyDescent="0.3">
      <c r="A101">
        <v>100</v>
      </c>
      <c r="B101">
        <v>2420</v>
      </c>
      <c r="C101" t="s">
        <v>1246</v>
      </c>
      <c r="D101">
        <v>42.8</v>
      </c>
      <c r="E101" t="s">
        <v>5542</v>
      </c>
      <c r="J101" s="5">
        <v>6.08</v>
      </c>
      <c r="K101" t="s">
        <v>5447</v>
      </c>
      <c r="L101">
        <v>4.0599999999999996</v>
      </c>
      <c r="M101" t="s">
        <v>5464</v>
      </c>
      <c r="N101" t="s">
        <v>6</v>
      </c>
      <c r="O101" t="s">
        <v>2</v>
      </c>
      <c r="R101" t="s">
        <v>5454</v>
      </c>
      <c r="T101" s="3">
        <v>42451</v>
      </c>
    </row>
    <row r="102" spans="1:21" x14ac:dyDescent="0.3">
      <c r="A102">
        <v>101</v>
      </c>
      <c r="B102">
        <v>1734</v>
      </c>
      <c r="C102" t="s">
        <v>5611</v>
      </c>
      <c r="D102">
        <v>29.1</v>
      </c>
      <c r="E102" t="s">
        <v>5612</v>
      </c>
      <c r="J102" s="5">
        <v>6.21</v>
      </c>
      <c r="K102" t="s">
        <v>5452</v>
      </c>
      <c r="L102">
        <v>4.2</v>
      </c>
      <c r="M102" t="s">
        <v>5464</v>
      </c>
      <c r="N102" t="s">
        <v>6</v>
      </c>
      <c r="O102" t="s">
        <v>2</v>
      </c>
      <c r="R102" t="s">
        <v>5442</v>
      </c>
      <c r="T102" s="3">
        <v>42451</v>
      </c>
    </row>
    <row r="103" spans="1:21" x14ac:dyDescent="0.3">
      <c r="A103">
        <v>102</v>
      </c>
      <c r="B103">
        <v>3707</v>
      </c>
      <c r="C103" t="s">
        <v>114</v>
      </c>
      <c r="D103">
        <v>11</v>
      </c>
      <c r="E103" t="s">
        <v>5613</v>
      </c>
      <c r="J103" s="5">
        <v>6.08</v>
      </c>
      <c r="K103" t="s">
        <v>5469</v>
      </c>
      <c r="L103">
        <v>4.0599999999999996</v>
      </c>
      <c r="M103" t="s">
        <v>5457</v>
      </c>
      <c r="N103" t="s">
        <v>10</v>
      </c>
      <c r="O103" t="s">
        <v>2</v>
      </c>
      <c r="R103" t="s">
        <v>5442</v>
      </c>
      <c r="T103" s="3">
        <v>42451</v>
      </c>
    </row>
    <row r="104" spans="1:21" x14ac:dyDescent="0.3">
      <c r="A104">
        <v>103</v>
      </c>
      <c r="B104">
        <v>4104</v>
      </c>
      <c r="C104" t="s">
        <v>254</v>
      </c>
      <c r="D104">
        <v>49.8</v>
      </c>
      <c r="E104" t="s">
        <v>5614</v>
      </c>
      <c r="J104" s="5">
        <v>6.16</v>
      </c>
      <c r="K104" t="s">
        <v>5447</v>
      </c>
      <c r="L104">
        <v>4.13</v>
      </c>
      <c r="M104" t="s">
        <v>3</v>
      </c>
      <c r="N104" t="s">
        <v>4</v>
      </c>
      <c r="O104" t="s">
        <v>2</v>
      </c>
      <c r="R104" t="s">
        <v>5478</v>
      </c>
      <c r="T104" s="3">
        <v>42451</v>
      </c>
    </row>
    <row r="105" spans="1:21" x14ac:dyDescent="0.3">
      <c r="A105">
        <v>104</v>
      </c>
      <c r="B105">
        <v>8059</v>
      </c>
      <c r="C105" t="s">
        <v>5615</v>
      </c>
      <c r="D105">
        <v>12.85</v>
      </c>
      <c r="E105" t="s">
        <v>5616</v>
      </c>
      <c r="F105">
        <v>4.08</v>
      </c>
      <c r="G105">
        <v>5.03</v>
      </c>
      <c r="I105" t="s">
        <v>5617</v>
      </c>
      <c r="J105" s="5">
        <v>5.1100000000000003</v>
      </c>
      <c r="K105" t="s">
        <v>5447</v>
      </c>
      <c r="L105">
        <v>3.09</v>
      </c>
      <c r="M105" t="s">
        <v>5472</v>
      </c>
      <c r="N105" t="s">
        <v>34</v>
      </c>
      <c r="O105" t="s">
        <v>2</v>
      </c>
      <c r="Q105" t="s">
        <v>5453</v>
      </c>
      <c r="R105" t="s">
        <v>5454</v>
      </c>
      <c r="T105" s="3">
        <v>42474</v>
      </c>
      <c r="U105" t="s">
        <v>5997</v>
      </c>
    </row>
    <row r="106" spans="1:21" x14ac:dyDescent="0.3">
      <c r="A106">
        <v>105</v>
      </c>
      <c r="B106">
        <v>4707</v>
      </c>
      <c r="C106" t="s">
        <v>82</v>
      </c>
      <c r="D106">
        <v>8.75</v>
      </c>
      <c r="E106" t="s">
        <v>5618</v>
      </c>
      <c r="J106" s="5">
        <v>6.08</v>
      </c>
      <c r="K106" t="s">
        <v>5440</v>
      </c>
      <c r="L106">
        <v>4.0599999999999996</v>
      </c>
      <c r="M106" t="s">
        <v>12</v>
      </c>
      <c r="N106" t="s">
        <v>5619</v>
      </c>
      <c r="O106" t="s">
        <v>41</v>
      </c>
      <c r="R106" t="s">
        <v>5442</v>
      </c>
      <c r="T106" s="3">
        <v>42451</v>
      </c>
    </row>
    <row r="107" spans="1:21" x14ac:dyDescent="0.3">
      <c r="A107">
        <v>106</v>
      </c>
      <c r="B107">
        <v>4108</v>
      </c>
      <c r="C107" t="s">
        <v>8</v>
      </c>
      <c r="D107">
        <v>38.549999999999997</v>
      </c>
      <c r="E107" t="s">
        <v>5620</v>
      </c>
      <c r="J107" s="5">
        <v>5.27</v>
      </c>
      <c r="K107" t="s">
        <v>5481</v>
      </c>
      <c r="L107">
        <v>3.24</v>
      </c>
      <c r="M107" t="s">
        <v>5470</v>
      </c>
      <c r="N107" t="s">
        <v>5471</v>
      </c>
      <c r="O107" t="s">
        <v>2</v>
      </c>
      <c r="R107" t="s">
        <v>5442</v>
      </c>
      <c r="T107" s="3">
        <v>42451</v>
      </c>
    </row>
    <row r="108" spans="1:21" x14ac:dyDescent="0.3">
      <c r="A108">
        <v>107</v>
      </c>
      <c r="B108">
        <v>5410</v>
      </c>
      <c r="C108" t="s">
        <v>5621</v>
      </c>
      <c r="D108">
        <v>13</v>
      </c>
      <c r="E108" t="s">
        <v>5444</v>
      </c>
      <c r="J108" s="5">
        <v>6.07</v>
      </c>
      <c r="K108" t="s">
        <v>5440</v>
      </c>
      <c r="L108">
        <v>4.0599999999999996</v>
      </c>
      <c r="M108" t="s">
        <v>5496</v>
      </c>
      <c r="N108" t="s">
        <v>26</v>
      </c>
      <c r="O108" t="s">
        <v>2</v>
      </c>
      <c r="R108" t="s">
        <v>5442</v>
      </c>
      <c r="T108" s="3">
        <v>42451</v>
      </c>
    </row>
    <row r="109" spans="1:21" x14ac:dyDescent="0.3">
      <c r="A109">
        <v>108</v>
      </c>
      <c r="B109">
        <v>2467</v>
      </c>
      <c r="C109" t="s">
        <v>5622</v>
      </c>
      <c r="D109">
        <v>15.2</v>
      </c>
      <c r="E109" t="s">
        <v>5623</v>
      </c>
      <c r="J109" s="5">
        <v>6.14</v>
      </c>
      <c r="K109" t="s">
        <v>5481</v>
      </c>
      <c r="L109">
        <v>4.13</v>
      </c>
      <c r="M109" t="s">
        <v>3</v>
      </c>
      <c r="N109" t="s">
        <v>4</v>
      </c>
      <c r="O109" t="s">
        <v>2</v>
      </c>
      <c r="R109" t="s">
        <v>5454</v>
      </c>
      <c r="T109" s="3">
        <v>42452</v>
      </c>
    </row>
    <row r="110" spans="1:21" x14ac:dyDescent="0.3">
      <c r="A110">
        <v>109</v>
      </c>
      <c r="B110">
        <v>8299</v>
      </c>
      <c r="C110" t="s">
        <v>5624</v>
      </c>
      <c r="D110">
        <v>280</v>
      </c>
      <c r="E110" t="s">
        <v>5625</v>
      </c>
      <c r="J110" s="5">
        <v>6.15</v>
      </c>
      <c r="K110" t="s">
        <v>5503</v>
      </c>
      <c r="L110">
        <v>4.13</v>
      </c>
      <c r="M110" t="s">
        <v>16</v>
      </c>
      <c r="N110" t="s">
        <v>17</v>
      </c>
      <c r="O110" t="s">
        <v>2</v>
      </c>
      <c r="R110" t="s">
        <v>5442</v>
      </c>
      <c r="T110" s="3">
        <v>42452</v>
      </c>
    </row>
    <row r="111" spans="1:21" x14ac:dyDescent="0.3">
      <c r="A111">
        <v>110</v>
      </c>
      <c r="B111">
        <v>5490</v>
      </c>
      <c r="C111" t="s">
        <v>93</v>
      </c>
      <c r="D111">
        <v>64.5</v>
      </c>
      <c r="E111" t="s">
        <v>5444</v>
      </c>
      <c r="J111" s="5">
        <v>6.16</v>
      </c>
      <c r="K111" t="s">
        <v>5469</v>
      </c>
      <c r="L111">
        <v>4.13</v>
      </c>
      <c r="M111" t="s">
        <v>50</v>
      </c>
      <c r="N111" t="s">
        <v>51</v>
      </c>
      <c r="O111" t="s">
        <v>2</v>
      </c>
      <c r="R111" t="s">
        <v>5478</v>
      </c>
      <c r="T111" s="3">
        <v>42452</v>
      </c>
    </row>
    <row r="112" spans="1:21" x14ac:dyDescent="0.3">
      <c r="A112">
        <v>111</v>
      </c>
      <c r="B112">
        <v>2233</v>
      </c>
      <c r="C112" t="s">
        <v>116</v>
      </c>
      <c r="D112">
        <v>84.5</v>
      </c>
      <c r="E112" t="s">
        <v>5595</v>
      </c>
      <c r="J112" s="5">
        <v>6.13</v>
      </c>
      <c r="K112" t="s">
        <v>5463</v>
      </c>
      <c r="L112">
        <v>4.12</v>
      </c>
      <c r="M112" t="s">
        <v>5484</v>
      </c>
      <c r="N112" t="s">
        <v>1</v>
      </c>
      <c r="O112" t="s">
        <v>2</v>
      </c>
      <c r="R112" t="s">
        <v>5454</v>
      </c>
      <c r="T112" s="3">
        <v>42452</v>
      </c>
    </row>
    <row r="113" spans="1:20" x14ac:dyDescent="0.3">
      <c r="A113">
        <v>112</v>
      </c>
      <c r="B113">
        <v>1781</v>
      </c>
      <c r="C113" t="s">
        <v>5626</v>
      </c>
      <c r="D113">
        <v>21.5</v>
      </c>
      <c r="E113" t="s">
        <v>5456</v>
      </c>
      <c r="J113" s="5">
        <v>6.16</v>
      </c>
      <c r="K113" t="s">
        <v>5447</v>
      </c>
      <c r="L113">
        <v>4.13</v>
      </c>
      <c r="M113" t="s">
        <v>5484</v>
      </c>
      <c r="N113" t="s">
        <v>1</v>
      </c>
      <c r="O113" t="s">
        <v>2</v>
      </c>
      <c r="R113" t="s">
        <v>5454</v>
      </c>
      <c r="T113" s="3">
        <v>42452</v>
      </c>
    </row>
    <row r="114" spans="1:20" x14ac:dyDescent="0.3">
      <c r="A114">
        <v>113</v>
      </c>
      <c r="B114">
        <v>6187</v>
      </c>
      <c r="C114" t="s">
        <v>5627</v>
      </c>
      <c r="D114">
        <v>55.2</v>
      </c>
      <c r="E114" t="s">
        <v>5628</v>
      </c>
      <c r="J114" s="5">
        <v>6.15</v>
      </c>
      <c r="K114" t="s">
        <v>5524</v>
      </c>
      <c r="L114">
        <v>4.13</v>
      </c>
      <c r="M114" t="s">
        <v>3</v>
      </c>
      <c r="N114" t="s">
        <v>4</v>
      </c>
      <c r="O114" t="s">
        <v>2</v>
      </c>
      <c r="R114" t="s">
        <v>5442</v>
      </c>
      <c r="T114" s="3">
        <v>42452</v>
      </c>
    </row>
    <row r="115" spans="1:20" x14ac:dyDescent="0.3">
      <c r="A115">
        <v>114</v>
      </c>
      <c r="B115">
        <v>3211</v>
      </c>
      <c r="C115" t="s">
        <v>5629</v>
      </c>
      <c r="D115">
        <v>50.2</v>
      </c>
      <c r="E115" t="s">
        <v>5595</v>
      </c>
      <c r="J115" s="5">
        <v>6.13</v>
      </c>
      <c r="K115" t="s">
        <v>5481</v>
      </c>
      <c r="L115">
        <v>4.12</v>
      </c>
      <c r="M115" t="s">
        <v>5482</v>
      </c>
      <c r="N115" t="s">
        <v>14</v>
      </c>
      <c r="O115" t="s">
        <v>2</v>
      </c>
      <c r="R115" t="s">
        <v>5442</v>
      </c>
      <c r="T115" s="3">
        <v>42452</v>
      </c>
    </row>
    <row r="116" spans="1:20" x14ac:dyDescent="0.3">
      <c r="A116">
        <v>115</v>
      </c>
      <c r="B116">
        <v>8927</v>
      </c>
      <c r="C116" t="s">
        <v>79</v>
      </c>
      <c r="D116">
        <v>9.6199999999999992</v>
      </c>
      <c r="E116" t="s">
        <v>5630</v>
      </c>
      <c r="J116" s="5">
        <v>6.13</v>
      </c>
      <c r="K116" t="s">
        <v>5447</v>
      </c>
      <c r="L116">
        <v>4.12</v>
      </c>
      <c r="M116" t="s">
        <v>5464</v>
      </c>
      <c r="N116" t="s">
        <v>6</v>
      </c>
      <c r="O116" t="s">
        <v>2</v>
      </c>
      <c r="R116" t="s">
        <v>5454</v>
      </c>
      <c r="T116" s="3">
        <v>42452</v>
      </c>
    </row>
    <row r="117" spans="1:20" x14ac:dyDescent="0.3">
      <c r="A117">
        <v>116</v>
      </c>
      <c r="B117">
        <v>2023</v>
      </c>
      <c r="C117" t="s">
        <v>155</v>
      </c>
      <c r="D117">
        <v>8.57</v>
      </c>
      <c r="E117" t="s">
        <v>5631</v>
      </c>
      <c r="J117" s="5">
        <v>6.22</v>
      </c>
      <c r="K117" t="s">
        <v>5524</v>
      </c>
      <c r="L117">
        <v>4.2</v>
      </c>
      <c r="M117" t="s">
        <v>12</v>
      </c>
      <c r="N117" t="s">
        <v>5632</v>
      </c>
      <c r="O117" t="s">
        <v>2</v>
      </c>
      <c r="R117" t="s">
        <v>5478</v>
      </c>
      <c r="T117" s="3">
        <v>42452</v>
      </c>
    </row>
    <row r="118" spans="1:20" x14ac:dyDescent="0.3">
      <c r="A118">
        <v>117</v>
      </c>
      <c r="B118">
        <v>4111</v>
      </c>
      <c r="C118" t="s">
        <v>5633</v>
      </c>
      <c r="D118">
        <v>23.55</v>
      </c>
      <c r="E118" t="s">
        <v>5634</v>
      </c>
      <c r="J118" s="5">
        <v>6.14</v>
      </c>
      <c r="K118" t="s">
        <v>5469</v>
      </c>
      <c r="L118">
        <v>4.13</v>
      </c>
      <c r="M118" t="s">
        <v>5555</v>
      </c>
      <c r="N118" t="s">
        <v>25</v>
      </c>
      <c r="O118" t="s">
        <v>2</v>
      </c>
      <c r="R118" t="s">
        <v>5442</v>
      </c>
      <c r="T118" s="3">
        <v>42452</v>
      </c>
    </row>
    <row r="119" spans="1:20" x14ac:dyDescent="0.3">
      <c r="A119">
        <v>118</v>
      </c>
      <c r="B119">
        <v>6209</v>
      </c>
      <c r="C119" t="s">
        <v>5635</v>
      </c>
      <c r="D119">
        <v>15.4</v>
      </c>
      <c r="E119" t="s">
        <v>5636</v>
      </c>
      <c r="J119" s="5">
        <v>6.13</v>
      </c>
      <c r="K119" t="s">
        <v>5463</v>
      </c>
      <c r="L119">
        <v>4.12</v>
      </c>
      <c r="M119" t="s">
        <v>5470</v>
      </c>
      <c r="N119" t="s">
        <v>5471</v>
      </c>
      <c r="O119" t="s">
        <v>2</v>
      </c>
      <c r="R119" t="s">
        <v>5454</v>
      </c>
      <c r="T119" s="3">
        <v>42452</v>
      </c>
    </row>
    <row r="120" spans="1:20" x14ac:dyDescent="0.3">
      <c r="A120">
        <v>119</v>
      </c>
      <c r="B120">
        <v>2504</v>
      </c>
      <c r="C120" t="s">
        <v>142</v>
      </c>
      <c r="D120">
        <v>9.2100000000000009</v>
      </c>
      <c r="E120" t="s">
        <v>5637</v>
      </c>
      <c r="J120" s="5">
        <v>6.13</v>
      </c>
      <c r="K120" t="s">
        <v>5503</v>
      </c>
      <c r="L120">
        <v>4.12</v>
      </c>
      <c r="M120" t="s">
        <v>5555</v>
      </c>
      <c r="N120" t="s">
        <v>25</v>
      </c>
      <c r="O120" t="s">
        <v>2</v>
      </c>
      <c r="R120" t="s">
        <v>5478</v>
      </c>
      <c r="T120" s="3">
        <v>42452</v>
      </c>
    </row>
    <row r="121" spans="1:20" x14ac:dyDescent="0.3">
      <c r="A121">
        <v>120</v>
      </c>
      <c r="B121">
        <v>3234</v>
      </c>
      <c r="C121" t="s">
        <v>36</v>
      </c>
      <c r="D121">
        <v>84.1</v>
      </c>
      <c r="E121" t="s">
        <v>5444</v>
      </c>
      <c r="J121" s="5">
        <v>5.18</v>
      </c>
      <c r="K121" t="s">
        <v>5469</v>
      </c>
      <c r="L121">
        <v>3.16</v>
      </c>
      <c r="M121" t="s">
        <v>5555</v>
      </c>
      <c r="N121" t="s">
        <v>25</v>
      </c>
      <c r="O121" t="s">
        <v>2</v>
      </c>
      <c r="R121" t="s">
        <v>5442</v>
      </c>
      <c r="T121" s="3">
        <v>42452</v>
      </c>
    </row>
    <row r="122" spans="1:20" x14ac:dyDescent="0.3">
      <c r="A122">
        <v>121</v>
      </c>
      <c r="B122">
        <v>2401</v>
      </c>
      <c r="C122" t="s">
        <v>5638</v>
      </c>
      <c r="D122">
        <v>13.05</v>
      </c>
      <c r="E122" t="s">
        <v>5639</v>
      </c>
      <c r="J122" s="5">
        <v>6.13</v>
      </c>
      <c r="K122" t="s">
        <v>5469</v>
      </c>
      <c r="L122">
        <v>4.12</v>
      </c>
      <c r="M122" t="s">
        <v>5484</v>
      </c>
      <c r="N122" t="s">
        <v>1</v>
      </c>
      <c r="O122" t="s">
        <v>2</v>
      </c>
      <c r="R122" t="s">
        <v>5442</v>
      </c>
      <c r="T122" s="3">
        <v>42453</v>
      </c>
    </row>
    <row r="123" spans="1:20" x14ac:dyDescent="0.3">
      <c r="A123">
        <v>122</v>
      </c>
      <c r="B123">
        <v>9902</v>
      </c>
      <c r="C123" t="s">
        <v>77</v>
      </c>
      <c r="D123">
        <v>10.3</v>
      </c>
      <c r="E123" t="s">
        <v>5640</v>
      </c>
      <c r="J123" s="5">
        <v>6.21</v>
      </c>
      <c r="K123" t="s">
        <v>5440</v>
      </c>
      <c r="L123">
        <v>4.2</v>
      </c>
      <c r="M123" t="s">
        <v>5464</v>
      </c>
      <c r="N123" t="s">
        <v>6</v>
      </c>
      <c r="O123" t="s">
        <v>2</v>
      </c>
      <c r="R123" t="s">
        <v>5442</v>
      </c>
      <c r="T123" s="3">
        <v>42453</v>
      </c>
    </row>
    <row r="124" spans="1:20" x14ac:dyDescent="0.3">
      <c r="A124">
        <v>123</v>
      </c>
      <c r="B124">
        <v>3317</v>
      </c>
      <c r="C124" t="s">
        <v>5641</v>
      </c>
      <c r="D124">
        <v>13.7</v>
      </c>
      <c r="E124" t="s">
        <v>5642</v>
      </c>
      <c r="J124" s="5">
        <v>6.13</v>
      </c>
      <c r="K124" t="s">
        <v>5447</v>
      </c>
      <c r="L124">
        <v>4.12</v>
      </c>
      <c r="M124" t="s">
        <v>5468</v>
      </c>
      <c r="N124" t="s">
        <v>20</v>
      </c>
      <c r="O124" t="s">
        <v>2</v>
      </c>
      <c r="R124" t="s">
        <v>5454</v>
      </c>
      <c r="T124" s="3">
        <v>42453</v>
      </c>
    </row>
    <row r="125" spans="1:20" x14ac:dyDescent="0.3">
      <c r="A125">
        <v>124</v>
      </c>
      <c r="B125">
        <v>5483</v>
      </c>
      <c r="C125" t="s">
        <v>5643</v>
      </c>
      <c r="D125">
        <v>34.5</v>
      </c>
      <c r="E125" t="s">
        <v>5644</v>
      </c>
      <c r="J125" s="5">
        <v>6.28</v>
      </c>
      <c r="K125" t="s">
        <v>5469</v>
      </c>
      <c r="L125">
        <v>4.2699999999999996</v>
      </c>
      <c r="M125" t="s">
        <v>5555</v>
      </c>
      <c r="N125" t="s">
        <v>25</v>
      </c>
      <c r="O125" t="s">
        <v>2</v>
      </c>
      <c r="R125" t="s">
        <v>5442</v>
      </c>
      <c r="T125" s="3">
        <v>42453</v>
      </c>
    </row>
    <row r="126" spans="1:20" x14ac:dyDescent="0.3">
      <c r="A126">
        <v>125</v>
      </c>
      <c r="B126">
        <v>2352</v>
      </c>
      <c r="C126" t="s">
        <v>178</v>
      </c>
      <c r="D126">
        <v>10.45</v>
      </c>
      <c r="E126" t="s">
        <v>5645</v>
      </c>
      <c r="J126" s="5">
        <v>6.15</v>
      </c>
      <c r="K126" t="s">
        <v>5481</v>
      </c>
      <c r="L126">
        <v>4.13</v>
      </c>
      <c r="M126" t="s">
        <v>5496</v>
      </c>
      <c r="N126" t="s">
        <v>26</v>
      </c>
      <c r="O126" t="s">
        <v>2</v>
      </c>
      <c r="R126" t="s">
        <v>5442</v>
      </c>
      <c r="T126" s="3">
        <v>42453</v>
      </c>
    </row>
    <row r="127" spans="1:20" x14ac:dyDescent="0.3">
      <c r="A127">
        <v>126</v>
      </c>
      <c r="B127">
        <v>1440</v>
      </c>
      <c r="C127" t="s">
        <v>594</v>
      </c>
      <c r="D127">
        <v>13.2</v>
      </c>
      <c r="E127" t="s">
        <v>5646</v>
      </c>
      <c r="J127" s="5">
        <v>6.15</v>
      </c>
      <c r="K127" t="s">
        <v>5467</v>
      </c>
      <c r="L127">
        <v>4.13</v>
      </c>
      <c r="M127" t="s">
        <v>3</v>
      </c>
      <c r="N127" t="s">
        <v>4</v>
      </c>
      <c r="O127" t="s">
        <v>2</v>
      </c>
      <c r="R127" t="s">
        <v>5478</v>
      </c>
      <c r="T127" s="3">
        <v>42453</v>
      </c>
    </row>
    <row r="128" spans="1:20" x14ac:dyDescent="0.3">
      <c r="A128">
        <v>127</v>
      </c>
      <c r="B128">
        <v>3017</v>
      </c>
      <c r="C128" t="s">
        <v>5647</v>
      </c>
      <c r="D128">
        <v>27.8</v>
      </c>
      <c r="E128" t="s">
        <v>5573</v>
      </c>
      <c r="J128" s="5">
        <v>6.14</v>
      </c>
      <c r="K128" t="s">
        <v>5524</v>
      </c>
      <c r="L128">
        <v>4.13</v>
      </c>
      <c r="M128" t="s">
        <v>5555</v>
      </c>
      <c r="N128" t="s">
        <v>25</v>
      </c>
      <c r="O128" t="s">
        <v>2</v>
      </c>
      <c r="R128" t="s">
        <v>5454</v>
      </c>
      <c r="T128" s="3">
        <v>42453</v>
      </c>
    </row>
    <row r="129" spans="1:20" x14ac:dyDescent="0.3">
      <c r="A129">
        <v>128</v>
      </c>
      <c r="B129">
        <v>2108</v>
      </c>
      <c r="C129" t="s">
        <v>5648</v>
      </c>
      <c r="D129">
        <v>28.3</v>
      </c>
      <c r="E129" t="s">
        <v>5649</v>
      </c>
      <c r="J129" s="5">
        <v>6.14</v>
      </c>
      <c r="K129" t="s">
        <v>5467</v>
      </c>
      <c r="L129">
        <v>4.13</v>
      </c>
      <c r="M129" t="s">
        <v>3</v>
      </c>
      <c r="N129" t="s">
        <v>4</v>
      </c>
      <c r="O129" t="s">
        <v>2</v>
      </c>
      <c r="R129" t="s">
        <v>5454</v>
      </c>
      <c r="T129" s="3">
        <v>42453</v>
      </c>
    </row>
    <row r="130" spans="1:20" x14ac:dyDescent="0.3">
      <c r="A130">
        <v>129</v>
      </c>
      <c r="B130">
        <v>3285</v>
      </c>
      <c r="C130" t="s">
        <v>104</v>
      </c>
      <c r="D130">
        <v>27.7</v>
      </c>
      <c r="E130" t="s">
        <v>5650</v>
      </c>
      <c r="J130" s="5">
        <v>6.14</v>
      </c>
      <c r="K130" t="s">
        <v>5447</v>
      </c>
      <c r="L130">
        <v>4.13</v>
      </c>
      <c r="M130" t="s">
        <v>5477</v>
      </c>
      <c r="N130" t="s">
        <v>48</v>
      </c>
      <c r="O130" t="s">
        <v>2</v>
      </c>
      <c r="R130" t="s">
        <v>5454</v>
      </c>
      <c r="T130" s="3">
        <v>42453</v>
      </c>
    </row>
    <row r="131" spans="1:20" x14ac:dyDescent="0.3">
      <c r="A131">
        <v>130</v>
      </c>
      <c r="B131">
        <v>4129</v>
      </c>
      <c r="C131" t="s">
        <v>5651</v>
      </c>
      <c r="D131">
        <v>72.5</v>
      </c>
      <c r="E131" t="s">
        <v>5652</v>
      </c>
      <c r="J131" s="5">
        <v>6.22</v>
      </c>
      <c r="K131" t="s">
        <v>5447</v>
      </c>
      <c r="L131">
        <v>4.2</v>
      </c>
      <c r="M131" t="s">
        <v>5477</v>
      </c>
      <c r="N131" t="s">
        <v>48</v>
      </c>
      <c r="O131" t="s">
        <v>2</v>
      </c>
      <c r="R131" t="s">
        <v>5442</v>
      </c>
      <c r="T131" s="3">
        <v>42453</v>
      </c>
    </row>
    <row r="132" spans="1:20" x14ac:dyDescent="0.3">
      <c r="A132">
        <v>131</v>
      </c>
      <c r="B132">
        <v>2349</v>
      </c>
      <c r="C132" t="s">
        <v>5653</v>
      </c>
      <c r="D132">
        <v>2.9</v>
      </c>
      <c r="E132" t="s">
        <v>5654</v>
      </c>
      <c r="J132" s="5">
        <v>6.14</v>
      </c>
      <c r="K132" t="s">
        <v>5469</v>
      </c>
      <c r="L132">
        <v>4.13</v>
      </c>
      <c r="M132" t="s">
        <v>5496</v>
      </c>
      <c r="N132" t="s">
        <v>26</v>
      </c>
      <c r="O132" t="s">
        <v>2</v>
      </c>
      <c r="R132" t="s">
        <v>5442</v>
      </c>
      <c r="T132" s="3">
        <v>42453</v>
      </c>
    </row>
    <row r="133" spans="1:20" x14ac:dyDescent="0.3">
      <c r="A133">
        <v>132</v>
      </c>
      <c r="B133">
        <v>2316</v>
      </c>
      <c r="C133" t="s">
        <v>175</v>
      </c>
      <c r="D133">
        <v>28.85</v>
      </c>
      <c r="E133" t="s">
        <v>5655</v>
      </c>
      <c r="J133" s="5">
        <v>6.16</v>
      </c>
      <c r="K133" t="s">
        <v>5524</v>
      </c>
      <c r="L133">
        <v>4.13</v>
      </c>
      <c r="M133" t="s">
        <v>3</v>
      </c>
      <c r="N133" t="s">
        <v>4</v>
      </c>
      <c r="O133" t="s">
        <v>2</v>
      </c>
      <c r="R133" t="s">
        <v>5442</v>
      </c>
      <c r="T133" s="3">
        <v>42453</v>
      </c>
    </row>
    <row r="134" spans="1:20" x14ac:dyDescent="0.3">
      <c r="A134">
        <v>133</v>
      </c>
      <c r="B134">
        <v>1312</v>
      </c>
      <c r="C134" t="s">
        <v>5656</v>
      </c>
      <c r="D134">
        <v>17.95</v>
      </c>
      <c r="E134" t="s">
        <v>5530</v>
      </c>
      <c r="J134" s="5">
        <v>6.14</v>
      </c>
      <c r="K134" t="s">
        <v>5524</v>
      </c>
      <c r="L134">
        <v>4.13</v>
      </c>
      <c r="M134" t="s">
        <v>5484</v>
      </c>
      <c r="N134" t="s">
        <v>1</v>
      </c>
      <c r="O134" t="s">
        <v>2</v>
      </c>
      <c r="R134" t="s">
        <v>5442</v>
      </c>
      <c r="T134" s="3">
        <v>42453</v>
      </c>
    </row>
    <row r="135" spans="1:20" x14ac:dyDescent="0.3">
      <c r="A135">
        <v>134</v>
      </c>
      <c r="B135">
        <v>2314</v>
      </c>
      <c r="C135" t="s">
        <v>5657</v>
      </c>
      <c r="D135">
        <v>9.74</v>
      </c>
      <c r="E135" t="s">
        <v>5658</v>
      </c>
      <c r="J135" s="5">
        <v>6.14</v>
      </c>
      <c r="K135" t="s">
        <v>5469</v>
      </c>
      <c r="L135">
        <v>4.13</v>
      </c>
      <c r="M135" t="s">
        <v>5496</v>
      </c>
      <c r="N135" t="s">
        <v>26</v>
      </c>
      <c r="O135" t="s">
        <v>2</v>
      </c>
      <c r="R135" t="s">
        <v>5478</v>
      </c>
      <c r="T135" s="3">
        <v>42453</v>
      </c>
    </row>
    <row r="136" spans="1:20" x14ac:dyDescent="0.3">
      <c r="A136">
        <v>135</v>
      </c>
      <c r="B136">
        <v>4716</v>
      </c>
      <c r="C136" t="s">
        <v>317</v>
      </c>
      <c r="D136">
        <v>10.35</v>
      </c>
      <c r="E136" t="s">
        <v>5659</v>
      </c>
      <c r="J136" s="5">
        <v>6.17</v>
      </c>
      <c r="K136" t="s">
        <v>5524</v>
      </c>
      <c r="L136">
        <v>4.1399999999999997</v>
      </c>
      <c r="M136" t="s">
        <v>3</v>
      </c>
      <c r="N136" t="s">
        <v>4</v>
      </c>
      <c r="O136" t="s">
        <v>2</v>
      </c>
      <c r="R136" t="s">
        <v>5478</v>
      </c>
      <c r="T136" s="3">
        <v>42471</v>
      </c>
    </row>
    <row r="137" spans="1:20" x14ac:dyDescent="0.3">
      <c r="A137">
        <v>136</v>
      </c>
      <c r="B137">
        <v>2426</v>
      </c>
      <c r="C137" t="s">
        <v>101</v>
      </c>
      <c r="D137">
        <v>13.7</v>
      </c>
      <c r="E137" t="s">
        <v>5660</v>
      </c>
      <c r="J137" s="5">
        <v>6.28</v>
      </c>
      <c r="K137" t="s">
        <v>5503</v>
      </c>
      <c r="L137">
        <v>4.2699999999999996</v>
      </c>
      <c r="M137" t="s">
        <v>50</v>
      </c>
      <c r="N137" t="s">
        <v>51</v>
      </c>
      <c r="O137" t="s">
        <v>2</v>
      </c>
      <c r="R137" t="s">
        <v>5442</v>
      </c>
      <c r="T137" s="3">
        <v>42453</v>
      </c>
    </row>
    <row r="138" spans="1:20" x14ac:dyDescent="0.3">
      <c r="A138">
        <v>137</v>
      </c>
      <c r="B138">
        <v>6243</v>
      </c>
      <c r="C138" t="s">
        <v>228</v>
      </c>
      <c r="D138">
        <v>17.75</v>
      </c>
      <c r="E138" t="s">
        <v>5444</v>
      </c>
      <c r="J138" s="5">
        <v>6.14</v>
      </c>
      <c r="K138" t="s">
        <v>5469</v>
      </c>
      <c r="L138">
        <v>4.13</v>
      </c>
      <c r="M138" t="s">
        <v>5555</v>
      </c>
      <c r="N138" t="s">
        <v>25</v>
      </c>
      <c r="O138" t="s">
        <v>2</v>
      </c>
      <c r="R138" t="s">
        <v>5454</v>
      </c>
      <c r="T138" s="3">
        <v>42453</v>
      </c>
    </row>
    <row r="139" spans="1:20" x14ac:dyDescent="0.3">
      <c r="A139">
        <v>138</v>
      </c>
      <c r="B139">
        <v>3622</v>
      </c>
      <c r="C139" t="s">
        <v>229</v>
      </c>
      <c r="D139">
        <v>10.6</v>
      </c>
      <c r="E139" t="s">
        <v>5456</v>
      </c>
      <c r="J139" s="5">
        <v>6.13</v>
      </c>
      <c r="K139" t="s">
        <v>5481</v>
      </c>
      <c r="L139">
        <v>4.12</v>
      </c>
      <c r="M139" t="s">
        <v>5491</v>
      </c>
      <c r="N139" t="s">
        <v>122</v>
      </c>
      <c r="O139" t="s">
        <v>2</v>
      </c>
      <c r="R139" t="s">
        <v>5442</v>
      </c>
      <c r="T139" s="3">
        <v>42453</v>
      </c>
    </row>
    <row r="140" spans="1:20" x14ac:dyDescent="0.3">
      <c r="A140">
        <v>139</v>
      </c>
      <c r="B140">
        <v>1538</v>
      </c>
      <c r="C140" t="s">
        <v>172</v>
      </c>
      <c r="D140">
        <v>5.24</v>
      </c>
      <c r="E140" t="s">
        <v>5573</v>
      </c>
      <c r="J140" s="5">
        <v>6.15</v>
      </c>
      <c r="K140" t="s">
        <v>5481</v>
      </c>
      <c r="L140">
        <v>4.13</v>
      </c>
      <c r="M140" t="s">
        <v>5555</v>
      </c>
      <c r="N140" t="s">
        <v>25</v>
      </c>
      <c r="O140" t="s">
        <v>2</v>
      </c>
      <c r="R140" t="s">
        <v>5454</v>
      </c>
      <c r="T140" s="3">
        <v>42453</v>
      </c>
    </row>
    <row r="141" spans="1:20" x14ac:dyDescent="0.3">
      <c r="A141">
        <v>140</v>
      </c>
      <c r="B141">
        <v>9911</v>
      </c>
      <c r="C141" t="s">
        <v>5661</v>
      </c>
      <c r="D141">
        <v>20.05</v>
      </c>
      <c r="E141" t="s">
        <v>5662</v>
      </c>
      <c r="J141" s="5">
        <v>6.13</v>
      </c>
      <c r="K141" t="s">
        <v>5463</v>
      </c>
      <c r="L141">
        <v>4.12</v>
      </c>
      <c r="M141" t="s">
        <v>5484</v>
      </c>
      <c r="N141" t="s">
        <v>1</v>
      </c>
      <c r="O141" t="s">
        <v>2</v>
      </c>
      <c r="R141" t="s">
        <v>5454</v>
      </c>
      <c r="T141" s="3">
        <v>42453</v>
      </c>
    </row>
    <row r="142" spans="1:20" x14ac:dyDescent="0.3">
      <c r="A142">
        <v>141</v>
      </c>
      <c r="B142">
        <v>2613</v>
      </c>
      <c r="C142" t="s">
        <v>296</v>
      </c>
      <c r="D142">
        <v>13.3</v>
      </c>
      <c r="E142" t="s">
        <v>5456</v>
      </c>
      <c r="J142" s="5">
        <v>6.15</v>
      </c>
      <c r="K142" t="s">
        <v>5463</v>
      </c>
      <c r="L142">
        <v>4.13</v>
      </c>
      <c r="M142" t="s">
        <v>5484</v>
      </c>
      <c r="N142" t="s">
        <v>1</v>
      </c>
      <c r="O142" t="s">
        <v>2</v>
      </c>
      <c r="R142" t="s">
        <v>5442</v>
      </c>
      <c r="T142" s="3">
        <v>42453</v>
      </c>
    </row>
    <row r="143" spans="1:20" x14ac:dyDescent="0.3">
      <c r="A143">
        <v>142</v>
      </c>
      <c r="B143">
        <v>1604</v>
      </c>
      <c r="C143" t="s">
        <v>118</v>
      </c>
      <c r="D143">
        <v>13.55</v>
      </c>
      <c r="E143" t="s">
        <v>5663</v>
      </c>
      <c r="J143" s="5">
        <v>6.15</v>
      </c>
      <c r="K143" t="s">
        <v>5481</v>
      </c>
      <c r="L143">
        <v>4.13</v>
      </c>
      <c r="M143" t="s">
        <v>5555</v>
      </c>
      <c r="N143" t="s">
        <v>25</v>
      </c>
      <c r="O143" t="s">
        <v>2</v>
      </c>
      <c r="R143" t="s">
        <v>5442</v>
      </c>
      <c r="T143" s="3">
        <v>42453</v>
      </c>
    </row>
    <row r="144" spans="1:20" x14ac:dyDescent="0.3">
      <c r="A144">
        <v>145</v>
      </c>
      <c r="B144">
        <v>6231</v>
      </c>
      <c r="C144" t="s">
        <v>9</v>
      </c>
      <c r="D144">
        <v>30.7</v>
      </c>
      <c r="E144" t="s">
        <v>5456</v>
      </c>
      <c r="J144" s="5">
        <v>6.14</v>
      </c>
      <c r="K144" t="s">
        <v>5440</v>
      </c>
      <c r="L144">
        <v>4.13</v>
      </c>
      <c r="M144" t="s">
        <v>5457</v>
      </c>
      <c r="N144" t="s">
        <v>10</v>
      </c>
      <c r="O144" t="s">
        <v>2</v>
      </c>
      <c r="R144" t="s">
        <v>5454</v>
      </c>
      <c r="T144" s="3">
        <v>42454</v>
      </c>
    </row>
    <row r="145" spans="1:21" x14ac:dyDescent="0.3">
      <c r="A145">
        <v>146</v>
      </c>
      <c r="B145">
        <v>2601</v>
      </c>
      <c r="C145" t="s">
        <v>184</v>
      </c>
      <c r="D145">
        <v>9.11</v>
      </c>
      <c r="E145" t="s">
        <v>5664</v>
      </c>
      <c r="J145" s="5">
        <v>6.23</v>
      </c>
      <c r="K145" t="s">
        <v>5440</v>
      </c>
      <c r="L145">
        <v>4.2</v>
      </c>
      <c r="M145" t="s">
        <v>5555</v>
      </c>
      <c r="N145" t="s">
        <v>25</v>
      </c>
      <c r="O145" t="s">
        <v>2</v>
      </c>
      <c r="R145" t="s">
        <v>5442</v>
      </c>
      <c r="T145" s="3">
        <v>42454</v>
      </c>
    </row>
    <row r="146" spans="1:21" x14ac:dyDescent="0.3">
      <c r="A146">
        <v>147</v>
      </c>
      <c r="B146">
        <v>1441</v>
      </c>
      <c r="C146" t="s">
        <v>5665</v>
      </c>
      <c r="D146">
        <v>7.13</v>
      </c>
      <c r="E146" t="s">
        <v>5666</v>
      </c>
      <c r="J146" s="5">
        <v>6.16</v>
      </c>
      <c r="K146" t="s">
        <v>5463</v>
      </c>
      <c r="L146">
        <v>4.13</v>
      </c>
      <c r="M146" t="s">
        <v>5482</v>
      </c>
      <c r="N146" t="s">
        <v>14</v>
      </c>
      <c r="O146" t="s">
        <v>2</v>
      </c>
      <c r="R146" t="s">
        <v>5442</v>
      </c>
      <c r="T146" s="3">
        <v>42454</v>
      </c>
    </row>
    <row r="147" spans="1:21" x14ac:dyDescent="0.3">
      <c r="A147">
        <v>148</v>
      </c>
      <c r="B147">
        <v>5515</v>
      </c>
      <c r="C147" t="s">
        <v>5667</v>
      </c>
      <c r="D147">
        <v>8.9</v>
      </c>
      <c r="E147" t="s">
        <v>5668</v>
      </c>
      <c r="J147" s="5">
        <v>6.21</v>
      </c>
      <c r="K147" t="s">
        <v>5440</v>
      </c>
      <c r="L147">
        <v>4.2</v>
      </c>
      <c r="M147" t="s">
        <v>5555</v>
      </c>
      <c r="N147" t="s">
        <v>25</v>
      </c>
      <c r="O147" t="s">
        <v>2</v>
      </c>
      <c r="R147" t="s">
        <v>5454</v>
      </c>
      <c r="T147" s="3">
        <v>42454</v>
      </c>
    </row>
    <row r="148" spans="1:21" x14ac:dyDescent="0.3">
      <c r="A148">
        <v>149</v>
      </c>
      <c r="B148">
        <v>1215</v>
      </c>
      <c r="C148" t="s">
        <v>5669</v>
      </c>
      <c r="D148">
        <v>27.85</v>
      </c>
      <c r="E148" t="s">
        <v>5670</v>
      </c>
      <c r="J148" s="5">
        <v>6.17</v>
      </c>
      <c r="K148" t="s">
        <v>5671</v>
      </c>
      <c r="L148">
        <v>4.1399999999999997</v>
      </c>
      <c r="M148" t="s">
        <v>5484</v>
      </c>
      <c r="N148" t="s">
        <v>1</v>
      </c>
      <c r="O148" t="s">
        <v>2</v>
      </c>
      <c r="R148" t="s">
        <v>5442</v>
      </c>
      <c r="T148" s="3">
        <v>42454</v>
      </c>
    </row>
    <row r="149" spans="1:21" x14ac:dyDescent="0.3">
      <c r="A149">
        <v>150</v>
      </c>
      <c r="B149">
        <v>2855</v>
      </c>
      <c r="C149" t="s">
        <v>5672</v>
      </c>
      <c r="D149">
        <v>12.95</v>
      </c>
      <c r="E149" t="s">
        <v>5673</v>
      </c>
      <c r="J149" s="5">
        <v>6.14</v>
      </c>
      <c r="K149" t="s">
        <v>5440</v>
      </c>
      <c r="L149">
        <v>4.13</v>
      </c>
      <c r="M149" t="s">
        <v>3</v>
      </c>
      <c r="N149" t="s">
        <v>4</v>
      </c>
      <c r="O149" t="s">
        <v>2</v>
      </c>
      <c r="R149" t="s">
        <v>5442</v>
      </c>
      <c r="T149" s="3">
        <v>42454</v>
      </c>
    </row>
    <row r="150" spans="1:21" x14ac:dyDescent="0.3">
      <c r="A150">
        <v>151</v>
      </c>
      <c r="B150">
        <v>2485</v>
      </c>
      <c r="C150" t="s">
        <v>5674</v>
      </c>
      <c r="D150">
        <v>49.3</v>
      </c>
      <c r="E150" t="s">
        <v>5675</v>
      </c>
      <c r="J150" s="5">
        <v>6.14</v>
      </c>
      <c r="K150" t="s">
        <v>5469</v>
      </c>
      <c r="L150">
        <v>4.13</v>
      </c>
      <c r="M150" t="s">
        <v>5555</v>
      </c>
      <c r="N150" t="s">
        <v>25</v>
      </c>
      <c r="O150" t="s">
        <v>2</v>
      </c>
      <c r="R150" t="s">
        <v>5478</v>
      </c>
      <c r="T150" s="3">
        <v>42454</v>
      </c>
    </row>
    <row r="151" spans="1:21" x14ac:dyDescent="0.3">
      <c r="A151">
        <v>152</v>
      </c>
      <c r="B151">
        <v>1707</v>
      </c>
      <c r="C151" t="s">
        <v>273</v>
      </c>
      <c r="D151">
        <v>198</v>
      </c>
      <c r="E151" t="s">
        <v>5676</v>
      </c>
      <c r="J151" s="5">
        <v>6.16</v>
      </c>
      <c r="K151" t="s">
        <v>5481</v>
      </c>
      <c r="L151">
        <v>4.13</v>
      </c>
      <c r="M151" t="s">
        <v>5482</v>
      </c>
      <c r="N151" t="s">
        <v>14</v>
      </c>
      <c r="O151" t="s">
        <v>2</v>
      </c>
      <c r="R151" t="s">
        <v>5442</v>
      </c>
      <c r="T151" s="3">
        <v>42454</v>
      </c>
    </row>
    <row r="152" spans="1:21" x14ac:dyDescent="0.3">
      <c r="A152">
        <v>153</v>
      </c>
      <c r="B152">
        <v>5443</v>
      </c>
      <c r="C152" t="s">
        <v>5677</v>
      </c>
      <c r="D152">
        <v>15.15</v>
      </c>
      <c r="E152" t="s">
        <v>5678</v>
      </c>
      <c r="J152" s="5">
        <v>6.27</v>
      </c>
      <c r="K152" t="s">
        <v>5469</v>
      </c>
      <c r="L152">
        <v>4.26</v>
      </c>
      <c r="M152" t="s">
        <v>3</v>
      </c>
      <c r="N152" t="s">
        <v>4</v>
      </c>
      <c r="O152" t="s">
        <v>2</v>
      </c>
      <c r="R152" t="s">
        <v>5442</v>
      </c>
      <c r="T152" s="3">
        <v>42454</v>
      </c>
    </row>
    <row r="153" spans="1:21" x14ac:dyDescent="0.3">
      <c r="A153">
        <v>154</v>
      </c>
      <c r="B153">
        <v>6015</v>
      </c>
      <c r="C153" t="s">
        <v>5679</v>
      </c>
      <c r="D153">
        <v>5.95</v>
      </c>
      <c r="E153" t="s">
        <v>5680</v>
      </c>
      <c r="J153" s="5">
        <v>5.16</v>
      </c>
      <c r="K153" t="s">
        <v>5440</v>
      </c>
      <c r="L153">
        <v>3.15</v>
      </c>
      <c r="M153" t="s">
        <v>16</v>
      </c>
      <c r="N153" t="s">
        <v>17</v>
      </c>
      <c r="O153" t="s">
        <v>2</v>
      </c>
      <c r="R153" t="s">
        <v>5442</v>
      </c>
      <c r="T153" s="3">
        <v>42474</v>
      </c>
      <c r="U153" t="s">
        <v>5998</v>
      </c>
    </row>
    <row r="154" spans="1:21" x14ac:dyDescent="0.3">
      <c r="A154">
        <v>155</v>
      </c>
      <c r="B154">
        <v>2340</v>
      </c>
      <c r="C154" t="s">
        <v>5681</v>
      </c>
      <c r="D154">
        <v>11.4</v>
      </c>
      <c r="E154" t="s">
        <v>5682</v>
      </c>
      <c r="J154" s="5">
        <v>6.24</v>
      </c>
      <c r="K154" t="s">
        <v>5469</v>
      </c>
      <c r="L154">
        <v>4.21</v>
      </c>
      <c r="M154" t="s">
        <v>5496</v>
      </c>
      <c r="N154" t="s">
        <v>26</v>
      </c>
      <c r="O154" t="s">
        <v>2</v>
      </c>
      <c r="R154" t="s">
        <v>5442</v>
      </c>
      <c r="T154" s="3">
        <v>42454</v>
      </c>
    </row>
    <row r="155" spans="1:21" x14ac:dyDescent="0.3">
      <c r="A155">
        <v>156</v>
      </c>
      <c r="B155">
        <v>2520</v>
      </c>
      <c r="C155" t="s">
        <v>202</v>
      </c>
      <c r="D155">
        <v>16.649999999999999</v>
      </c>
      <c r="E155" t="s">
        <v>5683</v>
      </c>
      <c r="J155" s="5">
        <v>6.28</v>
      </c>
      <c r="K155" t="s">
        <v>5440</v>
      </c>
      <c r="L155">
        <v>4.2699999999999996</v>
      </c>
      <c r="M155" t="s">
        <v>5484</v>
      </c>
      <c r="N155" t="s">
        <v>1</v>
      </c>
      <c r="O155" t="s">
        <v>2</v>
      </c>
      <c r="R155" t="s">
        <v>5442</v>
      </c>
      <c r="T155" s="3">
        <v>42454</v>
      </c>
    </row>
    <row r="156" spans="1:21" x14ac:dyDescent="0.3">
      <c r="A156">
        <v>157</v>
      </c>
      <c r="B156">
        <v>4102</v>
      </c>
      <c r="C156" t="s">
        <v>5684</v>
      </c>
      <c r="D156">
        <v>22.35</v>
      </c>
      <c r="E156" t="s">
        <v>5685</v>
      </c>
      <c r="J156" s="5">
        <v>6.15</v>
      </c>
      <c r="K156" t="s">
        <v>5463</v>
      </c>
      <c r="L156">
        <v>4.13</v>
      </c>
      <c r="M156" t="s">
        <v>5555</v>
      </c>
      <c r="N156" t="s">
        <v>25</v>
      </c>
      <c r="O156" t="s">
        <v>2</v>
      </c>
      <c r="R156" t="s">
        <v>5454</v>
      </c>
      <c r="T156" s="3">
        <v>42454</v>
      </c>
    </row>
    <row r="157" spans="1:21" x14ac:dyDescent="0.3">
      <c r="A157">
        <v>158</v>
      </c>
      <c r="B157">
        <v>8249</v>
      </c>
      <c r="C157" t="s">
        <v>5686</v>
      </c>
      <c r="D157">
        <v>21.6</v>
      </c>
      <c r="E157" t="s">
        <v>5687</v>
      </c>
      <c r="J157" s="5">
        <v>6.15</v>
      </c>
      <c r="K157" t="s">
        <v>5440</v>
      </c>
      <c r="L157">
        <v>4.13</v>
      </c>
      <c r="M157" t="s">
        <v>5555</v>
      </c>
      <c r="N157" t="s">
        <v>25</v>
      </c>
      <c r="O157" t="s">
        <v>2</v>
      </c>
      <c r="R157" t="s">
        <v>5442</v>
      </c>
      <c r="T157" s="3">
        <v>42454</v>
      </c>
    </row>
    <row r="158" spans="1:21" x14ac:dyDescent="0.3">
      <c r="A158">
        <v>159</v>
      </c>
      <c r="B158">
        <v>4114</v>
      </c>
      <c r="C158" t="s">
        <v>5688</v>
      </c>
      <c r="D158">
        <v>34.549999999999997</v>
      </c>
      <c r="E158" t="s">
        <v>5689</v>
      </c>
      <c r="J158" s="5">
        <v>5.19</v>
      </c>
      <c r="K158" t="s">
        <v>5469</v>
      </c>
      <c r="L158">
        <v>3.16</v>
      </c>
      <c r="M158" t="s">
        <v>5555</v>
      </c>
      <c r="N158" t="s">
        <v>25</v>
      </c>
      <c r="O158" t="s">
        <v>2</v>
      </c>
      <c r="R158" t="s">
        <v>5454</v>
      </c>
      <c r="T158" s="3">
        <v>42454</v>
      </c>
    </row>
    <row r="159" spans="1:21" x14ac:dyDescent="0.3">
      <c r="A159">
        <v>160</v>
      </c>
      <c r="B159">
        <v>6150</v>
      </c>
      <c r="C159" t="s">
        <v>5690</v>
      </c>
      <c r="D159">
        <v>8.64</v>
      </c>
      <c r="E159" t="s">
        <v>5691</v>
      </c>
      <c r="J159" s="5">
        <v>6.13</v>
      </c>
      <c r="K159" t="s">
        <v>5447</v>
      </c>
      <c r="L159">
        <v>4.12</v>
      </c>
      <c r="M159" t="s">
        <v>50</v>
      </c>
      <c r="N159" t="s">
        <v>51</v>
      </c>
      <c r="O159" t="s">
        <v>2</v>
      </c>
      <c r="R159" t="s">
        <v>5442</v>
      </c>
      <c r="T159" s="3">
        <v>42454</v>
      </c>
    </row>
    <row r="160" spans="1:21" x14ac:dyDescent="0.3">
      <c r="A160">
        <v>161</v>
      </c>
      <c r="B160">
        <v>2475</v>
      </c>
      <c r="C160" t="s">
        <v>221</v>
      </c>
      <c r="D160">
        <v>0.61</v>
      </c>
      <c r="E160" t="s">
        <v>5692</v>
      </c>
      <c r="J160" s="5">
        <v>6.22</v>
      </c>
      <c r="K160" t="s">
        <v>5481</v>
      </c>
      <c r="L160">
        <v>4.2</v>
      </c>
      <c r="M160" t="s">
        <v>12</v>
      </c>
      <c r="N160" t="s">
        <v>5693</v>
      </c>
      <c r="O160" t="s">
        <v>2</v>
      </c>
      <c r="R160" t="s">
        <v>5478</v>
      </c>
      <c r="T160" s="3">
        <v>42454</v>
      </c>
    </row>
    <row r="161" spans="1:20" x14ac:dyDescent="0.3">
      <c r="A161">
        <v>162</v>
      </c>
      <c r="B161">
        <v>1612</v>
      </c>
      <c r="C161" t="s">
        <v>216</v>
      </c>
      <c r="D161">
        <v>8.4499999999999993</v>
      </c>
      <c r="E161" t="s">
        <v>5694</v>
      </c>
      <c r="J161" s="5">
        <v>6.21</v>
      </c>
      <c r="K161" t="s">
        <v>5481</v>
      </c>
      <c r="L161">
        <v>4.2</v>
      </c>
      <c r="M161" t="s">
        <v>5470</v>
      </c>
      <c r="N161" t="s">
        <v>5471</v>
      </c>
      <c r="O161" t="s">
        <v>2</v>
      </c>
      <c r="R161" t="s">
        <v>5478</v>
      </c>
      <c r="T161" s="3">
        <v>42454</v>
      </c>
    </row>
    <row r="162" spans="1:20" x14ac:dyDescent="0.3">
      <c r="A162">
        <v>163</v>
      </c>
      <c r="B162">
        <v>1724</v>
      </c>
      <c r="C162" t="s">
        <v>855</v>
      </c>
      <c r="D162">
        <v>17.3</v>
      </c>
      <c r="E162" t="s">
        <v>5695</v>
      </c>
      <c r="J162" s="5">
        <v>6.16</v>
      </c>
      <c r="K162" t="s">
        <v>5481</v>
      </c>
      <c r="L162">
        <v>4.13</v>
      </c>
      <c r="M162" t="s">
        <v>5555</v>
      </c>
      <c r="N162" t="s">
        <v>25</v>
      </c>
      <c r="O162" t="s">
        <v>2</v>
      </c>
      <c r="R162" t="s">
        <v>5454</v>
      </c>
      <c r="T162" s="3">
        <v>42454</v>
      </c>
    </row>
    <row r="163" spans="1:20" x14ac:dyDescent="0.3">
      <c r="A163">
        <v>164</v>
      </c>
      <c r="B163">
        <v>3490</v>
      </c>
      <c r="C163" t="s">
        <v>270</v>
      </c>
      <c r="D163">
        <v>68.8</v>
      </c>
      <c r="E163" t="s">
        <v>5696</v>
      </c>
      <c r="J163" s="5">
        <v>5.18</v>
      </c>
      <c r="K163" t="s">
        <v>5447</v>
      </c>
      <c r="L163">
        <v>3.16</v>
      </c>
      <c r="M163" t="s">
        <v>5464</v>
      </c>
      <c r="N163" t="s">
        <v>6</v>
      </c>
      <c r="O163" t="s">
        <v>2</v>
      </c>
      <c r="R163" t="s">
        <v>5442</v>
      </c>
      <c r="T163" s="3">
        <v>42454</v>
      </c>
    </row>
    <row r="164" spans="1:20" x14ac:dyDescent="0.3">
      <c r="A164">
        <v>165</v>
      </c>
      <c r="B164">
        <v>3615</v>
      </c>
      <c r="C164" t="s">
        <v>5697</v>
      </c>
      <c r="D164">
        <v>20.3</v>
      </c>
      <c r="E164" t="s">
        <v>5654</v>
      </c>
      <c r="J164" s="5">
        <v>6.13</v>
      </c>
      <c r="K164" t="s">
        <v>5469</v>
      </c>
      <c r="L164">
        <v>4.12</v>
      </c>
      <c r="M164" t="s">
        <v>5496</v>
      </c>
      <c r="N164" t="s">
        <v>26</v>
      </c>
      <c r="O164" t="s">
        <v>2</v>
      </c>
      <c r="R164" t="s">
        <v>5442</v>
      </c>
      <c r="T164" s="3">
        <v>42454</v>
      </c>
    </row>
    <row r="165" spans="1:20" x14ac:dyDescent="0.3">
      <c r="A165">
        <v>166</v>
      </c>
      <c r="B165">
        <v>5371</v>
      </c>
      <c r="C165" t="s">
        <v>125</v>
      </c>
      <c r="D165">
        <v>29.9</v>
      </c>
      <c r="E165" t="s">
        <v>5698</v>
      </c>
      <c r="J165" s="5">
        <v>6.15</v>
      </c>
      <c r="K165" t="s">
        <v>5503</v>
      </c>
      <c r="L165">
        <v>4.13</v>
      </c>
      <c r="M165" t="s">
        <v>5555</v>
      </c>
      <c r="N165" t="s">
        <v>25</v>
      </c>
      <c r="O165" t="s">
        <v>2</v>
      </c>
      <c r="R165" t="s">
        <v>5478</v>
      </c>
      <c r="T165" s="3">
        <v>42454</v>
      </c>
    </row>
    <row r="166" spans="1:20" x14ac:dyDescent="0.3">
      <c r="A166">
        <v>167</v>
      </c>
      <c r="B166">
        <v>6112</v>
      </c>
      <c r="C166" t="s">
        <v>234</v>
      </c>
      <c r="D166">
        <v>27.5</v>
      </c>
      <c r="E166" t="s">
        <v>5699</v>
      </c>
      <c r="J166" s="5">
        <v>6.13</v>
      </c>
      <c r="K166" t="s">
        <v>5440</v>
      </c>
      <c r="L166">
        <v>4.12</v>
      </c>
      <c r="M166" t="s">
        <v>5464</v>
      </c>
      <c r="N166" t="s">
        <v>6</v>
      </c>
      <c r="O166" t="s">
        <v>2</v>
      </c>
      <c r="R166" t="s">
        <v>5454</v>
      </c>
      <c r="T166" s="3">
        <v>42454</v>
      </c>
    </row>
    <row r="167" spans="1:20" x14ac:dyDescent="0.3">
      <c r="A167">
        <v>168</v>
      </c>
      <c r="B167">
        <v>6108</v>
      </c>
      <c r="C167" t="s">
        <v>5700</v>
      </c>
      <c r="D167">
        <v>16.05</v>
      </c>
      <c r="E167" t="s">
        <v>5456</v>
      </c>
      <c r="J167" s="5">
        <v>6.21</v>
      </c>
      <c r="K167" t="s">
        <v>5447</v>
      </c>
      <c r="L167">
        <v>4.2</v>
      </c>
      <c r="M167" t="s">
        <v>5457</v>
      </c>
      <c r="N167" t="s">
        <v>10</v>
      </c>
      <c r="O167" t="s">
        <v>2</v>
      </c>
      <c r="R167" t="s">
        <v>5454</v>
      </c>
      <c r="T167" s="3">
        <v>42454</v>
      </c>
    </row>
    <row r="168" spans="1:20" x14ac:dyDescent="0.3">
      <c r="A168">
        <v>169</v>
      </c>
      <c r="B168">
        <v>2419</v>
      </c>
      <c r="C168" t="s">
        <v>99</v>
      </c>
      <c r="D168">
        <v>19.2</v>
      </c>
      <c r="E168" t="s">
        <v>5701</v>
      </c>
      <c r="J168" s="5">
        <v>6.14</v>
      </c>
      <c r="K168" t="s">
        <v>5469</v>
      </c>
      <c r="L168">
        <v>4.13</v>
      </c>
      <c r="M168" t="s">
        <v>5482</v>
      </c>
      <c r="N168" t="s">
        <v>14</v>
      </c>
      <c r="O168" t="s">
        <v>2</v>
      </c>
      <c r="R168" t="s">
        <v>5442</v>
      </c>
      <c r="T168" s="3">
        <v>42454</v>
      </c>
    </row>
    <row r="169" spans="1:20" x14ac:dyDescent="0.3">
      <c r="A169">
        <v>170</v>
      </c>
      <c r="B169">
        <v>2431</v>
      </c>
      <c r="C169" t="s">
        <v>5702</v>
      </c>
      <c r="D169">
        <v>14.45</v>
      </c>
      <c r="E169" t="s">
        <v>5703</v>
      </c>
      <c r="J169" s="5">
        <v>6.14</v>
      </c>
      <c r="K169" t="s">
        <v>5440</v>
      </c>
      <c r="L169">
        <v>4.13</v>
      </c>
      <c r="M169" t="s">
        <v>5484</v>
      </c>
      <c r="N169" t="s">
        <v>1</v>
      </c>
      <c r="O169" t="s">
        <v>2</v>
      </c>
      <c r="R169" t="s">
        <v>5442</v>
      </c>
      <c r="T169" s="3">
        <v>42454</v>
      </c>
    </row>
    <row r="170" spans="1:20" x14ac:dyDescent="0.3">
      <c r="A170">
        <v>171</v>
      </c>
      <c r="B170">
        <v>6167</v>
      </c>
      <c r="C170" t="s">
        <v>5704</v>
      </c>
      <c r="D170">
        <v>5.65</v>
      </c>
      <c r="E170" t="s">
        <v>5444</v>
      </c>
      <c r="J170" s="5">
        <v>6.21</v>
      </c>
      <c r="K170" t="s">
        <v>5463</v>
      </c>
      <c r="L170">
        <v>4.2</v>
      </c>
      <c r="M170" t="s">
        <v>5464</v>
      </c>
      <c r="N170" t="s">
        <v>6</v>
      </c>
      <c r="O170" t="s">
        <v>2</v>
      </c>
      <c r="R170" t="s">
        <v>5442</v>
      </c>
      <c r="T170" s="3">
        <v>42454</v>
      </c>
    </row>
    <row r="171" spans="1:20" x14ac:dyDescent="0.3">
      <c r="A171">
        <v>172</v>
      </c>
      <c r="B171">
        <v>5392</v>
      </c>
      <c r="C171" t="s">
        <v>5705</v>
      </c>
      <c r="D171">
        <v>48.25</v>
      </c>
      <c r="E171" t="s">
        <v>5706</v>
      </c>
      <c r="J171" s="5">
        <v>6.21</v>
      </c>
      <c r="K171" t="s">
        <v>5440</v>
      </c>
      <c r="L171">
        <v>4.2</v>
      </c>
      <c r="M171" t="s">
        <v>5482</v>
      </c>
      <c r="N171" t="s">
        <v>14</v>
      </c>
      <c r="O171" t="s">
        <v>2</v>
      </c>
      <c r="R171" t="s">
        <v>5442</v>
      </c>
      <c r="T171" s="3">
        <v>42454</v>
      </c>
    </row>
    <row r="172" spans="1:20" x14ac:dyDescent="0.3">
      <c r="A172">
        <v>173</v>
      </c>
      <c r="B172">
        <v>1410</v>
      </c>
      <c r="C172" t="s">
        <v>109</v>
      </c>
      <c r="D172">
        <v>24.35</v>
      </c>
      <c r="E172" t="s">
        <v>5707</v>
      </c>
      <c r="J172" s="5">
        <v>6.16</v>
      </c>
      <c r="K172" t="s">
        <v>5481</v>
      </c>
      <c r="L172">
        <v>4.13</v>
      </c>
      <c r="M172" t="s">
        <v>5484</v>
      </c>
      <c r="N172" t="s">
        <v>1</v>
      </c>
      <c r="O172" t="s">
        <v>2</v>
      </c>
      <c r="R172" t="s">
        <v>5442</v>
      </c>
      <c r="T172" s="3">
        <v>42454</v>
      </c>
    </row>
    <row r="173" spans="1:20" x14ac:dyDescent="0.3">
      <c r="A173">
        <v>174</v>
      </c>
      <c r="B173">
        <v>3483</v>
      </c>
      <c r="C173" t="s">
        <v>80</v>
      </c>
      <c r="D173">
        <v>18.7</v>
      </c>
      <c r="E173" t="s">
        <v>5706</v>
      </c>
      <c r="J173" s="5">
        <v>6.13</v>
      </c>
      <c r="K173" t="s">
        <v>5469</v>
      </c>
      <c r="L173">
        <v>4.12</v>
      </c>
      <c r="M173" t="s">
        <v>5484</v>
      </c>
      <c r="N173" t="s">
        <v>1</v>
      </c>
      <c r="O173" t="s">
        <v>2</v>
      </c>
      <c r="R173" t="s">
        <v>5478</v>
      </c>
      <c r="T173" s="3">
        <v>42457</v>
      </c>
    </row>
    <row r="174" spans="1:20" x14ac:dyDescent="0.3">
      <c r="A174">
        <v>175</v>
      </c>
      <c r="B174">
        <v>2486</v>
      </c>
      <c r="C174" t="s">
        <v>5708</v>
      </c>
      <c r="D174">
        <v>8.8000000000000007</v>
      </c>
      <c r="E174" t="s">
        <v>5709</v>
      </c>
      <c r="J174" s="5">
        <v>6.17</v>
      </c>
      <c r="K174" t="s">
        <v>5447</v>
      </c>
      <c r="L174">
        <v>4.1399999999999997</v>
      </c>
      <c r="M174" t="s">
        <v>5477</v>
      </c>
      <c r="N174" t="s">
        <v>48</v>
      </c>
      <c r="O174" t="s">
        <v>2</v>
      </c>
      <c r="R174" t="s">
        <v>5442</v>
      </c>
      <c r="T174" s="3">
        <v>42457</v>
      </c>
    </row>
    <row r="175" spans="1:20" x14ac:dyDescent="0.3">
      <c r="A175">
        <v>176</v>
      </c>
      <c r="B175">
        <v>2380</v>
      </c>
      <c r="C175" t="s">
        <v>5710</v>
      </c>
      <c r="D175">
        <v>7.09</v>
      </c>
      <c r="E175" t="s">
        <v>5711</v>
      </c>
      <c r="J175" s="5">
        <v>6.15</v>
      </c>
      <c r="K175" t="s">
        <v>5469</v>
      </c>
      <c r="L175">
        <v>4.13</v>
      </c>
      <c r="M175" t="s">
        <v>5464</v>
      </c>
      <c r="N175" t="s">
        <v>6</v>
      </c>
      <c r="O175" t="s">
        <v>2</v>
      </c>
      <c r="R175" t="s">
        <v>5442</v>
      </c>
      <c r="T175" s="3">
        <v>42457</v>
      </c>
    </row>
    <row r="176" spans="1:20" x14ac:dyDescent="0.3">
      <c r="A176">
        <v>177</v>
      </c>
      <c r="B176">
        <v>8261</v>
      </c>
      <c r="C176" t="s">
        <v>28</v>
      </c>
      <c r="D176">
        <v>24.6</v>
      </c>
      <c r="E176" t="s">
        <v>5444</v>
      </c>
      <c r="J176" s="5">
        <v>5.19</v>
      </c>
      <c r="K176" t="s">
        <v>5469</v>
      </c>
      <c r="L176">
        <v>3.16</v>
      </c>
      <c r="M176" t="s">
        <v>5555</v>
      </c>
      <c r="N176" t="s">
        <v>25</v>
      </c>
      <c r="O176" t="s">
        <v>2</v>
      </c>
      <c r="R176" t="s">
        <v>5442</v>
      </c>
      <c r="T176" s="3">
        <v>42457</v>
      </c>
    </row>
    <row r="177" spans="1:20" x14ac:dyDescent="0.3">
      <c r="A177">
        <v>178</v>
      </c>
      <c r="B177">
        <v>3526</v>
      </c>
      <c r="C177" t="s">
        <v>5712</v>
      </c>
      <c r="D177">
        <v>40.65</v>
      </c>
      <c r="E177" t="s">
        <v>5713</v>
      </c>
      <c r="J177" s="5">
        <v>6.16</v>
      </c>
      <c r="K177" t="s">
        <v>5447</v>
      </c>
      <c r="L177">
        <v>4.13</v>
      </c>
      <c r="M177" t="s">
        <v>5555</v>
      </c>
      <c r="N177" t="s">
        <v>25</v>
      </c>
      <c r="O177" t="s">
        <v>2</v>
      </c>
      <c r="R177" t="s">
        <v>5442</v>
      </c>
      <c r="T177" s="3">
        <v>42457</v>
      </c>
    </row>
    <row r="178" spans="1:20" x14ac:dyDescent="0.3">
      <c r="A178">
        <v>179</v>
      </c>
      <c r="B178">
        <v>3553</v>
      </c>
      <c r="C178" t="s">
        <v>225</v>
      </c>
      <c r="D178">
        <v>11.85</v>
      </c>
      <c r="E178" t="s">
        <v>5456</v>
      </c>
      <c r="J178" s="5">
        <v>6.14</v>
      </c>
      <c r="K178" t="s">
        <v>5469</v>
      </c>
      <c r="L178">
        <v>4.13</v>
      </c>
      <c r="M178" t="s">
        <v>5457</v>
      </c>
      <c r="N178" t="s">
        <v>10</v>
      </c>
      <c r="O178" t="s">
        <v>2</v>
      </c>
      <c r="R178" t="s">
        <v>5454</v>
      </c>
      <c r="T178" s="3">
        <v>42457</v>
      </c>
    </row>
    <row r="179" spans="1:20" x14ac:dyDescent="0.3">
      <c r="A179">
        <v>180</v>
      </c>
      <c r="B179">
        <v>3315</v>
      </c>
      <c r="C179" t="s">
        <v>179</v>
      </c>
      <c r="D179">
        <v>17.05</v>
      </c>
      <c r="E179" t="s">
        <v>5714</v>
      </c>
      <c r="J179" s="5">
        <v>6.23</v>
      </c>
      <c r="K179" t="s">
        <v>5440</v>
      </c>
      <c r="L179">
        <v>4.2</v>
      </c>
      <c r="M179" t="s">
        <v>5482</v>
      </c>
      <c r="N179" t="s">
        <v>14</v>
      </c>
      <c r="O179" t="s">
        <v>2</v>
      </c>
      <c r="R179" t="s">
        <v>5442</v>
      </c>
      <c r="T179" s="3">
        <v>42457</v>
      </c>
    </row>
    <row r="180" spans="1:20" x14ac:dyDescent="0.3">
      <c r="A180">
        <v>181</v>
      </c>
      <c r="B180">
        <v>2546</v>
      </c>
      <c r="C180" t="s">
        <v>84</v>
      </c>
      <c r="D180">
        <v>15.6</v>
      </c>
      <c r="E180" t="s">
        <v>5683</v>
      </c>
      <c r="J180" s="5">
        <v>6.22</v>
      </c>
      <c r="K180" t="s">
        <v>5440</v>
      </c>
      <c r="L180">
        <v>4.2</v>
      </c>
      <c r="M180" t="s">
        <v>5484</v>
      </c>
      <c r="N180" t="s">
        <v>1</v>
      </c>
      <c r="O180" t="s">
        <v>2</v>
      </c>
      <c r="R180" t="s">
        <v>5442</v>
      </c>
      <c r="T180" s="3">
        <v>42457</v>
      </c>
    </row>
    <row r="181" spans="1:20" x14ac:dyDescent="0.3">
      <c r="A181">
        <v>182</v>
      </c>
      <c r="B181">
        <v>5434</v>
      </c>
      <c r="C181" t="s">
        <v>5715</v>
      </c>
      <c r="D181">
        <v>58.3</v>
      </c>
      <c r="E181" t="s">
        <v>5716</v>
      </c>
      <c r="J181" s="5">
        <v>6.15</v>
      </c>
      <c r="K181" t="s">
        <v>5440</v>
      </c>
      <c r="L181">
        <v>4.13</v>
      </c>
      <c r="M181" t="s">
        <v>5470</v>
      </c>
      <c r="N181" t="s">
        <v>5471</v>
      </c>
      <c r="O181" t="s">
        <v>2</v>
      </c>
      <c r="R181" t="s">
        <v>5442</v>
      </c>
      <c r="T181" s="3">
        <v>42457</v>
      </c>
    </row>
    <row r="182" spans="1:20" x14ac:dyDescent="0.3">
      <c r="A182">
        <v>183</v>
      </c>
      <c r="B182">
        <v>1506</v>
      </c>
      <c r="C182" t="s">
        <v>134</v>
      </c>
      <c r="D182">
        <v>16</v>
      </c>
      <c r="E182" t="s">
        <v>5717</v>
      </c>
      <c r="J182" s="5">
        <v>6.15</v>
      </c>
      <c r="K182" t="s">
        <v>5467</v>
      </c>
      <c r="L182">
        <v>4.13</v>
      </c>
      <c r="M182" t="s">
        <v>5555</v>
      </c>
      <c r="N182" t="s">
        <v>25</v>
      </c>
      <c r="O182" t="s">
        <v>2</v>
      </c>
      <c r="R182" t="s">
        <v>5478</v>
      </c>
      <c r="T182" s="3">
        <v>42457</v>
      </c>
    </row>
    <row r="183" spans="1:20" x14ac:dyDescent="0.3">
      <c r="A183">
        <v>184</v>
      </c>
      <c r="B183">
        <v>6282</v>
      </c>
      <c r="C183" t="s">
        <v>177</v>
      </c>
      <c r="D183">
        <v>26.65</v>
      </c>
      <c r="E183" t="s">
        <v>5718</v>
      </c>
      <c r="J183" s="5">
        <v>6.23</v>
      </c>
      <c r="K183" t="s">
        <v>5447</v>
      </c>
      <c r="L183">
        <v>4.2</v>
      </c>
      <c r="M183" t="s">
        <v>5484</v>
      </c>
      <c r="N183" t="s">
        <v>1</v>
      </c>
      <c r="O183" t="s">
        <v>2</v>
      </c>
      <c r="R183" t="s">
        <v>5442</v>
      </c>
      <c r="T183" s="3">
        <v>42457</v>
      </c>
    </row>
    <row r="184" spans="1:20" x14ac:dyDescent="0.3">
      <c r="A184">
        <v>185</v>
      </c>
      <c r="B184">
        <v>6235</v>
      </c>
      <c r="C184" t="s">
        <v>5719</v>
      </c>
      <c r="D184">
        <v>10.65</v>
      </c>
      <c r="E184" t="s">
        <v>5720</v>
      </c>
      <c r="J184" s="5">
        <v>6.17</v>
      </c>
      <c r="K184" t="s">
        <v>5481</v>
      </c>
      <c r="L184">
        <v>4.1399999999999997</v>
      </c>
      <c r="M184" t="s">
        <v>5484</v>
      </c>
      <c r="N184" t="s">
        <v>1</v>
      </c>
      <c r="O184" t="s">
        <v>2</v>
      </c>
      <c r="R184" t="s">
        <v>5442</v>
      </c>
      <c r="T184" s="3">
        <v>42457</v>
      </c>
    </row>
    <row r="185" spans="1:20" x14ac:dyDescent="0.3">
      <c r="A185">
        <v>186</v>
      </c>
      <c r="B185">
        <v>5481</v>
      </c>
      <c r="C185" t="s">
        <v>5721</v>
      </c>
      <c r="D185">
        <v>16</v>
      </c>
      <c r="E185" t="s">
        <v>5722</v>
      </c>
      <c r="J185" s="5">
        <v>6.28</v>
      </c>
      <c r="K185" t="s">
        <v>5723</v>
      </c>
      <c r="L185">
        <v>4.2699999999999996</v>
      </c>
      <c r="M185" t="s">
        <v>5477</v>
      </c>
      <c r="N185" t="s">
        <v>48</v>
      </c>
      <c r="O185" t="s">
        <v>2</v>
      </c>
      <c r="R185" t="s">
        <v>5478</v>
      </c>
      <c r="T185" s="3">
        <v>42457</v>
      </c>
    </row>
    <row r="186" spans="1:20" x14ac:dyDescent="0.3">
      <c r="A186">
        <v>187</v>
      </c>
      <c r="B186">
        <v>1784</v>
      </c>
      <c r="C186" t="s">
        <v>5724</v>
      </c>
      <c r="D186">
        <v>30.1</v>
      </c>
      <c r="E186" t="s">
        <v>5725</v>
      </c>
      <c r="J186" s="5">
        <v>6.22</v>
      </c>
      <c r="K186" t="s">
        <v>5440</v>
      </c>
      <c r="L186">
        <v>4.2</v>
      </c>
      <c r="M186" t="s">
        <v>5484</v>
      </c>
      <c r="N186" t="s">
        <v>1</v>
      </c>
      <c r="O186" t="s">
        <v>2</v>
      </c>
      <c r="R186" t="s">
        <v>5442</v>
      </c>
      <c r="T186" s="3">
        <v>42457</v>
      </c>
    </row>
    <row r="187" spans="1:20" x14ac:dyDescent="0.3">
      <c r="A187">
        <v>188</v>
      </c>
      <c r="B187">
        <v>8916</v>
      </c>
      <c r="C187" t="s">
        <v>4026</v>
      </c>
      <c r="D187">
        <v>55</v>
      </c>
      <c r="E187" t="s">
        <v>5542</v>
      </c>
      <c r="J187" s="5">
        <v>6.21</v>
      </c>
      <c r="K187" t="s">
        <v>5440</v>
      </c>
      <c r="L187">
        <v>4.2</v>
      </c>
      <c r="M187" t="s">
        <v>5482</v>
      </c>
      <c r="N187" t="s">
        <v>14</v>
      </c>
      <c r="O187" t="s">
        <v>2</v>
      </c>
      <c r="R187" t="s">
        <v>5454</v>
      </c>
      <c r="T187" s="3">
        <v>42457</v>
      </c>
    </row>
    <row r="188" spans="1:20" x14ac:dyDescent="0.3">
      <c r="A188">
        <v>189</v>
      </c>
      <c r="B188">
        <v>6126</v>
      </c>
      <c r="C188" t="s">
        <v>5726</v>
      </c>
      <c r="D188">
        <v>8.3000000000000007</v>
      </c>
      <c r="E188" t="s">
        <v>5727</v>
      </c>
      <c r="J188" s="5">
        <v>6.14</v>
      </c>
      <c r="K188" t="s">
        <v>5469</v>
      </c>
      <c r="L188">
        <v>4.13</v>
      </c>
      <c r="M188" t="s">
        <v>5477</v>
      </c>
      <c r="N188" t="s">
        <v>48</v>
      </c>
      <c r="O188" t="s">
        <v>2</v>
      </c>
      <c r="R188" t="s">
        <v>5454</v>
      </c>
      <c r="T188" s="3">
        <v>42457</v>
      </c>
    </row>
    <row r="189" spans="1:20" x14ac:dyDescent="0.3">
      <c r="A189">
        <v>190</v>
      </c>
      <c r="B189">
        <v>3090</v>
      </c>
      <c r="C189" t="s">
        <v>306</v>
      </c>
      <c r="D189">
        <v>24.6</v>
      </c>
      <c r="E189" t="s">
        <v>5549</v>
      </c>
      <c r="J189" s="5">
        <v>6.17</v>
      </c>
      <c r="K189" t="s">
        <v>5447</v>
      </c>
      <c r="L189">
        <v>4.1399999999999997</v>
      </c>
      <c r="M189" t="s">
        <v>5555</v>
      </c>
      <c r="N189" t="s">
        <v>25</v>
      </c>
      <c r="O189" t="s">
        <v>2</v>
      </c>
      <c r="R189" t="s">
        <v>5442</v>
      </c>
      <c r="T189" s="3">
        <v>42457</v>
      </c>
    </row>
    <row r="190" spans="1:20" x14ac:dyDescent="0.3">
      <c r="A190">
        <v>191</v>
      </c>
      <c r="B190">
        <v>2506</v>
      </c>
      <c r="C190" t="s">
        <v>227</v>
      </c>
      <c r="D190">
        <v>14.8</v>
      </c>
      <c r="E190" t="s">
        <v>5728</v>
      </c>
      <c r="J190" s="5">
        <v>6.16</v>
      </c>
      <c r="K190" t="s">
        <v>5447</v>
      </c>
      <c r="L190">
        <v>4.13</v>
      </c>
      <c r="M190" t="s">
        <v>12</v>
      </c>
      <c r="N190" t="s">
        <v>5729</v>
      </c>
      <c r="O190" t="s">
        <v>2</v>
      </c>
      <c r="R190" t="s">
        <v>5442</v>
      </c>
      <c r="T190" s="3">
        <v>42457</v>
      </c>
    </row>
    <row r="191" spans="1:20" x14ac:dyDescent="0.3">
      <c r="A191">
        <v>192</v>
      </c>
      <c r="B191">
        <v>3035</v>
      </c>
      <c r="C191" t="s">
        <v>54</v>
      </c>
      <c r="D191">
        <v>45.75</v>
      </c>
      <c r="E191" t="s">
        <v>5730</v>
      </c>
      <c r="J191" s="5">
        <v>6.15</v>
      </c>
      <c r="K191" t="s">
        <v>5469</v>
      </c>
      <c r="L191">
        <v>4.13</v>
      </c>
      <c r="M191" t="s">
        <v>16</v>
      </c>
      <c r="N191" t="s">
        <v>17</v>
      </c>
      <c r="O191" t="s">
        <v>2</v>
      </c>
      <c r="R191" t="s">
        <v>5478</v>
      </c>
      <c r="T191" s="3">
        <v>42457</v>
      </c>
    </row>
    <row r="192" spans="1:20" x14ac:dyDescent="0.3">
      <c r="A192">
        <v>193</v>
      </c>
      <c r="B192">
        <v>3390</v>
      </c>
      <c r="C192" t="s">
        <v>345</v>
      </c>
      <c r="D192">
        <v>14.9</v>
      </c>
      <c r="E192" t="s">
        <v>5456</v>
      </c>
      <c r="J192" s="5">
        <v>6.13</v>
      </c>
      <c r="K192" t="s">
        <v>5481</v>
      </c>
      <c r="L192">
        <v>4.12</v>
      </c>
      <c r="M192" t="s">
        <v>5457</v>
      </c>
      <c r="N192" t="s">
        <v>10</v>
      </c>
      <c r="O192" t="s">
        <v>2</v>
      </c>
      <c r="R192" t="s">
        <v>5442</v>
      </c>
      <c r="T192" s="3">
        <v>42457</v>
      </c>
    </row>
    <row r="193" spans="1:20" x14ac:dyDescent="0.3">
      <c r="A193">
        <v>194</v>
      </c>
      <c r="B193">
        <v>6197</v>
      </c>
      <c r="C193" t="s">
        <v>205</v>
      </c>
      <c r="D193">
        <v>27.8</v>
      </c>
      <c r="E193" t="s">
        <v>5456</v>
      </c>
      <c r="J193" s="5">
        <v>6.15</v>
      </c>
      <c r="K193" t="s">
        <v>5447</v>
      </c>
      <c r="L193">
        <v>4.13</v>
      </c>
      <c r="M193" t="s">
        <v>5457</v>
      </c>
      <c r="N193" t="s">
        <v>10</v>
      </c>
      <c r="O193" t="s">
        <v>2</v>
      </c>
      <c r="R193" t="s">
        <v>5478</v>
      </c>
      <c r="T193" s="3">
        <v>42457</v>
      </c>
    </row>
    <row r="194" spans="1:20" x14ac:dyDescent="0.3">
      <c r="A194">
        <v>195</v>
      </c>
      <c r="B194">
        <v>2885</v>
      </c>
      <c r="C194" t="s">
        <v>42</v>
      </c>
      <c r="D194">
        <v>10.9</v>
      </c>
      <c r="E194" t="s">
        <v>5731</v>
      </c>
      <c r="J194" s="5">
        <v>6.16</v>
      </c>
      <c r="K194" t="s">
        <v>5440</v>
      </c>
      <c r="L194">
        <v>4.13</v>
      </c>
      <c r="M194" t="s">
        <v>5555</v>
      </c>
      <c r="N194" t="s">
        <v>25</v>
      </c>
      <c r="O194" t="s">
        <v>2</v>
      </c>
      <c r="R194" t="s">
        <v>5478</v>
      </c>
      <c r="T194" s="3">
        <v>42457</v>
      </c>
    </row>
    <row r="195" spans="1:20" x14ac:dyDescent="0.3">
      <c r="A195">
        <v>196</v>
      </c>
      <c r="B195">
        <v>8112</v>
      </c>
      <c r="C195" t="s">
        <v>5732</v>
      </c>
      <c r="D195">
        <v>15.05</v>
      </c>
      <c r="E195" t="s">
        <v>5733</v>
      </c>
      <c r="J195" s="5">
        <v>6.24</v>
      </c>
      <c r="K195" t="s">
        <v>5440</v>
      </c>
      <c r="L195">
        <v>4.21</v>
      </c>
      <c r="M195" t="s">
        <v>5482</v>
      </c>
      <c r="N195" t="s">
        <v>14</v>
      </c>
      <c r="O195" t="s">
        <v>2</v>
      </c>
      <c r="R195" t="s">
        <v>5454</v>
      </c>
      <c r="T195" s="3">
        <v>42457</v>
      </c>
    </row>
    <row r="196" spans="1:20" x14ac:dyDescent="0.3">
      <c r="A196">
        <v>197</v>
      </c>
      <c r="B196">
        <v>5425</v>
      </c>
      <c r="C196" t="s">
        <v>196</v>
      </c>
      <c r="D196">
        <v>41.5</v>
      </c>
      <c r="E196" t="s">
        <v>5734</v>
      </c>
      <c r="J196" s="5">
        <v>6.13</v>
      </c>
      <c r="K196" t="s">
        <v>5452</v>
      </c>
      <c r="L196">
        <v>4.12</v>
      </c>
      <c r="M196" t="s">
        <v>5484</v>
      </c>
      <c r="N196" t="s">
        <v>1</v>
      </c>
      <c r="O196" t="s">
        <v>2</v>
      </c>
      <c r="R196" t="s">
        <v>5442</v>
      </c>
      <c r="T196" s="3">
        <v>42457</v>
      </c>
    </row>
    <row r="197" spans="1:20" x14ac:dyDescent="0.3">
      <c r="A197">
        <v>198</v>
      </c>
      <c r="B197">
        <v>2511</v>
      </c>
      <c r="C197" t="s">
        <v>165</v>
      </c>
      <c r="D197">
        <v>11.95</v>
      </c>
      <c r="E197" t="s">
        <v>5735</v>
      </c>
      <c r="J197" s="5">
        <v>6.21</v>
      </c>
      <c r="K197" t="s">
        <v>5467</v>
      </c>
      <c r="L197">
        <v>4.2</v>
      </c>
      <c r="M197" t="s">
        <v>3</v>
      </c>
      <c r="N197" t="s">
        <v>4</v>
      </c>
      <c r="O197" t="s">
        <v>2</v>
      </c>
      <c r="R197" t="s">
        <v>5442</v>
      </c>
      <c r="T197" s="3">
        <v>42458</v>
      </c>
    </row>
    <row r="198" spans="1:20" x14ac:dyDescent="0.3">
      <c r="A198">
        <v>199</v>
      </c>
      <c r="B198">
        <v>3024</v>
      </c>
      <c r="C198" t="s">
        <v>5736</v>
      </c>
      <c r="D198">
        <v>3.48</v>
      </c>
      <c r="E198" t="s">
        <v>5737</v>
      </c>
      <c r="J198" s="5">
        <v>6.17</v>
      </c>
      <c r="K198" t="s">
        <v>5481</v>
      </c>
      <c r="L198">
        <v>4.1399999999999997</v>
      </c>
      <c r="M198" t="s">
        <v>5555</v>
      </c>
      <c r="N198" t="s">
        <v>25</v>
      </c>
      <c r="O198" t="s">
        <v>2</v>
      </c>
      <c r="R198" t="s">
        <v>5442</v>
      </c>
      <c r="T198" s="3">
        <v>42458</v>
      </c>
    </row>
    <row r="199" spans="1:20" x14ac:dyDescent="0.3">
      <c r="A199">
        <v>200</v>
      </c>
      <c r="B199">
        <v>2852</v>
      </c>
      <c r="C199" t="s">
        <v>5738</v>
      </c>
      <c r="D199">
        <v>11.8</v>
      </c>
      <c r="E199" t="s">
        <v>5739</v>
      </c>
      <c r="J199" s="5">
        <v>6.24</v>
      </c>
      <c r="K199" t="s">
        <v>5440</v>
      </c>
      <c r="L199">
        <v>4.21</v>
      </c>
      <c r="M199" t="s">
        <v>5468</v>
      </c>
      <c r="N199" t="s">
        <v>20</v>
      </c>
      <c r="O199" t="s">
        <v>41</v>
      </c>
      <c r="R199" t="s">
        <v>5478</v>
      </c>
      <c r="T199" s="3">
        <v>42468</v>
      </c>
    </row>
    <row r="200" spans="1:20" x14ac:dyDescent="0.3">
      <c r="A200">
        <v>201</v>
      </c>
      <c r="B200">
        <v>6190</v>
      </c>
      <c r="C200" t="s">
        <v>107</v>
      </c>
      <c r="D200">
        <v>5.84</v>
      </c>
      <c r="E200" t="s">
        <v>5740</v>
      </c>
      <c r="J200" s="5">
        <v>6.16</v>
      </c>
      <c r="K200" t="s">
        <v>5481</v>
      </c>
      <c r="L200">
        <v>4.13</v>
      </c>
      <c r="M200" t="s">
        <v>5477</v>
      </c>
      <c r="N200" t="s">
        <v>48</v>
      </c>
      <c r="O200" t="s">
        <v>2</v>
      </c>
      <c r="R200" t="s">
        <v>5454</v>
      </c>
      <c r="T200" s="3">
        <v>42458</v>
      </c>
    </row>
    <row r="201" spans="1:20" x14ac:dyDescent="0.3">
      <c r="A201">
        <v>202</v>
      </c>
      <c r="B201">
        <v>3484</v>
      </c>
      <c r="C201" t="s">
        <v>332</v>
      </c>
      <c r="D201">
        <v>40.4</v>
      </c>
      <c r="E201" t="s">
        <v>5741</v>
      </c>
      <c r="J201" s="5">
        <v>6.16</v>
      </c>
      <c r="K201" t="s">
        <v>5481</v>
      </c>
      <c r="L201">
        <v>4.13</v>
      </c>
      <c r="M201" t="s">
        <v>5484</v>
      </c>
      <c r="N201" t="s">
        <v>1</v>
      </c>
      <c r="O201" t="s">
        <v>2</v>
      </c>
      <c r="R201" t="s">
        <v>5442</v>
      </c>
      <c r="T201" s="3">
        <v>42458</v>
      </c>
    </row>
    <row r="202" spans="1:20" x14ac:dyDescent="0.3">
      <c r="A202">
        <v>203</v>
      </c>
      <c r="B202">
        <v>3431</v>
      </c>
      <c r="C202" t="s">
        <v>5742</v>
      </c>
      <c r="D202">
        <v>10.35</v>
      </c>
      <c r="E202" t="s">
        <v>5743</v>
      </c>
      <c r="J202" s="5">
        <v>6.15</v>
      </c>
      <c r="K202" t="s">
        <v>5469</v>
      </c>
      <c r="L202">
        <v>4.13</v>
      </c>
      <c r="M202" t="s">
        <v>16</v>
      </c>
      <c r="N202" t="s">
        <v>17</v>
      </c>
      <c r="O202" t="s">
        <v>2</v>
      </c>
      <c r="R202" t="s">
        <v>5442</v>
      </c>
      <c r="T202" s="3">
        <v>42458</v>
      </c>
    </row>
    <row r="203" spans="1:20" x14ac:dyDescent="0.3">
      <c r="A203">
        <v>204</v>
      </c>
      <c r="B203">
        <v>3519</v>
      </c>
      <c r="C203" t="s">
        <v>154</v>
      </c>
      <c r="D203">
        <v>20.5</v>
      </c>
      <c r="E203" t="s">
        <v>5744</v>
      </c>
      <c r="J203" s="5">
        <v>6.29</v>
      </c>
      <c r="K203" t="s">
        <v>5481</v>
      </c>
      <c r="L203">
        <v>4.2699999999999996</v>
      </c>
      <c r="M203" t="s">
        <v>50</v>
      </c>
      <c r="N203" t="s">
        <v>51</v>
      </c>
      <c r="O203" t="s">
        <v>2</v>
      </c>
      <c r="R203" t="s">
        <v>5478</v>
      </c>
      <c r="T203" s="3">
        <v>42458</v>
      </c>
    </row>
    <row r="204" spans="1:20" x14ac:dyDescent="0.3">
      <c r="A204">
        <v>205</v>
      </c>
      <c r="B204">
        <v>5355</v>
      </c>
      <c r="C204" t="s">
        <v>266</v>
      </c>
      <c r="D204">
        <v>6.04</v>
      </c>
      <c r="E204" t="s">
        <v>5556</v>
      </c>
      <c r="J204" s="5">
        <v>6.17</v>
      </c>
      <c r="K204" t="s">
        <v>5481</v>
      </c>
      <c r="L204">
        <v>4.1399999999999997</v>
      </c>
      <c r="M204" t="s">
        <v>5484</v>
      </c>
      <c r="N204" t="s">
        <v>1</v>
      </c>
      <c r="O204" t="s">
        <v>2</v>
      </c>
      <c r="R204" t="s">
        <v>5454</v>
      </c>
      <c r="T204" s="3">
        <v>42458</v>
      </c>
    </row>
    <row r="205" spans="1:20" x14ac:dyDescent="0.3">
      <c r="A205">
        <v>206</v>
      </c>
      <c r="B205">
        <v>2889</v>
      </c>
      <c r="C205" t="s">
        <v>5745</v>
      </c>
      <c r="D205">
        <v>8.1</v>
      </c>
      <c r="E205" t="s">
        <v>5500</v>
      </c>
      <c r="J205" s="5">
        <v>6.17</v>
      </c>
      <c r="K205" t="s">
        <v>5440</v>
      </c>
      <c r="L205">
        <v>4.1399999999999997</v>
      </c>
      <c r="M205" t="s">
        <v>5746</v>
      </c>
      <c r="N205" t="s">
        <v>166</v>
      </c>
      <c r="O205" t="s">
        <v>2</v>
      </c>
      <c r="R205" t="s">
        <v>5442</v>
      </c>
      <c r="T205" s="3">
        <v>42458</v>
      </c>
    </row>
    <row r="206" spans="1:20" x14ac:dyDescent="0.3">
      <c r="A206">
        <v>207</v>
      </c>
      <c r="B206">
        <v>3406</v>
      </c>
      <c r="C206" t="s">
        <v>1841</v>
      </c>
      <c r="D206">
        <v>56.3</v>
      </c>
      <c r="E206" t="s">
        <v>5747</v>
      </c>
      <c r="J206" s="5">
        <v>6.27</v>
      </c>
      <c r="K206" t="s">
        <v>5463</v>
      </c>
      <c r="L206">
        <v>4.26</v>
      </c>
      <c r="M206" t="s">
        <v>5464</v>
      </c>
      <c r="N206" t="s">
        <v>6</v>
      </c>
      <c r="O206" t="s">
        <v>2</v>
      </c>
      <c r="R206" t="s">
        <v>5454</v>
      </c>
      <c r="T206" s="3">
        <v>42471</v>
      </c>
    </row>
    <row r="207" spans="1:20" x14ac:dyDescent="0.3">
      <c r="A207">
        <v>208</v>
      </c>
      <c r="B207">
        <v>2616</v>
      </c>
      <c r="C207" t="s">
        <v>5748</v>
      </c>
      <c r="D207">
        <v>24.8</v>
      </c>
      <c r="E207" t="s">
        <v>5559</v>
      </c>
      <c r="J207" s="5">
        <v>6.24</v>
      </c>
      <c r="K207" t="s">
        <v>5447</v>
      </c>
      <c r="L207">
        <v>4.21</v>
      </c>
      <c r="M207" t="s">
        <v>12</v>
      </c>
      <c r="N207" t="s">
        <v>91</v>
      </c>
      <c r="O207" t="s">
        <v>41</v>
      </c>
      <c r="R207" t="s">
        <v>5442</v>
      </c>
      <c r="T207" s="3">
        <v>42458</v>
      </c>
    </row>
    <row r="208" spans="1:20" x14ac:dyDescent="0.3">
      <c r="A208">
        <v>209</v>
      </c>
      <c r="B208">
        <v>1417</v>
      </c>
      <c r="C208" t="s">
        <v>218</v>
      </c>
      <c r="D208">
        <v>4.92</v>
      </c>
      <c r="E208" t="s">
        <v>5456</v>
      </c>
      <c r="J208" s="5">
        <v>6.14</v>
      </c>
      <c r="K208" t="s">
        <v>5447</v>
      </c>
      <c r="L208">
        <v>4.13</v>
      </c>
      <c r="M208" t="s">
        <v>12</v>
      </c>
      <c r="N208" t="s">
        <v>219</v>
      </c>
      <c r="O208" t="s">
        <v>2</v>
      </c>
      <c r="R208" t="s">
        <v>5442</v>
      </c>
      <c r="T208" s="3">
        <v>42458</v>
      </c>
    </row>
    <row r="209" spans="1:20" x14ac:dyDescent="0.3">
      <c r="A209">
        <v>210</v>
      </c>
      <c r="B209">
        <v>3078</v>
      </c>
      <c r="C209" t="s">
        <v>5749</v>
      </c>
      <c r="D209">
        <v>25.6</v>
      </c>
      <c r="E209" t="s">
        <v>5750</v>
      </c>
      <c r="J209" s="5">
        <v>6.22</v>
      </c>
      <c r="K209" t="s">
        <v>5481</v>
      </c>
      <c r="L209">
        <v>4.2</v>
      </c>
      <c r="M209" t="s">
        <v>5477</v>
      </c>
      <c r="N209" t="s">
        <v>48</v>
      </c>
      <c r="O209" t="s">
        <v>2</v>
      </c>
      <c r="R209" t="s">
        <v>5442</v>
      </c>
      <c r="T209" s="3">
        <v>42458</v>
      </c>
    </row>
    <row r="210" spans="1:20" x14ac:dyDescent="0.3">
      <c r="A210">
        <v>211</v>
      </c>
      <c r="B210">
        <v>4414</v>
      </c>
      <c r="C210" t="s">
        <v>290</v>
      </c>
      <c r="D210">
        <v>21.65</v>
      </c>
      <c r="E210" t="s">
        <v>5456</v>
      </c>
      <c r="J210" s="5">
        <v>6.17</v>
      </c>
      <c r="K210" t="s">
        <v>5503</v>
      </c>
      <c r="L210">
        <v>4.1399999999999997</v>
      </c>
      <c r="M210" t="s">
        <v>5555</v>
      </c>
      <c r="N210" t="s">
        <v>25</v>
      </c>
      <c r="O210" t="s">
        <v>2</v>
      </c>
      <c r="R210" t="s">
        <v>5442</v>
      </c>
      <c r="T210" s="3">
        <v>42458</v>
      </c>
    </row>
    <row r="211" spans="1:20" x14ac:dyDescent="0.3">
      <c r="A211">
        <v>212</v>
      </c>
      <c r="B211">
        <v>5251</v>
      </c>
      <c r="C211" t="s">
        <v>86</v>
      </c>
      <c r="D211">
        <v>30.2</v>
      </c>
      <c r="E211" t="s">
        <v>5751</v>
      </c>
      <c r="J211" s="5">
        <v>6.14</v>
      </c>
      <c r="K211" t="s">
        <v>5447</v>
      </c>
      <c r="L211">
        <v>4.13</v>
      </c>
      <c r="M211" t="s">
        <v>5484</v>
      </c>
      <c r="N211" t="s">
        <v>1</v>
      </c>
      <c r="O211" t="s">
        <v>2</v>
      </c>
      <c r="R211" t="s">
        <v>5442</v>
      </c>
      <c r="T211" s="3">
        <v>42458</v>
      </c>
    </row>
    <row r="212" spans="1:20" x14ac:dyDescent="0.3">
      <c r="A212">
        <v>213</v>
      </c>
      <c r="B212">
        <v>2332</v>
      </c>
      <c r="C212" t="s">
        <v>5752</v>
      </c>
      <c r="D212">
        <v>10.5</v>
      </c>
      <c r="E212" t="s">
        <v>5753</v>
      </c>
      <c r="J212" s="5">
        <v>6.17</v>
      </c>
      <c r="K212" t="s">
        <v>5440</v>
      </c>
      <c r="L212">
        <v>4.1399999999999997</v>
      </c>
      <c r="M212" t="s">
        <v>5484</v>
      </c>
      <c r="N212" t="s">
        <v>1</v>
      </c>
      <c r="O212" t="s">
        <v>2</v>
      </c>
      <c r="R212" t="s">
        <v>5442</v>
      </c>
      <c r="T212" s="3">
        <v>42458</v>
      </c>
    </row>
    <row r="213" spans="1:20" x14ac:dyDescent="0.3">
      <c r="A213">
        <v>214</v>
      </c>
      <c r="B213">
        <v>2017</v>
      </c>
      <c r="C213" t="s">
        <v>124</v>
      </c>
      <c r="D213">
        <v>7.13</v>
      </c>
      <c r="E213" t="s">
        <v>5444</v>
      </c>
      <c r="J213" s="5">
        <v>5.24</v>
      </c>
      <c r="K213" t="s">
        <v>5467</v>
      </c>
      <c r="L213">
        <v>3.23</v>
      </c>
      <c r="M213" t="s">
        <v>3</v>
      </c>
      <c r="N213" t="s">
        <v>4</v>
      </c>
      <c r="O213" t="s">
        <v>2</v>
      </c>
      <c r="R213" t="s">
        <v>5478</v>
      </c>
      <c r="T213" s="3">
        <v>42458</v>
      </c>
    </row>
    <row r="214" spans="1:20" x14ac:dyDescent="0.3">
      <c r="A214">
        <v>215</v>
      </c>
      <c r="B214">
        <v>4109</v>
      </c>
      <c r="C214" t="s">
        <v>233</v>
      </c>
      <c r="D214">
        <v>23.9</v>
      </c>
      <c r="E214" t="s">
        <v>5444</v>
      </c>
      <c r="J214" s="5">
        <v>6.24</v>
      </c>
      <c r="K214" t="s">
        <v>5524</v>
      </c>
      <c r="L214">
        <v>4.21</v>
      </c>
      <c r="M214" t="s">
        <v>5555</v>
      </c>
      <c r="N214" t="s">
        <v>25</v>
      </c>
      <c r="O214" t="s">
        <v>2</v>
      </c>
      <c r="R214" t="s">
        <v>5478</v>
      </c>
      <c r="T214" s="3">
        <v>42458</v>
      </c>
    </row>
    <row r="215" spans="1:20" x14ac:dyDescent="0.3">
      <c r="A215">
        <v>216</v>
      </c>
      <c r="B215">
        <v>2890</v>
      </c>
      <c r="C215" t="s">
        <v>5754</v>
      </c>
      <c r="D215">
        <v>9.8699999999999992</v>
      </c>
      <c r="E215" t="s">
        <v>5755</v>
      </c>
      <c r="J215" s="5">
        <v>6.17</v>
      </c>
      <c r="K215" t="s">
        <v>5440</v>
      </c>
      <c r="L215">
        <v>4.1399999999999997</v>
      </c>
      <c r="M215" t="s">
        <v>5464</v>
      </c>
      <c r="N215" t="s">
        <v>6</v>
      </c>
      <c r="O215" t="s">
        <v>2</v>
      </c>
      <c r="R215" t="s">
        <v>5442</v>
      </c>
      <c r="T215" s="3">
        <v>42458</v>
      </c>
    </row>
    <row r="216" spans="1:20" x14ac:dyDescent="0.3">
      <c r="A216">
        <v>217</v>
      </c>
      <c r="B216">
        <v>8163</v>
      </c>
      <c r="C216" t="s">
        <v>5756</v>
      </c>
      <c r="D216">
        <v>20.5</v>
      </c>
      <c r="E216" t="s">
        <v>5757</v>
      </c>
      <c r="J216" s="5">
        <v>6.17</v>
      </c>
      <c r="K216" t="s">
        <v>5481</v>
      </c>
      <c r="L216">
        <v>4.1399999999999997</v>
      </c>
      <c r="M216" t="s">
        <v>5496</v>
      </c>
      <c r="N216" t="s">
        <v>26</v>
      </c>
      <c r="O216" t="s">
        <v>2</v>
      </c>
      <c r="R216" t="s">
        <v>5442</v>
      </c>
      <c r="T216" s="3">
        <v>42458</v>
      </c>
    </row>
    <row r="217" spans="1:20" x14ac:dyDescent="0.3">
      <c r="A217">
        <v>218</v>
      </c>
      <c r="B217">
        <v>3338</v>
      </c>
      <c r="C217" t="s">
        <v>5758</v>
      </c>
      <c r="D217">
        <v>26.2</v>
      </c>
      <c r="E217" t="s">
        <v>5444</v>
      </c>
      <c r="J217" s="5">
        <v>5.31</v>
      </c>
      <c r="K217" t="s">
        <v>5440</v>
      </c>
      <c r="L217">
        <v>3.3</v>
      </c>
      <c r="M217" t="s">
        <v>5491</v>
      </c>
      <c r="N217" t="s">
        <v>122</v>
      </c>
      <c r="O217" t="s">
        <v>2</v>
      </c>
      <c r="R217" t="s">
        <v>5442</v>
      </c>
      <c r="T217" s="3">
        <v>42458</v>
      </c>
    </row>
    <row r="218" spans="1:20" x14ac:dyDescent="0.3">
      <c r="A218">
        <v>219</v>
      </c>
      <c r="B218">
        <v>3057</v>
      </c>
      <c r="C218" t="s">
        <v>5759</v>
      </c>
      <c r="D218">
        <v>16.75</v>
      </c>
      <c r="E218" t="s">
        <v>5444</v>
      </c>
      <c r="J218" s="5">
        <v>5.24</v>
      </c>
      <c r="K218" t="s">
        <v>5469</v>
      </c>
      <c r="L218">
        <v>3.23</v>
      </c>
      <c r="M218" t="s">
        <v>5484</v>
      </c>
      <c r="N218" t="s">
        <v>1</v>
      </c>
      <c r="O218" t="s">
        <v>2</v>
      </c>
      <c r="R218" t="s">
        <v>5442</v>
      </c>
      <c r="T218" s="3">
        <v>42458</v>
      </c>
    </row>
    <row r="219" spans="1:20" x14ac:dyDescent="0.3">
      <c r="A219">
        <v>220</v>
      </c>
      <c r="B219">
        <v>6404</v>
      </c>
      <c r="C219" t="s">
        <v>215</v>
      </c>
      <c r="D219">
        <v>26.4</v>
      </c>
      <c r="E219" t="s">
        <v>5760</v>
      </c>
      <c r="J219" s="5">
        <v>6.29</v>
      </c>
      <c r="K219" t="s">
        <v>5440</v>
      </c>
      <c r="L219">
        <v>4.2699999999999996</v>
      </c>
      <c r="M219" t="s">
        <v>5496</v>
      </c>
      <c r="N219" t="s">
        <v>26</v>
      </c>
      <c r="O219" t="s">
        <v>2</v>
      </c>
      <c r="R219" t="s">
        <v>5442</v>
      </c>
      <c r="T219" s="3">
        <v>42458</v>
      </c>
    </row>
    <row r="220" spans="1:20" x14ac:dyDescent="0.3">
      <c r="A220">
        <v>221</v>
      </c>
      <c r="B220">
        <v>3207</v>
      </c>
      <c r="C220" t="s">
        <v>276</v>
      </c>
      <c r="D220">
        <v>6.9</v>
      </c>
      <c r="E220" t="s">
        <v>5664</v>
      </c>
      <c r="J220" s="5">
        <v>6.27</v>
      </c>
      <c r="K220" t="s">
        <v>5447</v>
      </c>
      <c r="L220">
        <v>4.26</v>
      </c>
      <c r="M220" t="s">
        <v>5746</v>
      </c>
      <c r="N220" t="s">
        <v>166</v>
      </c>
      <c r="O220" t="s">
        <v>2</v>
      </c>
      <c r="R220" t="s">
        <v>5442</v>
      </c>
      <c r="T220" s="3">
        <v>42458</v>
      </c>
    </row>
    <row r="221" spans="1:20" x14ac:dyDescent="0.3">
      <c r="A221">
        <v>222</v>
      </c>
      <c r="B221">
        <v>5426</v>
      </c>
      <c r="C221" t="s">
        <v>186</v>
      </c>
      <c r="D221">
        <v>10.95</v>
      </c>
      <c r="E221" t="s">
        <v>5701</v>
      </c>
      <c r="J221" s="5">
        <v>6.29</v>
      </c>
      <c r="K221" t="s">
        <v>5447</v>
      </c>
      <c r="L221">
        <v>4.2699999999999996</v>
      </c>
      <c r="M221" t="s">
        <v>5761</v>
      </c>
      <c r="N221" t="s">
        <v>30</v>
      </c>
      <c r="O221" t="s">
        <v>2</v>
      </c>
      <c r="R221" t="s">
        <v>5454</v>
      </c>
      <c r="T221" s="3">
        <v>42458</v>
      </c>
    </row>
    <row r="222" spans="1:20" x14ac:dyDescent="0.3">
      <c r="A222">
        <v>223</v>
      </c>
      <c r="B222">
        <v>2443</v>
      </c>
      <c r="C222" t="s">
        <v>103</v>
      </c>
      <c r="D222">
        <v>8.4700000000000006</v>
      </c>
      <c r="E222" t="s">
        <v>5762</v>
      </c>
      <c r="J222" s="5">
        <v>6.3</v>
      </c>
      <c r="K222" t="s">
        <v>5469</v>
      </c>
      <c r="L222">
        <v>4.2699999999999996</v>
      </c>
      <c r="M222" t="s">
        <v>5496</v>
      </c>
      <c r="N222" t="s">
        <v>26</v>
      </c>
      <c r="O222" t="s">
        <v>2</v>
      </c>
      <c r="R222" t="s">
        <v>5454</v>
      </c>
      <c r="T222" s="3">
        <v>42459</v>
      </c>
    </row>
    <row r="223" spans="1:20" x14ac:dyDescent="0.3">
      <c r="A223">
        <v>224</v>
      </c>
      <c r="B223">
        <v>8016</v>
      </c>
      <c r="C223" t="s">
        <v>5763</v>
      </c>
      <c r="D223">
        <v>94.5</v>
      </c>
      <c r="E223" t="s">
        <v>5456</v>
      </c>
      <c r="J223" s="5">
        <v>6.22</v>
      </c>
      <c r="K223" t="s">
        <v>5469</v>
      </c>
      <c r="L223">
        <v>4.2</v>
      </c>
      <c r="M223" t="s">
        <v>5496</v>
      </c>
      <c r="N223" t="s">
        <v>26</v>
      </c>
      <c r="O223" t="s">
        <v>2</v>
      </c>
      <c r="R223" t="s">
        <v>5442</v>
      </c>
      <c r="T223" s="3">
        <v>42459</v>
      </c>
    </row>
    <row r="224" spans="1:20" x14ac:dyDescent="0.3">
      <c r="A224">
        <v>225</v>
      </c>
      <c r="B224">
        <v>3402</v>
      </c>
      <c r="C224" t="s">
        <v>5764</v>
      </c>
      <c r="D224">
        <v>15.45</v>
      </c>
      <c r="E224" t="s">
        <v>5765</v>
      </c>
      <c r="J224" s="5">
        <v>6.27</v>
      </c>
      <c r="K224" t="s">
        <v>5469</v>
      </c>
      <c r="L224">
        <v>4.26</v>
      </c>
      <c r="M224" t="s">
        <v>5482</v>
      </c>
      <c r="N224" t="s">
        <v>14</v>
      </c>
      <c r="O224" t="s">
        <v>2</v>
      </c>
      <c r="R224" t="s">
        <v>5454</v>
      </c>
      <c r="T224" s="3">
        <v>42459</v>
      </c>
    </row>
    <row r="225" spans="1:20" x14ac:dyDescent="0.3">
      <c r="A225">
        <v>226</v>
      </c>
      <c r="B225">
        <v>2406</v>
      </c>
      <c r="C225" t="s">
        <v>5766</v>
      </c>
      <c r="D225">
        <v>26.75</v>
      </c>
      <c r="E225" t="s">
        <v>5565</v>
      </c>
      <c r="J225" s="5">
        <v>6.23</v>
      </c>
      <c r="K225" t="s">
        <v>5469</v>
      </c>
      <c r="L225">
        <v>4.2</v>
      </c>
      <c r="M225" t="s">
        <v>5496</v>
      </c>
      <c r="N225" t="s">
        <v>26</v>
      </c>
      <c r="O225" t="s">
        <v>2</v>
      </c>
      <c r="R225" t="s">
        <v>5478</v>
      </c>
      <c r="T225" s="3">
        <v>42459</v>
      </c>
    </row>
    <row r="226" spans="1:20" x14ac:dyDescent="0.3">
      <c r="A226">
        <v>227</v>
      </c>
      <c r="B226">
        <v>2515</v>
      </c>
      <c r="C226" t="s">
        <v>232</v>
      </c>
      <c r="D226">
        <v>6.07</v>
      </c>
      <c r="E226" t="s">
        <v>5767</v>
      </c>
      <c r="F226">
        <v>5.26</v>
      </c>
      <c r="G226">
        <v>6.06</v>
      </c>
      <c r="H226" t="s">
        <v>5768</v>
      </c>
      <c r="I226" t="s">
        <v>5769</v>
      </c>
      <c r="J226" s="5">
        <v>6.17</v>
      </c>
      <c r="K226" t="s">
        <v>5440</v>
      </c>
      <c r="L226">
        <v>4.1399999999999997</v>
      </c>
      <c r="M226" t="s">
        <v>3</v>
      </c>
      <c r="N226" t="s">
        <v>4</v>
      </c>
      <c r="O226" t="s">
        <v>2</v>
      </c>
      <c r="Q226">
        <v>1</v>
      </c>
      <c r="R226" t="s">
        <v>5442</v>
      </c>
      <c r="T226" s="3">
        <v>42466</v>
      </c>
    </row>
    <row r="227" spans="1:20" x14ac:dyDescent="0.3">
      <c r="A227">
        <v>228</v>
      </c>
      <c r="B227">
        <v>6127</v>
      </c>
      <c r="C227" t="s">
        <v>5770</v>
      </c>
      <c r="D227">
        <v>9.6999999999999993</v>
      </c>
      <c r="E227" t="s">
        <v>5456</v>
      </c>
      <c r="J227" s="5">
        <v>6.16</v>
      </c>
      <c r="K227" t="s">
        <v>5481</v>
      </c>
      <c r="L227">
        <v>4.13</v>
      </c>
      <c r="M227" t="s">
        <v>5470</v>
      </c>
      <c r="N227" t="s">
        <v>5471</v>
      </c>
      <c r="O227" t="s">
        <v>2</v>
      </c>
      <c r="R227" t="s">
        <v>5442</v>
      </c>
      <c r="T227" s="3">
        <v>42459</v>
      </c>
    </row>
    <row r="228" spans="1:20" x14ac:dyDescent="0.3">
      <c r="A228">
        <v>229</v>
      </c>
      <c r="B228">
        <v>1613</v>
      </c>
      <c r="C228" t="s">
        <v>19</v>
      </c>
      <c r="D228">
        <v>3.02</v>
      </c>
      <c r="E228" t="s">
        <v>5771</v>
      </c>
      <c r="J228" s="5">
        <v>6.28</v>
      </c>
      <c r="K228" t="s">
        <v>5481</v>
      </c>
      <c r="L228">
        <v>4.2699999999999996</v>
      </c>
      <c r="M228" t="s">
        <v>5468</v>
      </c>
      <c r="N228" t="s">
        <v>20</v>
      </c>
      <c r="O228" t="s">
        <v>2</v>
      </c>
      <c r="R228" t="s">
        <v>5454</v>
      </c>
      <c r="T228" s="3">
        <v>42472</v>
      </c>
    </row>
    <row r="229" spans="1:20" x14ac:dyDescent="0.3">
      <c r="A229">
        <v>230</v>
      </c>
      <c r="B229">
        <v>3588</v>
      </c>
      <c r="C229" t="s">
        <v>182</v>
      </c>
      <c r="D229">
        <v>29.8</v>
      </c>
      <c r="E229" t="s">
        <v>5772</v>
      </c>
      <c r="J229" s="5">
        <v>6.21</v>
      </c>
      <c r="K229" t="s">
        <v>5469</v>
      </c>
      <c r="L229">
        <v>4.2</v>
      </c>
      <c r="M229" t="s">
        <v>5482</v>
      </c>
      <c r="N229" t="s">
        <v>14</v>
      </c>
      <c r="O229" t="s">
        <v>41</v>
      </c>
      <c r="R229" t="s">
        <v>5442</v>
      </c>
      <c r="T229" s="3">
        <v>42459</v>
      </c>
    </row>
    <row r="230" spans="1:20" x14ac:dyDescent="0.3">
      <c r="A230">
        <v>231</v>
      </c>
      <c r="B230">
        <v>2605</v>
      </c>
      <c r="C230" t="s">
        <v>212</v>
      </c>
      <c r="D230">
        <v>20.85</v>
      </c>
      <c r="E230" t="s">
        <v>5773</v>
      </c>
      <c r="J230" s="5">
        <v>6.29</v>
      </c>
      <c r="K230" t="s">
        <v>5440</v>
      </c>
      <c r="L230">
        <v>4.2699999999999996</v>
      </c>
      <c r="M230" t="s">
        <v>5484</v>
      </c>
      <c r="N230" t="s">
        <v>1</v>
      </c>
      <c r="O230" t="s">
        <v>2</v>
      </c>
      <c r="R230" t="s">
        <v>5454</v>
      </c>
      <c r="T230" s="3">
        <v>42459</v>
      </c>
    </row>
    <row r="231" spans="1:20" x14ac:dyDescent="0.3">
      <c r="A231">
        <v>232</v>
      </c>
      <c r="B231">
        <v>2904</v>
      </c>
      <c r="C231" t="s">
        <v>180</v>
      </c>
      <c r="D231">
        <v>27.6</v>
      </c>
      <c r="E231" t="s">
        <v>5456</v>
      </c>
      <c r="J231" s="5">
        <v>6.3</v>
      </c>
      <c r="K231" t="s">
        <v>5440</v>
      </c>
      <c r="L231">
        <v>4.2699999999999996</v>
      </c>
      <c r="M231" t="s">
        <v>3</v>
      </c>
      <c r="N231" t="s">
        <v>4</v>
      </c>
      <c r="O231" t="s">
        <v>2</v>
      </c>
      <c r="R231" t="s">
        <v>5454</v>
      </c>
      <c r="T231" s="3">
        <v>42459</v>
      </c>
    </row>
    <row r="232" spans="1:20" x14ac:dyDescent="0.3">
      <c r="A232">
        <v>233</v>
      </c>
      <c r="B232">
        <v>1605</v>
      </c>
      <c r="C232" t="s">
        <v>5774</v>
      </c>
      <c r="D232">
        <v>8.58</v>
      </c>
      <c r="E232" t="s">
        <v>5775</v>
      </c>
      <c r="J232" s="5">
        <v>5.25</v>
      </c>
      <c r="K232" t="s">
        <v>5440</v>
      </c>
      <c r="L232">
        <v>3.23</v>
      </c>
      <c r="M232" t="s">
        <v>12</v>
      </c>
      <c r="N232" t="s">
        <v>18</v>
      </c>
      <c r="O232" t="s">
        <v>2</v>
      </c>
      <c r="R232" t="s">
        <v>5442</v>
      </c>
      <c r="T232" s="3">
        <v>42459</v>
      </c>
    </row>
    <row r="233" spans="1:20" x14ac:dyDescent="0.3">
      <c r="A233">
        <v>234</v>
      </c>
      <c r="B233">
        <v>2329</v>
      </c>
      <c r="C233" t="s">
        <v>5776</v>
      </c>
      <c r="D233">
        <v>12.7</v>
      </c>
      <c r="E233" t="s">
        <v>5777</v>
      </c>
      <c r="J233" s="5">
        <v>6.22</v>
      </c>
      <c r="K233" t="s">
        <v>5524</v>
      </c>
      <c r="L233">
        <v>4.2</v>
      </c>
      <c r="M233" t="s">
        <v>5484</v>
      </c>
      <c r="N233" t="s">
        <v>1</v>
      </c>
      <c r="O233" t="s">
        <v>2</v>
      </c>
      <c r="R233" t="s">
        <v>5454</v>
      </c>
      <c r="T233" s="3">
        <v>42459</v>
      </c>
    </row>
    <row r="234" spans="1:20" x14ac:dyDescent="0.3">
      <c r="A234">
        <v>235</v>
      </c>
      <c r="B234">
        <v>3095</v>
      </c>
      <c r="C234" t="s">
        <v>297</v>
      </c>
      <c r="D234">
        <v>4.8</v>
      </c>
      <c r="E234" t="s">
        <v>5778</v>
      </c>
      <c r="J234" s="5">
        <v>6.03</v>
      </c>
      <c r="K234" t="s">
        <v>5447</v>
      </c>
      <c r="L234">
        <v>3.3</v>
      </c>
      <c r="M234" t="s">
        <v>5484</v>
      </c>
      <c r="N234" t="s">
        <v>1</v>
      </c>
      <c r="O234" t="s">
        <v>2</v>
      </c>
      <c r="R234" t="s">
        <v>5442</v>
      </c>
      <c r="T234" s="3">
        <v>42459</v>
      </c>
    </row>
    <row r="235" spans="1:20" x14ac:dyDescent="0.3">
      <c r="A235">
        <v>236</v>
      </c>
      <c r="B235">
        <v>2353</v>
      </c>
      <c r="C235" t="s">
        <v>243</v>
      </c>
      <c r="D235">
        <v>12.3</v>
      </c>
      <c r="E235" t="s">
        <v>5779</v>
      </c>
      <c r="J235" s="5">
        <v>6.24</v>
      </c>
      <c r="K235" t="s">
        <v>5447</v>
      </c>
      <c r="L235">
        <v>4.21</v>
      </c>
      <c r="M235" t="s">
        <v>12</v>
      </c>
      <c r="N235" t="s">
        <v>244</v>
      </c>
      <c r="O235" t="s">
        <v>2</v>
      </c>
      <c r="R235" t="s">
        <v>5442</v>
      </c>
      <c r="T235" s="3">
        <v>42459</v>
      </c>
    </row>
    <row r="236" spans="1:20" x14ac:dyDescent="0.3">
      <c r="A236">
        <v>237</v>
      </c>
      <c r="B236">
        <v>5324</v>
      </c>
      <c r="C236" t="s">
        <v>121</v>
      </c>
      <c r="D236">
        <v>9.6300000000000008</v>
      </c>
      <c r="E236" t="s">
        <v>5780</v>
      </c>
      <c r="J236" s="5">
        <v>6.15</v>
      </c>
      <c r="K236" t="s">
        <v>5440</v>
      </c>
      <c r="L236">
        <v>4.13</v>
      </c>
      <c r="M236" t="s">
        <v>5555</v>
      </c>
      <c r="N236" t="s">
        <v>25</v>
      </c>
      <c r="O236" t="s">
        <v>2</v>
      </c>
      <c r="R236" t="s">
        <v>5454</v>
      </c>
      <c r="T236" s="3">
        <v>42459</v>
      </c>
    </row>
    <row r="237" spans="1:20" x14ac:dyDescent="0.3">
      <c r="A237">
        <v>238</v>
      </c>
      <c r="B237">
        <v>3141</v>
      </c>
      <c r="C237" t="s">
        <v>156</v>
      </c>
      <c r="D237">
        <v>41.45</v>
      </c>
      <c r="E237" t="s">
        <v>5781</v>
      </c>
      <c r="J237" s="5">
        <v>5.27</v>
      </c>
      <c r="K237" t="s">
        <v>5440</v>
      </c>
      <c r="L237">
        <v>3.24</v>
      </c>
      <c r="M237" t="s">
        <v>5470</v>
      </c>
      <c r="N237" t="s">
        <v>5471</v>
      </c>
      <c r="O237" t="s">
        <v>2</v>
      </c>
      <c r="R237" t="s">
        <v>5478</v>
      </c>
      <c r="T237" s="3">
        <v>42459</v>
      </c>
    </row>
    <row r="238" spans="1:20" x14ac:dyDescent="0.3">
      <c r="A238">
        <v>239</v>
      </c>
      <c r="B238">
        <v>5328</v>
      </c>
      <c r="C238" t="s">
        <v>5782</v>
      </c>
      <c r="D238">
        <v>6.01</v>
      </c>
      <c r="E238" t="s">
        <v>5783</v>
      </c>
      <c r="J238" s="5">
        <v>6.2</v>
      </c>
      <c r="K238" t="s">
        <v>5524</v>
      </c>
      <c r="L238">
        <v>4.1900000000000004</v>
      </c>
      <c r="M238" t="s">
        <v>5470</v>
      </c>
      <c r="N238" t="s">
        <v>5471</v>
      </c>
      <c r="O238" t="s">
        <v>2</v>
      </c>
      <c r="R238" t="s">
        <v>5478</v>
      </c>
      <c r="T238" s="3">
        <v>42459</v>
      </c>
    </row>
    <row r="239" spans="1:20" x14ac:dyDescent="0.3">
      <c r="A239">
        <v>240</v>
      </c>
      <c r="B239">
        <v>2614</v>
      </c>
      <c r="C239" t="s">
        <v>200</v>
      </c>
      <c r="D239">
        <v>6.03</v>
      </c>
      <c r="E239" t="s">
        <v>5784</v>
      </c>
      <c r="J239" s="5">
        <v>6.2</v>
      </c>
      <c r="K239" t="s">
        <v>5440</v>
      </c>
      <c r="L239">
        <v>4.1900000000000004</v>
      </c>
      <c r="M239" t="s">
        <v>3</v>
      </c>
      <c r="N239" t="s">
        <v>4</v>
      </c>
      <c r="O239" t="s">
        <v>2</v>
      </c>
      <c r="R239" t="s">
        <v>5442</v>
      </c>
      <c r="T239" s="3">
        <v>42460</v>
      </c>
    </row>
    <row r="240" spans="1:20" x14ac:dyDescent="0.3">
      <c r="A240">
        <v>241</v>
      </c>
      <c r="B240">
        <v>1733</v>
      </c>
      <c r="C240" t="s">
        <v>198</v>
      </c>
      <c r="D240">
        <v>44.65</v>
      </c>
      <c r="E240" t="s">
        <v>5785</v>
      </c>
      <c r="J240" s="5">
        <v>5.31</v>
      </c>
      <c r="K240" t="s">
        <v>5469</v>
      </c>
      <c r="L240">
        <v>3.3</v>
      </c>
      <c r="M240" t="s">
        <v>5496</v>
      </c>
      <c r="N240" t="s">
        <v>26</v>
      </c>
      <c r="O240" t="s">
        <v>2</v>
      </c>
      <c r="R240" t="s">
        <v>5442</v>
      </c>
      <c r="T240" s="3">
        <v>42460</v>
      </c>
    </row>
    <row r="241" spans="1:20" x14ac:dyDescent="0.3">
      <c r="A241">
        <v>242</v>
      </c>
      <c r="B241">
        <v>8040</v>
      </c>
      <c r="C241" t="s">
        <v>5786</v>
      </c>
      <c r="D241">
        <v>8.19</v>
      </c>
      <c r="E241" t="s">
        <v>5787</v>
      </c>
      <c r="J241" s="5">
        <v>6.2</v>
      </c>
      <c r="K241" t="s">
        <v>5469</v>
      </c>
      <c r="L241">
        <v>4.1900000000000004</v>
      </c>
      <c r="M241" t="s">
        <v>5464</v>
      </c>
      <c r="N241" t="s">
        <v>6</v>
      </c>
      <c r="O241" t="s">
        <v>2</v>
      </c>
      <c r="R241" t="s">
        <v>5442</v>
      </c>
      <c r="T241" s="3">
        <v>42460</v>
      </c>
    </row>
    <row r="242" spans="1:20" x14ac:dyDescent="0.3">
      <c r="A242">
        <v>243</v>
      </c>
      <c r="B242">
        <v>6237</v>
      </c>
      <c r="C242" t="s">
        <v>115</v>
      </c>
      <c r="D242">
        <v>35</v>
      </c>
      <c r="E242" t="s">
        <v>5788</v>
      </c>
      <c r="J242" s="5">
        <v>6.22</v>
      </c>
      <c r="K242" t="s">
        <v>5440</v>
      </c>
      <c r="L242">
        <v>4.2</v>
      </c>
      <c r="M242" t="s">
        <v>16</v>
      </c>
      <c r="N242" t="s">
        <v>17</v>
      </c>
      <c r="O242" t="s">
        <v>2</v>
      </c>
      <c r="R242" t="s">
        <v>5442</v>
      </c>
      <c r="T242" s="3">
        <v>42460</v>
      </c>
    </row>
    <row r="243" spans="1:20" x14ac:dyDescent="0.3">
      <c r="A243">
        <v>244</v>
      </c>
      <c r="B243">
        <v>5309</v>
      </c>
      <c r="C243" t="s">
        <v>5789</v>
      </c>
      <c r="D243">
        <v>16.899999999999999</v>
      </c>
      <c r="E243" t="s">
        <v>5790</v>
      </c>
      <c r="J243" s="5">
        <v>6.17</v>
      </c>
      <c r="K243" t="s">
        <v>5440</v>
      </c>
      <c r="L243">
        <v>4.1399999999999997</v>
      </c>
      <c r="M243" t="s">
        <v>5470</v>
      </c>
      <c r="N243" t="s">
        <v>5471</v>
      </c>
      <c r="O243" t="s">
        <v>2</v>
      </c>
      <c r="R243" t="s">
        <v>5442</v>
      </c>
      <c r="T243" s="3">
        <v>42460</v>
      </c>
    </row>
    <row r="244" spans="1:20" x14ac:dyDescent="0.3">
      <c r="A244">
        <v>245</v>
      </c>
      <c r="B244">
        <v>4971</v>
      </c>
      <c r="C244" t="s">
        <v>207</v>
      </c>
      <c r="D244">
        <v>138.5</v>
      </c>
      <c r="E244" t="s">
        <v>5456</v>
      </c>
      <c r="J244" s="5">
        <v>6.24</v>
      </c>
      <c r="K244" t="s">
        <v>5440</v>
      </c>
      <c r="L244">
        <v>4.21</v>
      </c>
      <c r="M244" t="s">
        <v>5484</v>
      </c>
      <c r="N244" t="s">
        <v>1</v>
      </c>
      <c r="O244" t="s">
        <v>41</v>
      </c>
      <c r="R244" t="s">
        <v>5442</v>
      </c>
      <c r="T244" s="3">
        <v>42460</v>
      </c>
    </row>
    <row r="245" spans="1:20" x14ac:dyDescent="0.3">
      <c r="A245">
        <v>246</v>
      </c>
      <c r="B245">
        <v>3202</v>
      </c>
      <c r="C245" t="s">
        <v>5791</v>
      </c>
      <c r="D245">
        <v>10.45</v>
      </c>
      <c r="E245" t="s">
        <v>5456</v>
      </c>
      <c r="J245" s="5">
        <v>5.24</v>
      </c>
      <c r="K245" t="s">
        <v>5447</v>
      </c>
      <c r="L245">
        <v>3.23</v>
      </c>
      <c r="M245" t="s">
        <v>5496</v>
      </c>
      <c r="N245" t="s">
        <v>26</v>
      </c>
      <c r="O245" t="s">
        <v>2</v>
      </c>
      <c r="R245" t="s">
        <v>5478</v>
      </c>
      <c r="T245" s="3">
        <v>42471</v>
      </c>
    </row>
    <row r="246" spans="1:20" x14ac:dyDescent="0.3">
      <c r="A246">
        <v>247</v>
      </c>
      <c r="B246">
        <v>1737</v>
      </c>
      <c r="C246" t="s">
        <v>5792</v>
      </c>
      <c r="D246">
        <v>28</v>
      </c>
      <c r="E246" t="s">
        <v>5530</v>
      </c>
      <c r="J246" s="5">
        <v>6.2</v>
      </c>
      <c r="K246" t="s">
        <v>5467</v>
      </c>
      <c r="L246">
        <v>4.1900000000000004</v>
      </c>
      <c r="M246" t="s">
        <v>5484</v>
      </c>
      <c r="N246" t="s">
        <v>1</v>
      </c>
      <c r="O246" t="s">
        <v>2</v>
      </c>
      <c r="R246" t="s">
        <v>5454</v>
      </c>
      <c r="T246" s="3">
        <v>42460</v>
      </c>
    </row>
    <row r="247" spans="1:20" x14ac:dyDescent="0.3">
      <c r="A247">
        <v>248</v>
      </c>
      <c r="B247">
        <v>1513</v>
      </c>
      <c r="C247" t="s">
        <v>185</v>
      </c>
      <c r="D247">
        <v>18.649999999999999</v>
      </c>
      <c r="E247" t="s">
        <v>5793</v>
      </c>
      <c r="J247" s="5">
        <v>6.27</v>
      </c>
      <c r="K247" t="s">
        <v>5481</v>
      </c>
      <c r="L247">
        <v>4.26</v>
      </c>
      <c r="M247" t="s">
        <v>5457</v>
      </c>
      <c r="N247" t="s">
        <v>10</v>
      </c>
      <c r="O247" t="s">
        <v>2</v>
      </c>
      <c r="R247" t="s">
        <v>5442</v>
      </c>
      <c r="T247" s="3">
        <v>42460</v>
      </c>
    </row>
    <row r="248" spans="1:20" x14ac:dyDescent="0.3">
      <c r="A248">
        <v>249</v>
      </c>
      <c r="B248">
        <v>1101</v>
      </c>
      <c r="C248" t="s">
        <v>151</v>
      </c>
      <c r="D248">
        <v>33.950000000000003</v>
      </c>
      <c r="E248" t="s">
        <v>5794</v>
      </c>
      <c r="J248" s="5">
        <v>6.22</v>
      </c>
      <c r="K248" t="s">
        <v>5440</v>
      </c>
      <c r="L248">
        <v>4.2</v>
      </c>
      <c r="M248" t="s">
        <v>5484</v>
      </c>
      <c r="N248" t="s">
        <v>1</v>
      </c>
      <c r="O248" t="s">
        <v>2</v>
      </c>
      <c r="R248" t="s">
        <v>5478</v>
      </c>
      <c r="T248" s="3">
        <v>42460</v>
      </c>
    </row>
    <row r="249" spans="1:20" x14ac:dyDescent="0.3">
      <c r="A249">
        <v>250</v>
      </c>
      <c r="B249">
        <v>2312</v>
      </c>
      <c r="C249" t="s">
        <v>5795</v>
      </c>
      <c r="D249">
        <v>11.4</v>
      </c>
      <c r="E249" t="s">
        <v>5796</v>
      </c>
      <c r="J249" s="5">
        <v>6.22</v>
      </c>
      <c r="K249" t="s">
        <v>5447</v>
      </c>
      <c r="L249">
        <v>4.2</v>
      </c>
      <c r="M249" t="s">
        <v>5484</v>
      </c>
      <c r="N249" t="s">
        <v>1</v>
      </c>
      <c r="O249" t="s">
        <v>41</v>
      </c>
      <c r="R249" t="s">
        <v>5478</v>
      </c>
      <c r="T249" s="3">
        <v>42460</v>
      </c>
    </row>
    <row r="250" spans="1:20" x14ac:dyDescent="0.3">
      <c r="A250">
        <v>251</v>
      </c>
      <c r="B250">
        <v>1786</v>
      </c>
      <c r="C250" t="s">
        <v>52</v>
      </c>
      <c r="D250">
        <v>60.4</v>
      </c>
      <c r="E250" t="s">
        <v>5797</v>
      </c>
      <c r="J250" s="5">
        <v>6.16</v>
      </c>
      <c r="K250" t="s">
        <v>5524</v>
      </c>
      <c r="L250">
        <v>4.13</v>
      </c>
      <c r="M250" t="s">
        <v>5477</v>
      </c>
      <c r="N250" t="s">
        <v>48</v>
      </c>
      <c r="O250" t="s">
        <v>2</v>
      </c>
      <c r="R250" t="s">
        <v>5442</v>
      </c>
      <c r="T250" s="3">
        <v>42460</v>
      </c>
    </row>
    <row r="251" spans="1:20" x14ac:dyDescent="0.3">
      <c r="A251">
        <v>252</v>
      </c>
      <c r="B251">
        <v>2880</v>
      </c>
      <c r="C251" t="s">
        <v>137</v>
      </c>
      <c r="D251">
        <v>15.85</v>
      </c>
      <c r="E251" t="s">
        <v>5798</v>
      </c>
      <c r="J251" s="5">
        <v>6.24</v>
      </c>
      <c r="K251" t="s">
        <v>5440</v>
      </c>
      <c r="L251">
        <v>4.21</v>
      </c>
      <c r="M251" t="s">
        <v>5468</v>
      </c>
      <c r="N251" t="s">
        <v>20</v>
      </c>
      <c r="O251" t="s">
        <v>41</v>
      </c>
      <c r="R251" t="s">
        <v>5478</v>
      </c>
      <c r="T251" s="3">
        <v>42460</v>
      </c>
    </row>
    <row r="252" spans="1:20" x14ac:dyDescent="0.3">
      <c r="A252">
        <v>253</v>
      </c>
      <c r="B252">
        <v>1714</v>
      </c>
      <c r="C252" t="s">
        <v>5799</v>
      </c>
      <c r="D252">
        <v>7.36</v>
      </c>
      <c r="E252" t="s">
        <v>5800</v>
      </c>
      <c r="J252" s="5">
        <v>6.21</v>
      </c>
      <c r="K252" t="s">
        <v>5447</v>
      </c>
      <c r="L252">
        <v>4.2</v>
      </c>
      <c r="M252" t="s">
        <v>12</v>
      </c>
      <c r="N252" t="s">
        <v>5801</v>
      </c>
      <c r="O252" t="s">
        <v>2</v>
      </c>
      <c r="R252" t="s">
        <v>5552</v>
      </c>
      <c r="T252" s="3">
        <v>42460</v>
      </c>
    </row>
    <row r="253" spans="1:20" x14ac:dyDescent="0.3">
      <c r="A253">
        <v>254</v>
      </c>
      <c r="B253">
        <v>8039</v>
      </c>
      <c r="C253" t="s">
        <v>5802</v>
      </c>
      <c r="D253">
        <v>35</v>
      </c>
      <c r="E253" t="s">
        <v>5444</v>
      </c>
      <c r="J253" s="5">
        <v>5.27</v>
      </c>
      <c r="K253" t="s">
        <v>5524</v>
      </c>
      <c r="L253">
        <v>3.24</v>
      </c>
      <c r="M253" t="s">
        <v>5555</v>
      </c>
      <c r="N253" t="s">
        <v>25</v>
      </c>
      <c r="O253" t="s">
        <v>2</v>
      </c>
      <c r="R253" t="s">
        <v>5442</v>
      </c>
      <c r="T253" s="3">
        <v>42460</v>
      </c>
    </row>
    <row r="254" spans="1:20" x14ac:dyDescent="0.3">
      <c r="A254">
        <v>255</v>
      </c>
      <c r="B254">
        <v>4979</v>
      </c>
      <c r="C254" t="s">
        <v>250</v>
      </c>
      <c r="D254">
        <v>62.6</v>
      </c>
      <c r="E254" t="s">
        <v>5565</v>
      </c>
      <c r="J254" s="5">
        <v>5.25</v>
      </c>
      <c r="K254" t="s">
        <v>5481</v>
      </c>
      <c r="L254">
        <v>3.23</v>
      </c>
      <c r="M254" t="s">
        <v>5464</v>
      </c>
      <c r="N254" t="s">
        <v>6</v>
      </c>
      <c r="O254" t="s">
        <v>2</v>
      </c>
      <c r="R254" t="s">
        <v>5442</v>
      </c>
      <c r="T254" s="3">
        <v>42460</v>
      </c>
    </row>
    <row r="255" spans="1:20" x14ac:dyDescent="0.3">
      <c r="A255">
        <v>256</v>
      </c>
      <c r="B255">
        <v>6163</v>
      </c>
      <c r="C255" t="s">
        <v>167</v>
      </c>
      <c r="D255">
        <v>10.45</v>
      </c>
      <c r="E255" t="s">
        <v>5803</v>
      </c>
      <c r="J255" s="5">
        <v>6.21</v>
      </c>
      <c r="K255" t="s">
        <v>5447</v>
      </c>
      <c r="L255">
        <v>4.2</v>
      </c>
      <c r="M255" t="s">
        <v>50</v>
      </c>
      <c r="N255" t="s">
        <v>51</v>
      </c>
      <c r="O255" t="s">
        <v>2</v>
      </c>
      <c r="R255" t="s">
        <v>5454</v>
      </c>
      <c r="T255" s="3">
        <v>42460</v>
      </c>
    </row>
    <row r="256" spans="1:20" x14ac:dyDescent="0.3">
      <c r="A256">
        <v>257</v>
      </c>
      <c r="B256">
        <v>6005</v>
      </c>
      <c r="C256" t="s">
        <v>302</v>
      </c>
      <c r="D256">
        <v>8.65</v>
      </c>
      <c r="E256" t="s">
        <v>5804</v>
      </c>
      <c r="J256" s="5">
        <v>6.27</v>
      </c>
      <c r="K256" t="s">
        <v>5440</v>
      </c>
      <c r="L256">
        <v>4.26</v>
      </c>
      <c r="M256" t="s">
        <v>5482</v>
      </c>
      <c r="N256" t="s">
        <v>14</v>
      </c>
      <c r="O256" t="s">
        <v>2</v>
      </c>
      <c r="R256" t="s">
        <v>5478</v>
      </c>
      <c r="T256" s="3">
        <v>42460</v>
      </c>
    </row>
    <row r="257" spans="1:20" x14ac:dyDescent="0.3">
      <c r="A257">
        <v>258</v>
      </c>
      <c r="B257">
        <v>2461</v>
      </c>
      <c r="C257" t="s">
        <v>5805</v>
      </c>
      <c r="D257">
        <v>14.3</v>
      </c>
      <c r="E257" t="s">
        <v>5599</v>
      </c>
      <c r="J257" s="5">
        <v>5.27</v>
      </c>
      <c r="K257" t="s">
        <v>5469</v>
      </c>
      <c r="L257">
        <v>3.24</v>
      </c>
      <c r="M257" t="s">
        <v>5470</v>
      </c>
      <c r="N257" t="s">
        <v>5471</v>
      </c>
      <c r="O257" t="s">
        <v>2</v>
      </c>
      <c r="R257" t="s">
        <v>5442</v>
      </c>
      <c r="T257" s="3">
        <v>42460</v>
      </c>
    </row>
    <row r="258" spans="1:20" x14ac:dyDescent="0.3">
      <c r="A258">
        <v>259</v>
      </c>
      <c r="B258">
        <v>2480</v>
      </c>
      <c r="C258" t="s">
        <v>5806</v>
      </c>
      <c r="D258">
        <v>26.5</v>
      </c>
      <c r="E258" t="s">
        <v>5444</v>
      </c>
      <c r="J258" s="5">
        <v>5.31</v>
      </c>
      <c r="K258" t="s">
        <v>5469</v>
      </c>
      <c r="L258">
        <v>3.3</v>
      </c>
      <c r="M258" t="s">
        <v>5555</v>
      </c>
      <c r="N258" t="s">
        <v>25</v>
      </c>
      <c r="O258" t="s">
        <v>2</v>
      </c>
      <c r="R258" t="s">
        <v>5454</v>
      </c>
      <c r="T258" s="3">
        <v>42460</v>
      </c>
    </row>
    <row r="259" spans="1:20" x14ac:dyDescent="0.3">
      <c r="A259">
        <v>260</v>
      </c>
      <c r="B259">
        <v>6251</v>
      </c>
      <c r="C259" t="s">
        <v>5807</v>
      </c>
      <c r="D259">
        <v>8.93</v>
      </c>
      <c r="E259" t="s">
        <v>5664</v>
      </c>
      <c r="J259" s="5">
        <v>5.27</v>
      </c>
      <c r="K259" t="s">
        <v>5481</v>
      </c>
      <c r="L259">
        <v>3.24</v>
      </c>
      <c r="M259" t="s">
        <v>5496</v>
      </c>
      <c r="N259" t="s">
        <v>26</v>
      </c>
      <c r="O259" t="s">
        <v>2</v>
      </c>
      <c r="R259" t="s">
        <v>5442</v>
      </c>
      <c r="T259" s="3">
        <v>42460</v>
      </c>
    </row>
    <row r="260" spans="1:20" x14ac:dyDescent="0.3">
      <c r="A260">
        <v>261</v>
      </c>
      <c r="B260">
        <v>2721</v>
      </c>
      <c r="C260" t="s">
        <v>5808</v>
      </c>
      <c r="E260" t="s">
        <v>5809</v>
      </c>
      <c r="J260" s="5">
        <v>6.21</v>
      </c>
      <c r="K260" t="s">
        <v>5440</v>
      </c>
      <c r="L260">
        <v>4.2</v>
      </c>
      <c r="M260" t="s">
        <v>5482</v>
      </c>
      <c r="N260" t="s">
        <v>14</v>
      </c>
      <c r="O260" t="s">
        <v>2</v>
      </c>
      <c r="R260" t="s">
        <v>5442</v>
      </c>
      <c r="T260" s="3">
        <v>42461</v>
      </c>
    </row>
    <row r="261" spans="1:20" x14ac:dyDescent="0.3">
      <c r="A261">
        <v>262</v>
      </c>
      <c r="B261">
        <v>2498</v>
      </c>
      <c r="C261" t="s">
        <v>67</v>
      </c>
      <c r="D261">
        <v>83</v>
      </c>
      <c r="E261" t="s">
        <v>5810</v>
      </c>
      <c r="J261" s="5">
        <v>6.24</v>
      </c>
      <c r="K261" t="s">
        <v>5481</v>
      </c>
      <c r="L261">
        <v>4.21</v>
      </c>
      <c r="M261" t="s">
        <v>5484</v>
      </c>
      <c r="N261" t="s">
        <v>1</v>
      </c>
      <c r="O261" t="s">
        <v>2</v>
      </c>
      <c r="R261" t="s">
        <v>5454</v>
      </c>
      <c r="T261" s="3">
        <v>42461</v>
      </c>
    </row>
    <row r="262" spans="1:20" x14ac:dyDescent="0.3">
      <c r="A262">
        <v>263</v>
      </c>
      <c r="B262">
        <v>2705</v>
      </c>
      <c r="C262" t="s">
        <v>256</v>
      </c>
      <c r="D262">
        <v>9.68</v>
      </c>
      <c r="E262" t="s">
        <v>5811</v>
      </c>
      <c r="J262" s="5">
        <v>6.2</v>
      </c>
      <c r="K262" t="s">
        <v>5469</v>
      </c>
      <c r="L262">
        <v>4.1900000000000004</v>
      </c>
      <c r="M262" t="s">
        <v>5496</v>
      </c>
      <c r="N262" t="s">
        <v>26</v>
      </c>
      <c r="O262" t="s">
        <v>2</v>
      </c>
      <c r="R262" t="s">
        <v>5442</v>
      </c>
      <c r="T262" s="3">
        <v>42461</v>
      </c>
    </row>
    <row r="263" spans="1:20" x14ac:dyDescent="0.3">
      <c r="A263">
        <v>264</v>
      </c>
      <c r="B263">
        <v>3372</v>
      </c>
      <c r="C263" t="s">
        <v>64</v>
      </c>
      <c r="D263">
        <v>7.07</v>
      </c>
      <c r="E263" t="s">
        <v>5812</v>
      </c>
      <c r="J263" s="5">
        <v>6.03</v>
      </c>
      <c r="K263" t="s">
        <v>5524</v>
      </c>
      <c r="L263">
        <v>3.3</v>
      </c>
      <c r="M263" t="s">
        <v>50</v>
      </c>
      <c r="N263" t="s">
        <v>51</v>
      </c>
      <c r="O263" t="s">
        <v>2</v>
      </c>
      <c r="R263" t="s">
        <v>5478</v>
      </c>
      <c r="T263" s="3">
        <v>42461</v>
      </c>
    </row>
    <row r="264" spans="1:20" x14ac:dyDescent="0.3">
      <c r="A264">
        <v>265</v>
      </c>
      <c r="B264">
        <v>1201</v>
      </c>
      <c r="C264" t="s">
        <v>5813</v>
      </c>
      <c r="D264">
        <v>19.899999999999999</v>
      </c>
      <c r="E264" t="s">
        <v>5814</v>
      </c>
      <c r="J264" s="5">
        <v>6.28</v>
      </c>
      <c r="K264" t="s">
        <v>5481</v>
      </c>
      <c r="L264">
        <v>4.2699999999999996</v>
      </c>
      <c r="M264" t="s">
        <v>5555</v>
      </c>
      <c r="N264" t="s">
        <v>25</v>
      </c>
      <c r="O264" t="s">
        <v>2</v>
      </c>
      <c r="R264" t="s">
        <v>5478</v>
      </c>
      <c r="T264" s="3">
        <v>42461</v>
      </c>
    </row>
    <row r="265" spans="1:20" x14ac:dyDescent="0.3">
      <c r="A265">
        <v>266</v>
      </c>
      <c r="B265">
        <v>8085</v>
      </c>
      <c r="C265" t="s">
        <v>195</v>
      </c>
      <c r="D265">
        <v>3.73</v>
      </c>
      <c r="E265" t="s">
        <v>5815</v>
      </c>
      <c r="J265" s="5">
        <v>6.23</v>
      </c>
      <c r="K265" t="s">
        <v>5447</v>
      </c>
      <c r="L265">
        <v>4.2</v>
      </c>
      <c r="M265" t="s">
        <v>3</v>
      </c>
      <c r="N265" t="s">
        <v>4</v>
      </c>
      <c r="O265" t="s">
        <v>2</v>
      </c>
      <c r="R265" t="s">
        <v>5478</v>
      </c>
      <c r="T265" s="3">
        <v>42461</v>
      </c>
    </row>
    <row r="266" spans="1:20" x14ac:dyDescent="0.3">
      <c r="A266">
        <v>267</v>
      </c>
      <c r="B266">
        <v>3706</v>
      </c>
      <c r="C266" t="s">
        <v>111</v>
      </c>
      <c r="D266">
        <v>25.45</v>
      </c>
      <c r="E266" t="s">
        <v>5720</v>
      </c>
      <c r="J266" s="5">
        <v>6.21</v>
      </c>
      <c r="K266" t="s">
        <v>5469</v>
      </c>
      <c r="L266">
        <v>4.2</v>
      </c>
      <c r="M266" t="s">
        <v>5484</v>
      </c>
      <c r="N266" t="s">
        <v>1</v>
      </c>
      <c r="O266" t="s">
        <v>2</v>
      </c>
      <c r="R266" t="s">
        <v>5454</v>
      </c>
      <c r="T266" s="3">
        <v>42461</v>
      </c>
    </row>
    <row r="267" spans="1:20" x14ac:dyDescent="0.3">
      <c r="A267">
        <v>268</v>
      </c>
      <c r="B267">
        <v>3037</v>
      </c>
      <c r="C267" t="s">
        <v>5816</v>
      </c>
      <c r="D267">
        <v>15.8</v>
      </c>
      <c r="E267" t="s">
        <v>5582</v>
      </c>
      <c r="J267" s="5">
        <v>6.21</v>
      </c>
      <c r="K267" t="s">
        <v>5481</v>
      </c>
      <c r="L267">
        <v>4.2</v>
      </c>
      <c r="M267" t="s">
        <v>16</v>
      </c>
      <c r="N267" t="s">
        <v>17</v>
      </c>
      <c r="O267" t="s">
        <v>2</v>
      </c>
      <c r="R267" t="s">
        <v>5442</v>
      </c>
      <c r="T267" s="3">
        <v>42461</v>
      </c>
    </row>
    <row r="268" spans="1:20" x14ac:dyDescent="0.3">
      <c r="A268">
        <v>269</v>
      </c>
      <c r="B268">
        <v>2206</v>
      </c>
      <c r="C268" t="s">
        <v>5817</v>
      </c>
      <c r="D268">
        <v>21.4</v>
      </c>
      <c r="E268" t="s">
        <v>5818</v>
      </c>
      <c r="J268" s="5">
        <v>6.22</v>
      </c>
      <c r="K268" t="s">
        <v>5469</v>
      </c>
      <c r="L268">
        <v>4.2</v>
      </c>
      <c r="M268" t="s">
        <v>5491</v>
      </c>
      <c r="N268" t="s">
        <v>122</v>
      </c>
      <c r="O268" t="s">
        <v>2</v>
      </c>
      <c r="R268" t="s">
        <v>5442</v>
      </c>
      <c r="T268" s="3">
        <v>42461</v>
      </c>
    </row>
    <row r="269" spans="1:20" x14ac:dyDescent="0.3">
      <c r="A269">
        <v>270</v>
      </c>
      <c r="B269">
        <v>4733</v>
      </c>
      <c r="C269" t="s">
        <v>5819</v>
      </c>
      <c r="D269">
        <v>122</v>
      </c>
      <c r="E269" t="s">
        <v>5532</v>
      </c>
      <c r="J269" s="5">
        <v>5.31</v>
      </c>
      <c r="K269" t="s">
        <v>5671</v>
      </c>
      <c r="L269">
        <v>3.3</v>
      </c>
      <c r="M269" t="s">
        <v>5496</v>
      </c>
      <c r="N269" t="s">
        <v>26</v>
      </c>
      <c r="O269" t="s">
        <v>2</v>
      </c>
      <c r="R269" t="s">
        <v>5454</v>
      </c>
      <c r="T269" s="3">
        <v>42461</v>
      </c>
    </row>
    <row r="270" spans="1:20" x14ac:dyDescent="0.3">
      <c r="A270">
        <v>271</v>
      </c>
      <c r="B270">
        <v>1234</v>
      </c>
      <c r="C270" t="s">
        <v>263</v>
      </c>
      <c r="D270">
        <v>34.85</v>
      </c>
      <c r="E270" t="s">
        <v>5820</v>
      </c>
      <c r="J270" s="5">
        <v>6.2</v>
      </c>
      <c r="K270" t="s">
        <v>5481</v>
      </c>
      <c r="L270">
        <v>4.1900000000000004</v>
      </c>
      <c r="M270" t="s">
        <v>16</v>
      </c>
      <c r="N270" t="s">
        <v>17</v>
      </c>
      <c r="O270" t="s">
        <v>2</v>
      </c>
      <c r="R270" t="s">
        <v>5454</v>
      </c>
      <c r="T270" s="3">
        <v>42461</v>
      </c>
    </row>
    <row r="271" spans="1:20" x14ac:dyDescent="0.3">
      <c r="A271">
        <v>272</v>
      </c>
      <c r="B271">
        <v>2104</v>
      </c>
      <c r="C271" t="s">
        <v>152</v>
      </c>
      <c r="D271">
        <v>24.95</v>
      </c>
      <c r="E271" t="s">
        <v>5794</v>
      </c>
      <c r="J271" s="5">
        <v>6.24</v>
      </c>
      <c r="K271" t="s">
        <v>5440</v>
      </c>
      <c r="L271">
        <v>4.21</v>
      </c>
      <c r="M271" t="s">
        <v>5484</v>
      </c>
      <c r="N271" t="s">
        <v>1</v>
      </c>
      <c r="O271" t="s">
        <v>2</v>
      </c>
      <c r="R271" t="s">
        <v>5442</v>
      </c>
      <c r="T271" s="3">
        <v>42461</v>
      </c>
    </row>
    <row r="272" spans="1:20" x14ac:dyDescent="0.3">
      <c r="A272">
        <v>273</v>
      </c>
      <c r="B272">
        <v>2325</v>
      </c>
      <c r="C272" t="s">
        <v>1092</v>
      </c>
      <c r="D272">
        <v>50.5</v>
      </c>
      <c r="E272" t="s">
        <v>5595</v>
      </c>
      <c r="F272">
        <v>4.1500000000000004</v>
      </c>
      <c r="G272">
        <v>5.0999999999999996</v>
      </c>
      <c r="H272" t="s">
        <v>5577</v>
      </c>
      <c r="J272" s="5">
        <v>5.16</v>
      </c>
      <c r="K272" t="s">
        <v>5463</v>
      </c>
      <c r="L272">
        <v>3.15</v>
      </c>
      <c r="M272" t="s">
        <v>5484</v>
      </c>
      <c r="N272" t="s">
        <v>1</v>
      </c>
      <c r="O272" t="s">
        <v>2</v>
      </c>
      <c r="Q272">
        <v>1</v>
      </c>
      <c r="R272" t="s">
        <v>5442</v>
      </c>
      <c r="T272" s="3">
        <v>42477</v>
      </c>
    </row>
    <row r="273" spans="1:20" x14ac:dyDescent="0.3">
      <c r="A273">
        <v>274</v>
      </c>
      <c r="B273">
        <v>2514</v>
      </c>
      <c r="C273" t="s">
        <v>5821</v>
      </c>
      <c r="D273">
        <v>18.399999999999999</v>
      </c>
      <c r="E273" t="s">
        <v>5546</v>
      </c>
      <c r="F273">
        <v>5.12</v>
      </c>
      <c r="G273">
        <v>5.13</v>
      </c>
      <c r="H273" t="s">
        <v>5822</v>
      </c>
      <c r="I273" t="s">
        <v>5823</v>
      </c>
      <c r="J273" s="5">
        <v>5.13</v>
      </c>
      <c r="K273" t="s">
        <v>5440</v>
      </c>
      <c r="L273">
        <v>3.1</v>
      </c>
      <c r="M273" t="s">
        <v>5555</v>
      </c>
      <c r="N273" t="s">
        <v>25</v>
      </c>
      <c r="O273" t="s">
        <v>2</v>
      </c>
      <c r="Q273">
        <v>1</v>
      </c>
      <c r="R273" t="s">
        <v>5454</v>
      </c>
      <c r="S273" t="s">
        <v>5824</v>
      </c>
      <c r="T273" s="3">
        <v>42469</v>
      </c>
    </row>
    <row r="274" spans="1:20" x14ac:dyDescent="0.3">
      <c r="A274">
        <v>275</v>
      </c>
      <c r="B274">
        <v>1409</v>
      </c>
      <c r="C274" t="s">
        <v>289</v>
      </c>
      <c r="D274">
        <v>8.92</v>
      </c>
      <c r="E274" t="s">
        <v>5825</v>
      </c>
      <c r="J274" s="5">
        <v>5.31</v>
      </c>
      <c r="K274" t="s">
        <v>5440</v>
      </c>
      <c r="L274">
        <v>3.3</v>
      </c>
      <c r="M274" t="s">
        <v>5826</v>
      </c>
      <c r="N274" t="s">
        <v>105</v>
      </c>
      <c r="O274" t="s">
        <v>2</v>
      </c>
      <c r="R274" t="s">
        <v>5442</v>
      </c>
      <c r="T274" s="3">
        <v>42461</v>
      </c>
    </row>
    <row r="275" spans="1:20" x14ac:dyDescent="0.3">
      <c r="A275">
        <v>276</v>
      </c>
      <c r="B275">
        <v>6229</v>
      </c>
      <c r="C275" t="s">
        <v>248</v>
      </c>
      <c r="D275">
        <v>13.3</v>
      </c>
      <c r="E275" t="s">
        <v>5827</v>
      </c>
      <c r="J275" s="5">
        <v>6.23</v>
      </c>
      <c r="K275" t="s">
        <v>5447</v>
      </c>
      <c r="L275">
        <v>4.2</v>
      </c>
      <c r="M275" t="s">
        <v>5496</v>
      </c>
      <c r="N275" t="s">
        <v>26</v>
      </c>
      <c r="O275" t="s">
        <v>2</v>
      </c>
      <c r="R275" t="s">
        <v>5442</v>
      </c>
      <c r="T275" s="3">
        <v>42461</v>
      </c>
    </row>
    <row r="276" spans="1:20" x14ac:dyDescent="0.3">
      <c r="A276">
        <v>277</v>
      </c>
      <c r="B276">
        <v>9914</v>
      </c>
      <c r="C276" t="s">
        <v>252</v>
      </c>
      <c r="D276">
        <v>134.5</v>
      </c>
      <c r="E276" t="s">
        <v>5828</v>
      </c>
      <c r="J276" s="5">
        <v>6.22</v>
      </c>
      <c r="K276" t="s">
        <v>5493</v>
      </c>
      <c r="L276">
        <v>4.2</v>
      </c>
      <c r="M276" t="s">
        <v>5555</v>
      </c>
      <c r="N276" t="s">
        <v>25</v>
      </c>
      <c r="O276" t="s">
        <v>2</v>
      </c>
      <c r="R276" t="s">
        <v>5442</v>
      </c>
      <c r="T276" s="3">
        <v>42461</v>
      </c>
    </row>
    <row r="277" spans="1:20" x14ac:dyDescent="0.3">
      <c r="A277">
        <v>278</v>
      </c>
      <c r="B277">
        <v>2311</v>
      </c>
      <c r="C277" t="s">
        <v>235</v>
      </c>
      <c r="D277">
        <v>34.299999999999997</v>
      </c>
      <c r="E277" t="s">
        <v>5829</v>
      </c>
      <c r="J277" s="5">
        <v>6.28</v>
      </c>
      <c r="K277" t="s">
        <v>5524</v>
      </c>
      <c r="L277">
        <v>4.2699999999999996</v>
      </c>
      <c r="M277" t="s">
        <v>3</v>
      </c>
      <c r="N277" t="s">
        <v>4</v>
      </c>
      <c r="O277" t="s">
        <v>41</v>
      </c>
      <c r="R277" t="s">
        <v>5442</v>
      </c>
      <c r="T277" s="3">
        <v>42461</v>
      </c>
    </row>
    <row r="278" spans="1:20" x14ac:dyDescent="0.3">
      <c r="A278">
        <v>279</v>
      </c>
      <c r="B278">
        <v>2020</v>
      </c>
      <c r="C278" t="s">
        <v>5830</v>
      </c>
      <c r="D278">
        <v>12.25</v>
      </c>
      <c r="E278" t="s">
        <v>5553</v>
      </c>
      <c r="J278" s="5">
        <v>6.21</v>
      </c>
      <c r="K278" t="s">
        <v>5481</v>
      </c>
      <c r="L278">
        <v>4.2</v>
      </c>
      <c r="M278" t="s">
        <v>5746</v>
      </c>
      <c r="N278" t="s">
        <v>166</v>
      </c>
      <c r="O278" t="s">
        <v>2</v>
      </c>
      <c r="R278" t="s">
        <v>5442</v>
      </c>
      <c r="T278" s="3">
        <v>42461</v>
      </c>
    </row>
    <row r="279" spans="1:20" x14ac:dyDescent="0.3">
      <c r="A279">
        <v>280</v>
      </c>
      <c r="B279">
        <v>9912</v>
      </c>
      <c r="C279" t="s">
        <v>192</v>
      </c>
      <c r="D279">
        <v>9.0399999999999991</v>
      </c>
      <c r="E279" t="s">
        <v>5831</v>
      </c>
      <c r="J279" s="5">
        <v>6.24</v>
      </c>
      <c r="K279" t="s">
        <v>5440</v>
      </c>
      <c r="L279">
        <v>4.21</v>
      </c>
      <c r="M279" t="s">
        <v>5482</v>
      </c>
      <c r="N279" t="s">
        <v>14</v>
      </c>
      <c r="O279" t="s">
        <v>2</v>
      </c>
      <c r="R279" t="s">
        <v>5442</v>
      </c>
      <c r="T279" s="3">
        <v>42462</v>
      </c>
    </row>
    <row r="280" spans="1:20" x14ac:dyDescent="0.3">
      <c r="A280">
        <v>281</v>
      </c>
      <c r="B280">
        <v>5512</v>
      </c>
      <c r="C280" t="s">
        <v>132</v>
      </c>
      <c r="D280">
        <v>9.4</v>
      </c>
      <c r="E280" t="s">
        <v>5832</v>
      </c>
      <c r="J280" s="5">
        <v>6.21</v>
      </c>
      <c r="K280" t="s">
        <v>5440</v>
      </c>
      <c r="L280">
        <v>4.2</v>
      </c>
      <c r="M280" t="s">
        <v>5496</v>
      </c>
      <c r="N280" t="s">
        <v>26</v>
      </c>
      <c r="O280" t="s">
        <v>2</v>
      </c>
      <c r="R280" t="s">
        <v>5442</v>
      </c>
      <c r="T280" s="3">
        <v>42462</v>
      </c>
    </row>
    <row r="281" spans="1:20" x14ac:dyDescent="0.3">
      <c r="A281">
        <v>282</v>
      </c>
      <c r="B281">
        <v>3018</v>
      </c>
      <c r="C281" t="s">
        <v>5833</v>
      </c>
      <c r="D281">
        <v>16.600000000000001</v>
      </c>
      <c r="E281" t="s">
        <v>5500</v>
      </c>
      <c r="J281" s="5">
        <v>6.23</v>
      </c>
      <c r="K281" t="s">
        <v>5440</v>
      </c>
      <c r="L281">
        <v>4.2</v>
      </c>
      <c r="M281" t="s">
        <v>3</v>
      </c>
      <c r="N281" t="s">
        <v>4</v>
      </c>
      <c r="O281" t="s">
        <v>2</v>
      </c>
      <c r="R281" t="s">
        <v>5454</v>
      </c>
      <c r="T281" s="3">
        <v>42466</v>
      </c>
    </row>
    <row r="282" spans="1:20" x14ac:dyDescent="0.3">
      <c r="A282">
        <v>283</v>
      </c>
      <c r="B282">
        <v>3299</v>
      </c>
      <c r="C282" t="s">
        <v>322</v>
      </c>
      <c r="D282">
        <v>55.4</v>
      </c>
      <c r="E282" t="s">
        <v>5834</v>
      </c>
      <c r="J282" s="5">
        <v>6.03</v>
      </c>
      <c r="K282" t="s">
        <v>5467</v>
      </c>
      <c r="L282">
        <v>3.3</v>
      </c>
      <c r="M282" t="s">
        <v>5484</v>
      </c>
      <c r="N282" t="s">
        <v>1</v>
      </c>
      <c r="O282" t="s">
        <v>2</v>
      </c>
      <c r="R282" t="s">
        <v>5442</v>
      </c>
      <c r="T282" s="3">
        <v>42466</v>
      </c>
    </row>
    <row r="283" spans="1:20" x14ac:dyDescent="0.3">
      <c r="A283">
        <v>284</v>
      </c>
      <c r="B283">
        <v>3379</v>
      </c>
      <c r="C283" t="s">
        <v>5835</v>
      </c>
      <c r="D283">
        <v>13.25</v>
      </c>
      <c r="E283" t="s">
        <v>5836</v>
      </c>
      <c r="J283" s="5">
        <v>6.21</v>
      </c>
      <c r="K283" t="s">
        <v>5440</v>
      </c>
      <c r="L283">
        <v>4.2</v>
      </c>
      <c r="M283" t="s">
        <v>5484</v>
      </c>
      <c r="N283" t="s">
        <v>1</v>
      </c>
      <c r="O283" t="s">
        <v>2</v>
      </c>
      <c r="R283" t="s">
        <v>5454</v>
      </c>
      <c r="T283" s="3">
        <v>42466</v>
      </c>
    </row>
    <row r="284" spans="1:20" x14ac:dyDescent="0.3">
      <c r="A284">
        <v>285</v>
      </c>
      <c r="B284">
        <v>5438</v>
      </c>
      <c r="C284" t="s">
        <v>5837</v>
      </c>
      <c r="D284">
        <v>14.05</v>
      </c>
      <c r="E284" t="s">
        <v>5838</v>
      </c>
      <c r="J284" s="5">
        <v>6.21</v>
      </c>
      <c r="K284" t="s">
        <v>5481</v>
      </c>
      <c r="L284">
        <v>4.2</v>
      </c>
      <c r="M284" t="s">
        <v>5484</v>
      </c>
      <c r="N284" t="s">
        <v>1</v>
      </c>
      <c r="O284" t="s">
        <v>2</v>
      </c>
      <c r="R284" t="s">
        <v>5442</v>
      </c>
      <c r="T284" s="3">
        <v>42466</v>
      </c>
    </row>
    <row r="285" spans="1:20" x14ac:dyDescent="0.3">
      <c r="A285">
        <v>286</v>
      </c>
      <c r="B285">
        <v>1103</v>
      </c>
      <c r="C285" t="s">
        <v>214</v>
      </c>
      <c r="D285">
        <v>9.4</v>
      </c>
      <c r="E285" t="s">
        <v>5839</v>
      </c>
      <c r="J285" s="5">
        <v>6.27</v>
      </c>
      <c r="K285" t="s">
        <v>5440</v>
      </c>
      <c r="L285">
        <v>4.26</v>
      </c>
      <c r="M285" t="s">
        <v>5482</v>
      </c>
      <c r="N285" t="s">
        <v>14</v>
      </c>
      <c r="O285" t="s">
        <v>2</v>
      </c>
      <c r="R285" t="s">
        <v>5478</v>
      </c>
      <c r="T285" s="3">
        <v>42466</v>
      </c>
    </row>
    <row r="286" spans="1:20" x14ac:dyDescent="0.3">
      <c r="A286">
        <v>287</v>
      </c>
      <c r="B286">
        <v>3005</v>
      </c>
      <c r="C286" t="s">
        <v>5840</v>
      </c>
      <c r="D286">
        <v>22.5</v>
      </c>
      <c r="E286" t="s">
        <v>5720</v>
      </c>
      <c r="J286" s="5">
        <v>6.23</v>
      </c>
      <c r="K286" t="s">
        <v>5481</v>
      </c>
      <c r="L286">
        <v>4.2</v>
      </c>
      <c r="M286" t="s">
        <v>5484</v>
      </c>
      <c r="N286" t="s">
        <v>1</v>
      </c>
      <c r="O286" t="s">
        <v>2</v>
      </c>
      <c r="R286" t="s">
        <v>5454</v>
      </c>
      <c r="T286" s="3">
        <v>42466</v>
      </c>
    </row>
    <row r="287" spans="1:20" x14ac:dyDescent="0.3">
      <c r="A287">
        <v>288</v>
      </c>
      <c r="B287">
        <v>1423</v>
      </c>
      <c r="C287" t="s">
        <v>5841</v>
      </c>
      <c r="D287">
        <v>6.76</v>
      </c>
      <c r="E287" t="s">
        <v>5842</v>
      </c>
      <c r="J287" s="5">
        <v>6.23</v>
      </c>
      <c r="K287" t="s">
        <v>5481</v>
      </c>
      <c r="L287">
        <v>4.2</v>
      </c>
      <c r="M287" t="s">
        <v>5484</v>
      </c>
      <c r="N287" t="s">
        <v>1</v>
      </c>
      <c r="O287" t="s">
        <v>2</v>
      </c>
      <c r="R287" t="s">
        <v>5442</v>
      </c>
      <c r="T287" s="3">
        <v>42466</v>
      </c>
    </row>
    <row r="288" spans="1:20" x14ac:dyDescent="0.3">
      <c r="A288">
        <v>289</v>
      </c>
      <c r="B288">
        <v>4974</v>
      </c>
      <c r="C288" t="s">
        <v>3262</v>
      </c>
      <c r="D288">
        <v>34.35</v>
      </c>
      <c r="E288" t="s">
        <v>5500</v>
      </c>
      <c r="J288" s="5">
        <v>6.02</v>
      </c>
      <c r="K288" t="s">
        <v>5447</v>
      </c>
      <c r="L288">
        <v>3.3</v>
      </c>
      <c r="M288" t="s">
        <v>5484</v>
      </c>
      <c r="N288" t="s">
        <v>1</v>
      </c>
      <c r="O288" t="s">
        <v>2</v>
      </c>
      <c r="R288" t="s">
        <v>5478</v>
      </c>
      <c r="T288" s="3">
        <v>42466</v>
      </c>
    </row>
    <row r="289" spans="1:20" x14ac:dyDescent="0.3">
      <c r="A289">
        <v>290</v>
      </c>
      <c r="B289">
        <v>3086</v>
      </c>
      <c r="C289" t="s">
        <v>5843</v>
      </c>
      <c r="D289">
        <v>15.9</v>
      </c>
      <c r="E289" t="s">
        <v>5844</v>
      </c>
      <c r="J289" s="5">
        <v>6.23</v>
      </c>
      <c r="K289" t="s">
        <v>5440</v>
      </c>
      <c r="L289">
        <v>4.2</v>
      </c>
      <c r="M289" t="s">
        <v>5496</v>
      </c>
      <c r="N289" t="s">
        <v>26</v>
      </c>
      <c r="O289" t="s">
        <v>2</v>
      </c>
      <c r="R289" t="s">
        <v>5454</v>
      </c>
      <c r="T289" s="3">
        <v>42466</v>
      </c>
    </row>
    <row r="290" spans="1:20" x14ac:dyDescent="0.3">
      <c r="A290">
        <v>291</v>
      </c>
      <c r="B290">
        <v>5452</v>
      </c>
      <c r="C290" t="s">
        <v>213</v>
      </c>
      <c r="D290">
        <v>11.8</v>
      </c>
      <c r="E290" t="s">
        <v>5845</v>
      </c>
      <c r="J290" s="5">
        <v>6.29</v>
      </c>
      <c r="K290" t="s">
        <v>5447</v>
      </c>
      <c r="L290">
        <v>4.2699999999999996</v>
      </c>
      <c r="M290" t="s">
        <v>5457</v>
      </c>
      <c r="N290" t="s">
        <v>10</v>
      </c>
      <c r="O290" t="s">
        <v>2</v>
      </c>
      <c r="R290" t="s">
        <v>5454</v>
      </c>
      <c r="T290" s="3">
        <v>42466</v>
      </c>
    </row>
    <row r="291" spans="1:20" x14ac:dyDescent="0.3">
      <c r="A291">
        <v>292</v>
      </c>
      <c r="B291">
        <v>8080</v>
      </c>
      <c r="C291" t="s">
        <v>63</v>
      </c>
      <c r="D291">
        <v>22.95</v>
      </c>
      <c r="E291" t="s">
        <v>5500</v>
      </c>
      <c r="J291" s="5">
        <v>6.24</v>
      </c>
      <c r="K291" t="s">
        <v>5440</v>
      </c>
      <c r="L291">
        <v>4.21</v>
      </c>
      <c r="M291" t="s">
        <v>5464</v>
      </c>
      <c r="N291" t="s">
        <v>6</v>
      </c>
      <c r="O291" t="s">
        <v>41</v>
      </c>
      <c r="R291" t="s">
        <v>5442</v>
      </c>
      <c r="T291" s="3">
        <v>42466</v>
      </c>
    </row>
    <row r="292" spans="1:20" x14ac:dyDescent="0.3">
      <c r="A292">
        <v>293</v>
      </c>
      <c r="B292">
        <v>5478</v>
      </c>
      <c r="C292" t="s">
        <v>164</v>
      </c>
      <c r="D292">
        <v>67</v>
      </c>
      <c r="E292" t="s">
        <v>5846</v>
      </c>
      <c r="J292" s="5">
        <v>6.23</v>
      </c>
      <c r="K292" t="s">
        <v>5524</v>
      </c>
      <c r="L292">
        <v>4.2</v>
      </c>
      <c r="M292" t="s">
        <v>5555</v>
      </c>
      <c r="N292" t="s">
        <v>25</v>
      </c>
      <c r="O292" t="s">
        <v>2</v>
      </c>
      <c r="R292" t="s">
        <v>5442</v>
      </c>
      <c r="T292" s="3">
        <v>42466</v>
      </c>
    </row>
    <row r="293" spans="1:20" x14ac:dyDescent="0.3">
      <c r="A293">
        <v>294</v>
      </c>
      <c r="B293">
        <v>1418</v>
      </c>
      <c r="C293" t="s">
        <v>282</v>
      </c>
      <c r="D293">
        <v>5.38</v>
      </c>
      <c r="E293" t="s">
        <v>5847</v>
      </c>
      <c r="J293" s="5">
        <v>6.24</v>
      </c>
      <c r="K293" t="s">
        <v>5469</v>
      </c>
      <c r="L293">
        <v>4.21</v>
      </c>
      <c r="M293" t="s">
        <v>50</v>
      </c>
      <c r="N293" t="s">
        <v>51</v>
      </c>
      <c r="O293" t="s">
        <v>2</v>
      </c>
      <c r="R293" t="s">
        <v>5442</v>
      </c>
      <c r="T293" s="3">
        <v>42466</v>
      </c>
    </row>
    <row r="294" spans="1:20" x14ac:dyDescent="0.3">
      <c r="A294">
        <v>295</v>
      </c>
      <c r="B294">
        <v>3085</v>
      </c>
      <c r="C294" t="s">
        <v>364</v>
      </c>
      <c r="D294">
        <v>7.04</v>
      </c>
      <c r="E294" t="s">
        <v>5546</v>
      </c>
      <c r="J294" s="5">
        <v>6.23</v>
      </c>
      <c r="K294" t="s">
        <v>5463</v>
      </c>
      <c r="L294">
        <v>4.2</v>
      </c>
      <c r="M294" t="s">
        <v>5464</v>
      </c>
      <c r="N294" t="s">
        <v>6</v>
      </c>
      <c r="O294" t="s">
        <v>2</v>
      </c>
      <c r="R294" t="s">
        <v>5454</v>
      </c>
      <c r="T294" s="3">
        <v>42466</v>
      </c>
    </row>
    <row r="295" spans="1:20" x14ac:dyDescent="0.3">
      <c r="A295">
        <v>296</v>
      </c>
      <c r="B295">
        <v>3557</v>
      </c>
      <c r="C295" t="s">
        <v>5848</v>
      </c>
      <c r="D295">
        <v>4.1900000000000004</v>
      </c>
      <c r="E295" t="s">
        <v>5849</v>
      </c>
      <c r="J295" s="5">
        <v>6.23</v>
      </c>
      <c r="K295" t="s">
        <v>5524</v>
      </c>
      <c r="L295">
        <v>4.2</v>
      </c>
      <c r="M295" t="s">
        <v>50</v>
      </c>
      <c r="N295" t="s">
        <v>51</v>
      </c>
      <c r="O295" t="s">
        <v>2</v>
      </c>
      <c r="R295" t="s">
        <v>5478</v>
      </c>
      <c r="T295" s="3">
        <v>42466</v>
      </c>
    </row>
    <row r="296" spans="1:20" x14ac:dyDescent="0.3">
      <c r="A296">
        <v>297</v>
      </c>
      <c r="B296">
        <v>2874</v>
      </c>
      <c r="C296" t="s">
        <v>5850</v>
      </c>
      <c r="E296" t="s">
        <v>5851</v>
      </c>
      <c r="F296">
        <v>5.18</v>
      </c>
      <c r="G296">
        <v>5.26</v>
      </c>
      <c r="H296" t="s">
        <v>5768</v>
      </c>
      <c r="J296" s="5">
        <v>5.26</v>
      </c>
      <c r="K296" t="s">
        <v>5440</v>
      </c>
      <c r="L296">
        <v>3.23</v>
      </c>
      <c r="M296" t="s">
        <v>3</v>
      </c>
      <c r="N296" t="s">
        <v>4</v>
      </c>
      <c r="O296" t="s">
        <v>2</v>
      </c>
      <c r="Q296">
        <v>1</v>
      </c>
      <c r="R296" t="s">
        <v>5442</v>
      </c>
      <c r="T296" s="3">
        <v>42466</v>
      </c>
    </row>
    <row r="297" spans="1:20" x14ac:dyDescent="0.3">
      <c r="A297">
        <v>298</v>
      </c>
      <c r="B297">
        <v>5866</v>
      </c>
      <c r="C297" t="s">
        <v>5852</v>
      </c>
      <c r="E297" t="s">
        <v>5542</v>
      </c>
      <c r="J297" s="5">
        <v>5.26</v>
      </c>
      <c r="K297" t="s">
        <v>5440</v>
      </c>
      <c r="L297">
        <v>3.23</v>
      </c>
      <c r="M297" t="s">
        <v>3</v>
      </c>
      <c r="N297" t="s">
        <v>4</v>
      </c>
      <c r="O297" t="s">
        <v>2</v>
      </c>
      <c r="R297" t="s">
        <v>5442</v>
      </c>
      <c r="T297" s="3">
        <v>42466</v>
      </c>
    </row>
    <row r="298" spans="1:20" x14ac:dyDescent="0.3">
      <c r="A298">
        <v>299</v>
      </c>
      <c r="B298">
        <v>8050</v>
      </c>
      <c r="C298" t="s">
        <v>5853</v>
      </c>
      <c r="D298">
        <v>57.4</v>
      </c>
      <c r="E298" t="s">
        <v>5854</v>
      </c>
      <c r="J298" s="5">
        <v>6.24</v>
      </c>
      <c r="K298" t="s">
        <v>5440</v>
      </c>
      <c r="L298">
        <v>4.21</v>
      </c>
      <c r="M298" t="s">
        <v>5496</v>
      </c>
      <c r="N298" t="s">
        <v>26</v>
      </c>
      <c r="O298" t="s">
        <v>2</v>
      </c>
      <c r="R298" t="s">
        <v>5442</v>
      </c>
      <c r="T298" s="3">
        <v>42467</v>
      </c>
    </row>
    <row r="299" spans="1:20" x14ac:dyDescent="0.3">
      <c r="A299">
        <v>300</v>
      </c>
      <c r="B299">
        <v>2820</v>
      </c>
      <c r="C299" t="s">
        <v>7</v>
      </c>
      <c r="D299">
        <v>12.3</v>
      </c>
      <c r="E299" t="s">
        <v>5828</v>
      </c>
      <c r="J299" s="5">
        <v>6.02</v>
      </c>
      <c r="K299" t="s">
        <v>5440</v>
      </c>
      <c r="L299">
        <v>3.3</v>
      </c>
      <c r="M299" t="s">
        <v>5484</v>
      </c>
      <c r="N299" t="s">
        <v>1</v>
      </c>
      <c r="O299" t="s">
        <v>2</v>
      </c>
      <c r="R299" t="s">
        <v>5442</v>
      </c>
      <c r="T299" s="3">
        <v>42467</v>
      </c>
    </row>
    <row r="300" spans="1:20" x14ac:dyDescent="0.3">
      <c r="A300">
        <v>301</v>
      </c>
      <c r="B300">
        <v>3527</v>
      </c>
      <c r="C300" t="s">
        <v>71</v>
      </c>
      <c r="D300">
        <v>64.2</v>
      </c>
      <c r="E300" t="s">
        <v>5855</v>
      </c>
      <c r="J300" s="5">
        <v>6.03</v>
      </c>
      <c r="K300" t="s">
        <v>5469</v>
      </c>
      <c r="L300">
        <v>3.3</v>
      </c>
      <c r="M300" t="s">
        <v>5555</v>
      </c>
      <c r="N300" t="s">
        <v>25</v>
      </c>
      <c r="O300" t="s">
        <v>2</v>
      </c>
      <c r="R300" t="s">
        <v>5442</v>
      </c>
      <c r="T300" s="3">
        <v>42467</v>
      </c>
    </row>
    <row r="301" spans="1:20" x14ac:dyDescent="0.3">
      <c r="A301">
        <v>302</v>
      </c>
      <c r="B301">
        <v>3563</v>
      </c>
      <c r="C301" t="s">
        <v>275</v>
      </c>
      <c r="D301">
        <v>45.55</v>
      </c>
      <c r="E301" t="s">
        <v>5856</v>
      </c>
      <c r="J301" s="5">
        <v>5.27</v>
      </c>
      <c r="K301" t="s">
        <v>5469</v>
      </c>
      <c r="L301">
        <v>3.24</v>
      </c>
      <c r="M301" t="s">
        <v>5484</v>
      </c>
      <c r="N301" t="s">
        <v>1</v>
      </c>
      <c r="O301" t="s">
        <v>2</v>
      </c>
      <c r="R301" t="s">
        <v>5442</v>
      </c>
      <c r="T301" s="3">
        <v>42467</v>
      </c>
    </row>
    <row r="302" spans="1:20" x14ac:dyDescent="0.3">
      <c r="A302">
        <v>303</v>
      </c>
      <c r="B302">
        <v>2516</v>
      </c>
      <c r="C302" t="s">
        <v>5857</v>
      </c>
      <c r="D302">
        <v>6.65</v>
      </c>
      <c r="E302" t="s">
        <v>5858</v>
      </c>
      <c r="J302" s="5">
        <v>6.07</v>
      </c>
      <c r="K302" t="s">
        <v>5440</v>
      </c>
      <c r="L302">
        <v>4.0599999999999996</v>
      </c>
      <c r="M302" t="s">
        <v>5457</v>
      </c>
      <c r="N302" t="s">
        <v>10</v>
      </c>
      <c r="O302" t="s">
        <v>2</v>
      </c>
      <c r="R302" t="s">
        <v>5454</v>
      </c>
      <c r="T302" s="3">
        <v>42467</v>
      </c>
    </row>
    <row r="303" spans="1:20" x14ac:dyDescent="0.3">
      <c r="A303">
        <v>304</v>
      </c>
      <c r="B303">
        <v>5301</v>
      </c>
      <c r="C303" t="s">
        <v>3345</v>
      </c>
      <c r="D303">
        <v>33.299999999999997</v>
      </c>
      <c r="E303" t="s">
        <v>5859</v>
      </c>
      <c r="J303" s="5">
        <v>6.22</v>
      </c>
      <c r="K303" t="s">
        <v>5440</v>
      </c>
      <c r="L303">
        <v>4.2</v>
      </c>
      <c r="M303" t="s">
        <v>5746</v>
      </c>
      <c r="N303" t="s">
        <v>166</v>
      </c>
      <c r="O303" t="s">
        <v>2</v>
      </c>
      <c r="R303" t="s">
        <v>5478</v>
      </c>
      <c r="T303" s="3">
        <v>42467</v>
      </c>
    </row>
    <row r="304" spans="1:20" x14ac:dyDescent="0.3">
      <c r="A304">
        <v>305</v>
      </c>
      <c r="B304">
        <v>5863</v>
      </c>
      <c r="C304" t="s">
        <v>5860</v>
      </c>
      <c r="E304" t="s">
        <v>5861</v>
      </c>
      <c r="J304" s="5">
        <v>6.01</v>
      </c>
      <c r="K304" t="s">
        <v>5440</v>
      </c>
      <c r="L304">
        <v>3.3</v>
      </c>
      <c r="M304" t="s">
        <v>5826</v>
      </c>
      <c r="N304" t="s">
        <v>105</v>
      </c>
      <c r="O304" t="s">
        <v>2</v>
      </c>
      <c r="R304" t="s">
        <v>5478</v>
      </c>
      <c r="T304" s="3">
        <v>42467</v>
      </c>
    </row>
    <row r="305" spans="1:20" x14ac:dyDescent="0.3">
      <c r="A305">
        <v>306</v>
      </c>
      <c r="B305">
        <v>4121</v>
      </c>
      <c r="C305" t="s">
        <v>5862</v>
      </c>
      <c r="D305">
        <v>14.5</v>
      </c>
      <c r="E305" t="s">
        <v>5456</v>
      </c>
      <c r="J305" s="5">
        <v>5.31</v>
      </c>
      <c r="K305" t="s">
        <v>5440</v>
      </c>
      <c r="L305">
        <v>3.3</v>
      </c>
      <c r="M305" t="s">
        <v>5555</v>
      </c>
      <c r="N305" t="s">
        <v>25</v>
      </c>
      <c r="O305" t="s">
        <v>2</v>
      </c>
      <c r="R305" t="s">
        <v>5442</v>
      </c>
      <c r="T305" s="3">
        <v>42467</v>
      </c>
    </row>
    <row r="306" spans="1:20" x14ac:dyDescent="0.3">
      <c r="A306">
        <v>307</v>
      </c>
      <c r="B306">
        <v>1815</v>
      </c>
      <c r="C306" t="s">
        <v>5863</v>
      </c>
      <c r="D306">
        <v>10.95</v>
      </c>
      <c r="E306" t="s">
        <v>5864</v>
      </c>
      <c r="J306" s="5">
        <v>6.22</v>
      </c>
      <c r="K306" t="s">
        <v>5865</v>
      </c>
      <c r="L306">
        <v>4.2</v>
      </c>
      <c r="M306" t="s">
        <v>12</v>
      </c>
      <c r="N306" t="s">
        <v>5866</v>
      </c>
      <c r="O306" t="s">
        <v>2</v>
      </c>
      <c r="R306" t="s">
        <v>5442</v>
      </c>
      <c r="T306" s="3">
        <v>42468</v>
      </c>
    </row>
    <row r="307" spans="1:20" x14ac:dyDescent="0.3">
      <c r="A307">
        <v>308</v>
      </c>
      <c r="B307">
        <v>4306</v>
      </c>
      <c r="C307" t="s">
        <v>265</v>
      </c>
      <c r="D307">
        <v>13.65</v>
      </c>
      <c r="E307" t="s">
        <v>5706</v>
      </c>
      <c r="J307" s="5">
        <v>6.28</v>
      </c>
      <c r="K307" t="s">
        <v>5493</v>
      </c>
      <c r="L307">
        <v>4.2699999999999996</v>
      </c>
      <c r="M307" t="s">
        <v>5496</v>
      </c>
      <c r="N307" t="s">
        <v>26</v>
      </c>
      <c r="O307" t="s">
        <v>2</v>
      </c>
      <c r="R307" t="s">
        <v>5454</v>
      </c>
      <c r="T307" s="3">
        <v>42468</v>
      </c>
    </row>
    <row r="308" spans="1:20" x14ac:dyDescent="0.3">
      <c r="A308">
        <v>309</v>
      </c>
      <c r="B308">
        <v>5351</v>
      </c>
      <c r="C308" t="s">
        <v>5867</v>
      </c>
      <c r="D308">
        <v>12.7</v>
      </c>
      <c r="E308" t="s">
        <v>5444</v>
      </c>
      <c r="J308" s="5">
        <v>6.24</v>
      </c>
      <c r="K308" t="s">
        <v>5469</v>
      </c>
      <c r="L308">
        <v>4.21</v>
      </c>
      <c r="M308" t="s">
        <v>5484</v>
      </c>
      <c r="N308" t="s">
        <v>1</v>
      </c>
      <c r="O308" t="s">
        <v>2</v>
      </c>
      <c r="R308" t="s">
        <v>5442</v>
      </c>
      <c r="T308" s="3">
        <v>42468</v>
      </c>
    </row>
    <row r="309" spans="1:20" x14ac:dyDescent="0.3">
      <c r="A309">
        <v>310</v>
      </c>
      <c r="B309">
        <v>3094</v>
      </c>
      <c r="C309" t="s">
        <v>5868</v>
      </c>
      <c r="D309">
        <v>25</v>
      </c>
      <c r="E309" t="s">
        <v>5869</v>
      </c>
      <c r="J309" s="5">
        <v>6.06</v>
      </c>
      <c r="K309" t="s">
        <v>5469</v>
      </c>
      <c r="L309">
        <v>4.01</v>
      </c>
      <c r="M309" t="s">
        <v>50</v>
      </c>
      <c r="N309" t="s">
        <v>51</v>
      </c>
      <c r="O309" t="s">
        <v>2</v>
      </c>
      <c r="R309" t="s">
        <v>5478</v>
      </c>
      <c r="T309" s="3">
        <v>42468</v>
      </c>
    </row>
    <row r="310" spans="1:20" x14ac:dyDescent="0.3">
      <c r="A310">
        <v>311</v>
      </c>
      <c r="B310">
        <v>3450</v>
      </c>
      <c r="C310" t="s">
        <v>240</v>
      </c>
      <c r="D310">
        <v>165</v>
      </c>
      <c r="E310" t="s">
        <v>5870</v>
      </c>
      <c r="J310" s="5">
        <v>6.06</v>
      </c>
      <c r="K310" t="s">
        <v>5447</v>
      </c>
      <c r="L310">
        <v>4.01</v>
      </c>
      <c r="M310" t="s">
        <v>50</v>
      </c>
      <c r="N310" t="s">
        <v>51</v>
      </c>
      <c r="O310" t="s">
        <v>2</v>
      </c>
      <c r="R310" t="s">
        <v>5478</v>
      </c>
      <c r="T310" s="3">
        <v>42468</v>
      </c>
    </row>
    <row r="311" spans="1:20" x14ac:dyDescent="0.3">
      <c r="A311">
        <v>312</v>
      </c>
      <c r="B311">
        <v>6136</v>
      </c>
      <c r="C311" t="s">
        <v>163</v>
      </c>
      <c r="D311">
        <v>24.35</v>
      </c>
      <c r="E311" t="s">
        <v>5871</v>
      </c>
      <c r="J311" s="5">
        <v>6.14</v>
      </c>
      <c r="K311" t="s">
        <v>5447</v>
      </c>
      <c r="L311">
        <v>4.13</v>
      </c>
      <c r="M311" t="s">
        <v>5496</v>
      </c>
      <c r="N311" t="s">
        <v>26</v>
      </c>
      <c r="O311" t="s">
        <v>2</v>
      </c>
      <c r="R311" t="s">
        <v>5442</v>
      </c>
      <c r="T311" s="3">
        <v>42468</v>
      </c>
    </row>
    <row r="312" spans="1:20" x14ac:dyDescent="0.3">
      <c r="A312">
        <v>313</v>
      </c>
      <c r="B312">
        <v>8096</v>
      </c>
      <c r="C312" t="s">
        <v>5872</v>
      </c>
      <c r="D312">
        <v>23.05</v>
      </c>
      <c r="E312" t="s">
        <v>5500</v>
      </c>
      <c r="J312" s="5">
        <v>6.24</v>
      </c>
      <c r="K312" t="s">
        <v>5440</v>
      </c>
      <c r="L312">
        <v>4.21</v>
      </c>
      <c r="M312" t="s">
        <v>5482</v>
      </c>
      <c r="N312" t="s">
        <v>14</v>
      </c>
      <c r="O312" t="s">
        <v>2</v>
      </c>
      <c r="R312" t="s">
        <v>5442</v>
      </c>
      <c r="T312" s="3">
        <v>42468</v>
      </c>
    </row>
    <row r="313" spans="1:20" x14ac:dyDescent="0.3">
      <c r="A313">
        <v>314</v>
      </c>
      <c r="B313">
        <v>3224</v>
      </c>
      <c r="C313" t="s">
        <v>287</v>
      </c>
      <c r="D313">
        <v>35.1</v>
      </c>
      <c r="E313" t="s">
        <v>5599</v>
      </c>
      <c r="J313" s="5">
        <v>6.29</v>
      </c>
      <c r="K313" t="s">
        <v>5447</v>
      </c>
      <c r="L313">
        <v>4.2699999999999996</v>
      </c>
      <c r="M313" t="s">
        <v>5491</v>
      </c>
      <c r="N313" t="s">
        <v>122</v>
      </c>
      <c r="O313" t="s">
        <v>2</v>
      </c>
      <c r="R313" t="s">
        <v>5478</v>
      </c>
      <c r="T313" s="3">
        <v>42468</v>
      </c>
    </row>
    <row r="314" spans="1:20" x14ac:dyDescent="0.3">
      <c r="A314">
        <v>315</v>
      </c>
      <c r="B314">
        <v>8011</v>
      </c>
      <c r="C314" t="s">
        <v>255</v>
      </c>
      <c r="D314">
        <v>17.399999999999999</v>
      </c>
      <c r="E314" t="s">
        <v>5765</v>
      </c>
      <c r="J314" s="5">
        <v>6.07</v>
      </c>
      <c r="K314" t="s">
        <v>5447</v>
      </c>
      <c r="L314">
        <v>4.0599999999999996</v>
      </c>
      <c r="M314" t="s">
        <v>5477</v>
      </c>
      <c r="N314" t="s">
        <v>48</v>
      </c>
      <c r="O314" t="s">
        <v>2</v>
      </c>
      <c r="R314" t="s">
        <v>5442</v>
      </c>
      <c r="T314" s="3">
        <v>42468</v>
      </c>
    </row>
    <row r="315" spans="1:20" x14ac:dyDescent="0.3">
      <c r="A315">
        <v>316</v>
      </c>
      <c r="B315">
        <v>3036</v>
      </c>
      <c r="C315" t="s">
        <v>5873</v>
      </c>
      <c r="D315">
        <v>38.75</v>
      </c>
      <c r="E315" t="s">
        <v>5444</v>
      </c>
      <c r="J315" s="5">
        <v>6.03</v>
      </c>
      <c r="K315" t="s">
        <v>5447</v>
      </c>
      <c r="L315">
        <v>3.3</v>
      </c>
      <c r="M315" t="s">
        <v>5470</v>
      </c>
      <c r="N315" t="s">
        <v>5471</v>
      </c>
      <c r="O315" t="s">
        <v>2</v>
      </c>
      <c r="R315" t="s">
        <v>5454</v>
      </c>
      <c r="T315" s="3">
        <v>42468</v>
      </c>
    </row>
    <row r="316" spans="1:20" x14ac:dyDescent="0.3">
      <c r="A316">
        <v>317</v>
      </c>
      <c r="B316">
        <v>2612</v>
      </c>
      <c r="C316" t="s">
        <v>1489</v>
      </c>
      <c r="D316">
        <v>25.45</v>
      </c>
      <c r="E316" t="s">
        <v>5874</v>
      </c>
      <c r="J316" s="5">
        <v>6.28</v>
      </c>
      <c r="K316" t="s">
        <v>5440</v>
      </c>
      <c r="L316">
        <v>4.2699999999999996</v>
      </c>
      <c r="M316" t="s">
        <v>5457</v>
      </c>
      <c r="N316" t="s">
        <v>10</v>
      </c>
      <c r="O316" t="s">
        <v>2</v>
      </c>
      <c r="R316" t="s">
        <v>5454</v>
      </c>
      <c r="T316" s="3">
        <v>42468</v>
      </c>
    </row>
    <row r="317" spans="1:20" x14ac:dyDescent="0.3">
      <c r="A317">
        <v>318</v>
      </c>
      <c r="B317">
        <v>3607</v>
      </c>
      <c r="C317" t="s">
        <v>32</v>
      </c>
      <c r="D317">
        <v>46.7</v>
      </c>
      <c r="E317" t="s">
        <v>5828</v>
      </c>
      <c r="J317" s="5">
        <v>6.06</v>
      </c>
      <c r="K317" t="s">
        <v>5481</v>
      </c>
      <c r="L317">
        <v>4.01</v>
      </c>
      <c r="M317" t="s">
        <v>5496</v>
      </c>
      <c r="N317" t="s">
        <v>26</v>
      </c>
      <c r="O317" t="s">
        <v>2</v>
      </c>
      <c r="R317" t="s">
        <v>5454</v>
      </c>
      <c r="T317" s="3">
        <v>42468</v>
      </c>
    </row>
    <row r="318" spans="1:20" x14ac:dyDescent="0.3">
      <c r="A318">
        <v>319</v>
      </c>
      <c r="B318">
        <v>3029</v>
      </c>
      <c r="C318" t="s">
        <v>5875</v>
      </c>
      <c r="D318">
        <v>18.100000000000001</v>
      </c>
      <c r="E318" t="s">
        <v>5706</v>
      </c>
      <c r="J318" s="5">
        <v>6.08</v>
      </c>
      <c r="K318" t="s">
        <v>5440</v>
      </c>
      <c r="L318">
        <v>4.0599999999999996</v>
      </c>
      <c r="M318" t="s">
        <v>5472</v>
      </c>
      <c r="N318" t="s">
        <v>34</v>
      </c>
      <c r="O318" t="s">
        <v>2</v>
      </c>
      <c r="R318" t="s">
        <v>5442</v>
      </c>
      <c r="T318" s="3">
        <v>42468</v>
      </c>
    </row>
    <row r="319" spans="1:20" x14ac:dyDescent="0.3">
      <c r="A319">
        <v>320</v>
      </c>
      <c r="B319">
        <v>9905</v>
      </c>
      <c r="C319" t="s">
        <v>264</v>
      </c>
      <c r="D319">
        <v>27.55</v>
      </c>
      <c r="E319" t="s">
        <v>5876</v>
      </c>
      <c r="F319">
        <v>6.22</v>
      </c>
      <c r="G319">
        <v>6.28</v>
      </c>
      <c r="H319" t="s">
        <v>5877</v>
      </c>
      <c r="J319" s="5">
        <v>6.28</v>
      </c>
      <c r="K319" t="s">
        <v>5447</v>
      </c>
      <c r="L319">
        <v>4.2699999999999996</v>
      </c>
      <c r="M319" t="s">
        <v>5482</v>
      </c>
      <c r="N319" t="s">
        <v>14</v>
      </c>
      <c r="O319" t="s">
        <v>41</v>
      </c>
      <c r="Q319">
        <v>1</v>
      </c>
      <c r="R319" t="s">
        <v>5442</v>
      </c>
      <c r="T319" s="3">
        <v>42468</v>
      </c>
    </row>
    <row r="320" spans="1:20" x14ac:dyDescent="0.3">
      <c r="A320">
        <v>321</v>
      </c>
      <c r="B320">
        <v>5383</v>
      </c>
      <c r="C320" t="s">
        <v>5878</v>
      </c>
      <c r="D320">
        <v>9.8800000000000008</v>
      </c>
      <c r="E320" t="s">
        <v>5572</v>
      </c>
      <c r="J320" s="5">
        <v>6.28</v>
      </c>
      <c r="K320" t="s">
        <v>5481</v>
      </c>
      <c r="L320">
        <v>4.2699999999999996</v>
      </c>
      <c r="M320" t="s">
        <v>5464</v>
      </c>
      <c r="N320" t="s">
        <v>6</v>
      </c>
      <c r="O320" t="s">
        <v>2</v>
      </c>
      <c r="R320" t="s">
        <v>5454</v>
      </c>
      <c r="T320" s="3">
        <v>42469</v>
      </c>
    </row>
    <row r="321" spans="1:20" x14ac:dyDescent="0.3">
      <c r="A321">
        <v>322</v>
      </c>
      <c r="B321">
        <v>4916</v>
      </c>
      <c r="C321" t="s">
        <v>2017</v>
      </c>
      <c r="D321">
        <v>45.1</v>
      </c>
      <c r="E321" t="s">
        <v>5879</v>
      </c>
      <c r="J321" s="5">
        <v>5.27</v>
      </c>
      <c r="K321" t="s">
        <v>5481</v>
      </c>
      <c r="L321">
        <v>3.24</v>
      </c>
      <c r="M321" t="s">
        <v>5457</v>
      </c>
      <c r="N321" t="s">
        <v>10</v>
      </c>
      <c r="O321" t="s">
        <v>2</v>
      </c>
      <c r="R321" t="s">
        <v>5478</v>
      </c>
      <c r="T321" s="3">
        <v>42471</v>
      </c>
    </row>
    <row r="322" spans="1:20" x14ac:dyDescent="0.3">
      <c r="A322">
        <v>323</v>
      </c>
      <c r="B322">
        <v>1449</v>
      </c>
      <c r="C322" t="s">
        <v>5880</v>
      </c>
      <c r="D322">
        <v>4.8</v>
      </c>
      <c r="E322" t="s">
        <v>5881</v>
      </c>
      <c r="J322" s="5">
        <v>6.28</v>
      </c>
      <c r="K322" t="s">
        <v>5467</v>
      </c>
      <c r="L322">
        <v>4.2699999999999996</v>
      </c>
      <c r="M322" t="s">
        <v>5482</v>
      </c>
      <c r="N322" t="s">
        <v>14</v>
      </c>
      <c r="O322" t="s">
        <v>2</v>
      </c>
      <c r="R322" t="s">
        <v>5442</v>
      </c>
      <c r="T322" s="3">
        <v>42471</v>
      </c>
    </row>
    <row r="323" spans="1:20" x14ac:dyDescent="0.3">
      <c r="A323">
        <v>324</v>
      </c>
      <c r="B323">
        <v>6131</v>
      </c>
      <c r="C323" t="s">
        <v>5882</v>
      </c>
      <c r="E323" t="s">
        <v>5883</v>
      </c>
      <c r="J323" s="5">
        <v>6.3</v>
      </c>
      <c r="K323" t="s">
        <v>5447</v>
      </c>
      <c r="L323">
        <v>4.2699999999999996</v>
      </c>
      <c r="M323" t="s">
        <v>16</v>
      </c>
      <c r="N323" t="s">
        <v>17</v>
      </c>
      <c r="O323" t="s">
        <v>2</v>
      </c>
      <c r="R323" t="s">
        <v>5454</v>
      </c>
      <c r="T323" s="3">
        <v>42471</v>
      </c>
    </row>
    <row r="324" spans="1:20" x14ac:dyDescent="0.3">
      <c r="A324">
        <v>325</v>
      </c>
      <c r="B324">
        <v>4991</v>
      </c>
      <c r="C324" t="s">
        <v>3268</v>
      </c>
      <c r="D324">
        <v>92.6</v>
      </c>
      <c r="E324" t="s">
        <v>5444</v>
      </c>
      <c r="J324" s="5">
        <v>6.03</v>
      </c>
      <c r="K324" t="s">
        <v>5440</v>
      </c>
      <c r="L324">
        <v>3.3</v>
      </c>
      <c r="M324" t="s">
        <v>5484</v>
      </c>
      <c r="N324" t="s">
        <v>1</v>
      </c>
      <c r="O324" t="s">
        <v>41</v>
      </c>
      <c r="R324" t="s">
        <v>5442</v>
      </c>
      <c r="T324" s="3">
        <v>42471</v>
      </c>
    </row>
    <row r="325" spans="1:20" x14ac:dyDescent="0.3">
      <c r="A325">
        <v>326</v>
      </c>
      <c r="B325">
        <v>1760</v>
      </c>
      <c r="C325" t="s">
        <v>5884</v>
      </c>
      <c r="E325" t="s">
        <v>5885</v>
      </c>
      <c r="J325" s="5">
        <v>6.03</v>
      </c>
      <c r="K325" t="s">
        <v>5886</v>
      </c>
      <c r="L325">
        <v>3.3</v>
      </c>
      <c r="M325" t="s">
        <v>3</v>
      </c>
      <c r="N325" t="s">
        <v>4</v>
      </c>
      <c r="O325" t="s">
        <v>2</v>
      </c>
      <c r="R325" t="s">
        <v>5478</v>
      </c>
      <c r="T325" s="3">
        <v>42471</v>
      </c>
    </row>
    <row r="326" spans="1:20" x14ac:dyDescent="0.3">
      <c r="A326">
        <v>327</v>
      </c>
      <c r="B326">
        <v>8401</v>
      </c>
      <c r="C326" t="s">
        <v>5887</v>
      </c>
      <c r="D326">
        <v>11.8</v>
      </c>
      <c r="E326" t="s">
        <v>5500</v>
      </c>
      <c r="J326" s="5">
        <v>6.03</v>
      </c>
      <c r="K326" t="s">
        <v>5463</v>
      </c>
      <c r="L326">
        <v>3.3</v>
      </c>
      <c r="M326" t="s">
        <v>5470</v>
      </c>
      <c r="N326" t="s">
        <v>5471</v>
      </c>
      <c r="O326" t="s">
        <v>2</v>
      </c>
      <c r="R326" t="s">
        <v>5454</v>
      </c>
      <c r="T326" s="3">
        <v>42471</v>
      </c>
    </row>
    <row r="327" spans="1:20" x14ac:dyDescent="0.3">
      <c r="A327">
        <v>328</v>
      </c>
      <c r="B327">
        <v>6122</v>
      </c>
      <c r="C327" t="s">
        <v>5888</v>
      </c>
      <c r="D327">
        <v>6.76</v>
      </c>
      <c r="E327" t="s">
        <v>5889</v>
      </c>
      <c r="J327" s="5">
        <v>6.27</v>
      </c>
      <c r="K327" t="s">
        <v>5440</v>
      </c>
      <c r="L327">
        <v>4.26</v>
      </c>
      <c r="M327" t="s">
        <v>50</v>
      </c>
      <c r="N327" t="s">
        <v>51</v>
      </c>
      <c r="O327" t="s">
        <v>2</v>
      </c>
      <c r="R327" t="s">
        <v>5454</v>
      </c>
      <c r="T327" s="3">
        <v>42471</v>
      </c>
    </row>
    <row r="328" spans="1:20" x14ac:dyDescent="0.3">
      <c r="A328">
        <v>329</v>
      </c>
      <c r="B328">
        <v>5272</v>
      </c>
      <c r="C328" t="s">
        <v>49</v>
      </c>
      <c r="D328">
        <v>36.4</v>
      </c>
      <c r="E328" t="s">
        <v>5456</v>
      </c>
      <c r="J328" s="5">
        <v>6.06</v>
      </c>
      <c r="K328" t="s">
        <v>5469</v>
      </c>
      <c r="L328">
        <v>4.01</v>
      </c>
      <c r="M328" t="s">
        <v>5472</v>
      </c>
      <c r="N328" t="s">
        <v>34</v>
      </c>
      <c r="O328" t="s">
        <v>2</v>
      </c>
      <c r="R328" t="s">
        <v>5442</v>
      </c>
      <c r="T328" s="3">
        <v>42471</v>
      </c>
    </row>
    <row r="329" spans="1:20" x14ac:dyDescent="0.3">
      <c r="A329">
        <v>330</v>
      </c>
      <c r="B329">
        <v>8437</v>
      </c>
      <c r="C329" t="s">
        <v>5890</v>
      </c>
      <c r="D329">
        <v>169</v>
      </c>
      <c r="E329" t="s">
        <v>5891</v>
      </c>
      <c r="J329" s="5">
        <v>6.03</v>
      </c>
      <c r="K329" t="s">
        <v>5440</v>
      </c>
      <c r="L329">
        <v>3.3</v>
      </c>
      <c r="M329" t="s">
        <v>5464</v>
      </c>
      <c r="N329" t="s">
        <v>6</v>
      </c>
      <c r="O329" t="s">
        <v>2</v>
      </c>
      <c r="R329" t="s">
        <v>5478</v>
      </c>
      <c r="T329" s="3">
        <v>42471</v>
      </c>
    </row>
    <row r="330" spans="1:20" x14ac:dyDescent="0.3">
      <c r="A330">
        <v>331</v>
      </c>
      <c r="B330">
        <v>3026</v>
      </c>
      <c r="C330" t="s">
        <v>78</v>
      </c>
      <c r="D330">
        <v>33.799999999999997</v>
      </c>
      <c r="E330" t="s">
        <v>5892</v>
      </c>
      <c r="J330" s="5">
        <v>6.07</v>
      </c>
      <c r="K330" t="s">
        <v>5440</v>
      </c>
      <c r="L330">
        <v>4.0599999999999996</v>
      </c>
      <c r="M330" t="s">
        <v>5484</v>
      </c>
      <c r="N330" t="s">
        <v>1</v>
      </c>
      <c r="O330" t="s">
        <v>2</v>
      </c>
      <c r="R330" t="s">
        <v>5442</v>
      </c>
      <c r="T330" s="3">
        <v>42471</v>
      </c>
    </row>
    <row r="331" spans="1:20" x14ac:dyDescent="0.3">
      <c r="A331">
        <v>332</v>
      </c>
      <c r="B331">
        <v>1785</v>
      </c>
      <c r="C331" t="s">
        <v>150</v>
      </c>
      <c r="D331">
        <v>17</v>
      </c>
      <c r="E331" t="s">
        <v>5893</v>
      </c>
      <c r="J331" s="5">
        <v>6.29</v>
      </c>
      <c r="K331" t="s">
        <v>5467</v>
      </c>
      <c r="L331">
        <v>4.2699999999999996</v>
      </c>
      <c r="M331" t="s">
        <v>5482</v>
      </c>
      <c r="N331" t="s">
        <v>14</v>
      </c>
      <c r="O331" t="s">
        <v>2</v>
      </c>
      <c r="R331" t="s">
        <v>5478</v>
      </c>
      <c r="T331" s="3">
        <v>42471</v>
      </c>
    </row>
    <row r="332" spans="1:20" x14ac:dyDescent="0.3">
      <c r="A332">
        <v>333</v>
      </c>
      <c r="B332">
        <v>6226</v>
      </c>
      <c r="C332" t="s">
        <v>5894</v>
      </c>
      <c r="D332">
        <v>5.47</v>
      </c>
      <c r="E332" t="s">
        <v>5895</v>
      </c>
      <c r="J332" s="5">
        <v>6.08</v>
      </c>
      <c r="K332" t="s">
        <v>5447</v>
      </c>
      <c r="L332">
        <v>4.0599999999999996</v>
      </c>
      <c r="M332" t="s">
        <v>5555</v>
      </c>
      <c r="N332" t="s">
        <v>25</v>
      </c>
      <c r="O332" t="s">
        <v>2</v>
      </c>
      <c r="R332" t="s">
        <v>5442</v>
      </c>
      <c r="T332" s="3">
        <v>42471</v>
      </c>
    </row>
    <row r="333" spans="1:20" x14ac:dyDescent="0.3">
      <c r="A333">
        <v>334</v>
      </c>
      <c r="B333">
        <v>3163</v>
      </c>
      <c r="C333" t="s">
        <v>362</v>
      </c>
      <c r="D333">
        <v>41.15</v>
      </c>
      <c r="E333" t="s">
        <v>5546</v>
      </c>
      <c r="J333" s="5">
        <v>6.06</v>
      </c>
      <c r="K333" t="s">
        <v>5469</v>
      </c>
      <c r="L333">
        <v>4.01</v>
      </c>
      <c r="M333" t="s">
        <v>5457</v>
      </c>
      <c r="N333" t="s">
        <v>10</v>
      </c>
      <c r="O333" t="s">
        <v>2</v>
      </c>
      <c r="R333" t="s">
        <v>5442</v>
      </c>
      <c r="T333" s="3">
        <v>42471</v>
      </c>
    </row>
    <row r="334" spans="1:20" x14ac:dyDescent="0.3">
      <c r="A334">
        <v>335</v>
      </c>
      <c r="B334">
        <v>2458</v>
      </c>
      <c r="C334" t="s">
        <v>5896</v>
      </c>
      <c r="D334">
        <v>35.549999999999997</v>
      </c>
      <c r="E334" t="s">
        <v>5500</v>
      </c>
      <c r="J334" s="5">
        <v>6.08</v>
      </c>
      <c r="K334" t="s">
        <v>5469</v>
      </c>
      <c r="L334">
        <v>4.0599999999999996</v>
      </c>
      <c r="M334" t="s">
        <v>5472</v>
      </c>
      <c r="N334" t="s">
        <v>34</v>
      </c>
      <c r="O334" t="s">
        <v>2</v>
      </c>
      <c r="R334" t="s">
        <v>5442</v>
      </c>
      <c r="T334" s="3">
        <v>42471</v>
      </c>
    </row>
    <row r="335" spans="1:20" x14ac:dyDescent="0.3">
      <c r="A335">
        <v>336</v>
      </c>
      <c r="B335">
        <v>9935</v>
      </c>
      <c r="C335" t="s">
        <v>208</v>
      </c>
      <c r="D335">
        <v>10.4</v>
      </c>
      <c r="E335" t="s">
        <v>5897</v>
      </c>
      <c r="J335" s="5">
        <v>6.29</v>
      </c>
      <c r="K335" t="s">
        <v>5493</v>
      </c>
      <c r="L335">
        <v>4.2699999999999996</v>
      </c>
      <c r="M335" t="s">
        <v>5482</v>
      </c>
      <c r="N335" t="s">
        <v>14</v>
      </c>
      <c r="O335" t="s">
        <v>2</v>
      </c>
      <c r="R335" t="s">
        <v>5442</v>
      </c>
      <c r="T335" s="3">
        <v>42471</v>
      </c>
    </row>
    <row r="336" spans="1:20" x14ac:dyDescent="0.3">
      <c r="A336">
        <v>337</v>
      </c>
      <c r="B336">
        <v>4557</v>
      </c>
      <c r="C336" t="s">
        <v>5898</v>
      </c>
      <c r="D336">
        <v>76.5</v>
      </c>
      <c r="E336" t="s">
        <v>5899</v>
      </c>
      <c r="J336" s="5">
        <v>5.27</v>
      </c>
      <c r="K336" t="s">
        <v>5527</v>
      </c>
      <c r="L336">
        <v>3.24</v>
      </c>
      <c r="M336" t="s">
        <v>5441</v>
      </c>
      <c r="N336" t="s">
        <v>37</v>
      </c>
      <c r="O336" t="s">
        <v>41</v>
      </c>
      <c r="R336" t="s">
        <v>5478</v>
      </c>
      <c r="T336" s="3">
        <v>42471</v>
      </c>
    </row>
    <row r="337" spans="1:20" x14ac:dyDescent="0.3">
      <c r="A337">
        <v>338</v>
      </c>
      <c r="B337">
        <v>3624</v>
      </c>
      <c r="C337" t="s">
        <v>110</v>
      </c>
      <c r="D337">
        <v>25.9</v>
      </c>
      <c r="E337" t="s">
        <v>5495</v>
      </c>
      <c r="J337" s="5">
        <v>6.3</v>
      </c>
      <c r="K337" t="s">
        <v>5469</v>
      </c>
      <c r="L337">
        <v>4.2699999999999996</v>
      </c>
      <c r="M337" t="s">
        <v>16</v>
      </c>
      <c r="N337" t="s">
        <v>17</v>
      </c>
      <c r="O337" t="s">
        <v>2</v>
      </c>
      <c r="R337" t="s">
        <v>5442</v>
      </c>
      <c r="T337" s="3">
        <v>42471</v>
      </c>
    </row>
    <row r="338" spans="1:20" x14ac:dyDescent="0.3">
      <c r="A338">
        <v>339</v>
      </c>
      <c r="B338">
        <v>3545</v>
      </c>
      <c r="C338" t="s">
        <v>131</v>
      </c>
      <c r="D338">
        <v>28.5</v>
      </c>
      <c r="E338" t="s">
        <v>5444</v>
      </c>
      <c r="J338" s="5">
        <v>6.22</v>
      </c>
      <c r="K338" t="s">
        <v>5469</v>
      </c>
      <c r="L338">
        <v>4.2</v>
      </c>
      <c r="M338" t="s">
        <v>5484</v>
      </c>
      <c r="N338" t="s">
        <v>1</v>
      </c>
      <c r="O338" t="s">
        <v>2</v>
      </c>
      <c r="R338" t="s">
        <v>5442</v>
      </c>
      <c r="T338" s="3">
        <v>42472</v>
      </c>
    </row>
    <row r="339" spans="1:20" x14ac:dyDescent="0.3">
      <c r="A339">
        <v>340</v>
      </c>
      <c r="B339">
        <v>1471</v>
      </c>
      <c r="C339" t="s">
        <v>189</v>
      </c>
      <c r="D339">
        <v>5.8</v>
      </c>
      <c r="E339" t="s">
        <v>5530</v>
      </c>
      <c r="J339" s="5">
        <v>6.3</v>
      </c>
      <c r="K339" t="s">
        <v>5447</v>
      </c>
      <c r="L339">
        <v>4.2699999999999996</v>
      </c>
      <c r="M339" t="s">
        <v>5470</v>
      </c>
      <c r="N339" t="s">
        <v>5471</v>
      </c>
      <c r="O339" t="s">
        <v>2</v>
      </c>
      <c r="R339" t="s">
        <v>5478</v>
      </c>
      <c r="T339" s="3">
        <v>42472</v>
      </c>
    </row>
    <row r="340" spans="1:20" x14ac:dyDescent="0.3">
      <c r="A340">
        <v>341</v>
      </c>
      <c r="B340">
        <v>4142</v>
      </c>
      <c r="C340" t="s">
        <v>5900</v>
      </c>
      <c r="D340">
        <v>23.1</v>
      </c>
      <c r="E340" t="s">
        <v>5901</v>
      </c>
      <c r="J340" s="5">
        <v>6.08</v>
      </c>
      <c r="K340" t="s">
        <v>5463</v>
      </c>
      <c r="L340">
        <v>4.0599999999999996</v>
      </c>
      <c r="M340" t="s">
        <v>5519</v>
      </c>
      <c r="N340" t="s">
        <v>140</v>
      </c>
      <c r="O340" t="s">
        <v>2</v>
      </c>
      <c r="R340" t="s">
        <v>5442</v>
      </c>
      <c r="T340" s="3">
        <v>42472</v>
      </c>
    </row>
    <row r="341" spans="1:20" x14ac:dyDescent="0.3">
      <c r="A341">
        <v>342</v>
      </c>
      <c r="B341">
        <v>3376</v>
      </c>
      <c r="C341" t="s">
        <v>315</v>
      </c>
      <c r="D341">
        <v>103.5</v>
      </c>
      <c r="E341" t="s">
        <v>5902</v>
      </c>
      <c r="J341" s="5">
        <v>6.15</v>
      </c>
      <c r="K341" t="s">
        <v>5447</v>
      </c>
      <c r="L341">
        <v>4.13</v>
      </c>
      <c r="M341" t="s">
        <v>5496</v>
      </c>
      <c r="N341" t="s">
        <v>26</v>
      </c>
      <c r="O341" t="s">
        <v>2</v>
      </c>
      <c r="R341" t="s">
        <v>5442</v>
      </c>
      <c r="T341" s="3">
        <v>42472</v>
      </c>
    </row>
    <row r="342" spans="1:20" x14ac:dyDescent="0.3">
      <c r="A342">
        <v>343</v>
      </c>
      <c r="B342">
        <v>2856</v>
      </c>
      <c r="C342" t="s">
        <v>5903</v>
      </c>
      <c r="D342">
        <v>9.02</v>
      </c>
      <c r="E342" t="s">
        <v>5904</v>
      </c>
      <c r="J342" s="5">
        <v>6.07</v>
      </c>
      <c r="K342" t="s">
        <v>5440</v>
      </c>
      <c r="L342">
        <v>4.0599999999999996</v>
      </c>
      <c r="M342" t="s">
        <v>5472</v>
      </c>
      <c r="N342" t="s">
        <v>34</v>
      </c>
      <c r="O342" t="s">
        <v>2</v>
      </c>
      <c r="R342" t="s">
        <v>5478</v>
      </c>
      <c r="T342" s="3">
        <v>42472</v>
      </c>
    </row>
    <row r="343" spans="1:20" x14ac:dyDescent="0.3">
      <c r="A343">
        <v>344</v>
      </c>
      <c r="B343">
        <v>3213</v>
      </c>
      <c r="C343" t="s">
        <v>5905</v>
      </c>
      <c r="D343">
        <v>38.299999999999997</v>
      </c>
      <c r="E343" t="s">
        <v>5906</v>
      </c>
      <c r="J343" s="5">
        <v>6.08</v>
      </c>
      <c r="K343" t="s">
        <v>5447</v>
      </c>
      <c r="L343">
        <v>4.0599999999999996</v>
      </c>
      <c r="M343" t="s">
        <v>5482</v>
      </c>
      <c r="N343" t="s">
        <v>14</v>
      </c>
      <c r="O343" t="s">
        <v>2</v>
      </c>
      <c r="R343" t="s">
        <v>5442</v>
      </c>
      <c r="T343" s="3">
        <v>42472</v>
      </c>
    </row>
    <row r="344" spans="1:20" x14ac:dyDescent="0.3">
      <c r="A344">
        <v>345</v>
      </c>
      <c r="B344">
        <v>2633</v>
      </c>
      <c r="C344" t="s">
        <v>5907</v>
      </c>
      <c r="E344" t="s">
        <v>5908</v>
      </c>
      <c r="J344" s="5">
        <v>6.24</v>
      </c>
      <c r="K344" t="s">
        <v>5440</v>
      </c>
      <c r="L344">
        <v>4.21</v>
      </c>
      <c r="M344" t="s">
        <v>50</v>
      </c>
      <c r="N344" t="s">
        <v>51</v>
      </c>
      <c r="O344" t="s">
        <v>41</v>
      </c>
      <c r="R344" t="s">
        <v>5442</v>
      </c>
      <c r="T344" s="3">
        <v>42472</v>
      </c>
    </row>
    <row r="345" spans="1:20" x14ac:dyDescent="0.3">
      <c r="A345">
        <v>346</v>
      </c>
      <c r="B345">
        <v>3049</v>
      </c>
      <c r="C345" t="s">
        <v>38</v>
      </c>
      <c r="D345">
        <v>7.23</v>
      </c>
      <c r="E345" t="s">
        <v>5565</v>
      </c>
      <c r="J345" s="5">
        <v>6.07</v>
      </c>
      <c r="K345" t="s">
        <v>5467</v>
      </c>
      <c r="L345">
        <v>4.0599999999999996</v>
      </c>
      <c r="M345" t="s">
        <v>12</v>
      </c>
      <c r="N345" t="s">
        <v>18</v>
      </c>
      <c r="O345" t="s">
        <v>2</v>
      </c>
      <c r="R345" t="s">
        <v>5442</v>
      </c>
      <c r="T345" s="3">
        <v>42472</v>
      </c>
    </row>
    <row r="346" spans="1:20" x14ac:dyDescent="0.3">
      <c r="A346">
        <v>347</v>
      </c>
      <c r="B346">
        <v>4735</v>
      </c>
      <c r="C346" t="s">
        <v>5909</v>
      </c>
      <c r="D346">
        <v>28.1</v>
      </c>
      <c r="E346" t="s">
        <v>5910</v>
      </c>
      <c r="J346" s="5">
        <v>6.08</v>
      </c>
      <c r="K346" t="s">
        <v>5447</v>
      </c>
      <c r="L346">
        <v>4.0599999999999996</v>
      </c>
      <c r="M346" t="s">
        <v>50</v>
      </c>
      <c r="N346" t="s">
        <v>51</v>
      </c>
      <c r="O346" t="s">
        <v>2</v>
      </c>
      <c r="R346" t="s">
        <v>5454</v>
      </c>
      <c r="T346" s="3">
        <v>42472</v>
      </c>
    </row>
    <row r="347" spans="1:20" x14ac:dyDescent="0.3">
      <c r="A347">
        <v>348</v>
      </c>
      <c r="B347">
        <v>8383</v>
      </c>
      <c r="C347" t="s">
        <v>226</v>
      </c>
      <c r="D347">
        <v>61.4</v>
      </c>
      <c r="E347" t="s">
        <v>5444</v>
      </c>
      <c r="J347" s="5">
        <v>6.07</v>
      </c>
      <c r="K347" t="s">
        <v>5481</v>
      </c>
      <c r="L347">
        <v>4.0599999999999996</v>
      </c>
      <c r="M347" t="s">
        <v>3</v>
      </c>
      <c r="N347" t="s">
        <v>4</v>
      </c>
      <c r="O347" t="s">
        <v>2</v>
      </c>
      <c r="R347" t="s">
        <v>5442</v>
      </c>
      <c r="T347" s="3">
        <v>42472</v>
      </c>
    </row>
    <row r="348" spans="1:20" x14ac:dyDescent="0.3">
      <c r="A348">
        <v>349</v>
      </c>
      <c r="B348">
        <v>4728</v>
      </c>
      <c r="C348" t="s">
        <v>94</v>
      </c>
      <c r="D348">
        <v>48.8</v>
      </c>
      <c r="E348" t="s">
        <v>5911</v>
      </c>
      <c r="J348" s="5">
        <v>6.3</v>
      </c>
      <c r="K348" t="s">
        <v>5467</v>
      </c>
      <c r="L348">
        <v>4.2699999999999996</v>
      </c>
      <c r="M348" t="s">
        <v>5464</v>
      </c>
      <c r="N348" t="s">
        <v>6</v>
      </c>
      <c r="O348" t="s">
        <v>2</v>
      </c>
      <c r="R348" t="s">
        <v>5454</v>
      </c>
      <c r="T348" s="3">
        <v>42472</v>
      </c>
    </row>
    <row r="349" spans="1:20" x14ac:dyDescent="0.3">
      <c r="A349">
        <v>350</v>
      </c>
      <c r="B349">
        <v>3041</v>
      </c>
      <c r="C349" t="s">
        <v>66</v>
      </c>
      <c r="D349">
        <v>21.75</v>
      </c>
      <c r="E349" t="s">
        <v>5828</v>
      </c>
      <c r="J349" s="5">
        <v>6.29</v>
      </c>
      <c r="K349" t="s">
        <v>5440</v>
      </c>
      <c r="L349">
        <v>4.2699999999999996</v>
      </c>
      <c r="M349" t="s">
        <v>5484</v>
      </c>
      <c r="N349" t="s">
        <v>1</v>
      </c>
      <c r="O349" t="s">
        <v>2</v>
      </c>
      <c r="R349" t="s">
        <v>5478</v>
      </c>
      <c r="T349" s="3">
        <v>42472</v>
      </c>
    </row>
    <row r="350" spans="1:20" x14ac:dyDescent="0.3">
      <c r="A350">
        <v>351</v>
      </c>
      <c r="B350">
        <v>3038</v>
      </c>
      <c r="C350" t="s">
        <v>23</v>
      </c>
      <c r="D350">
        <v>12.6</v>
      </c>
      <c r="E350" t="s">
        <v>5500</v>
      </c>
      <c r="J350" s="5">
        <v>6.07</v>
      </c>
      <c r="K350" t="s">
        <v>5524</v>
      </c>
      <c r="L350">
        <v>4.0599999999999996</v>
      </c>
      <c r="M350" t="s">
        <v>5555</v>
      </c>
      <c r="N350" t="s">
        <v>25</v>
      </c>
      <c r="O350" t="s">
        <v>2</v>
      </c>
      <c r="R350" t="s">
        <v>5442</v>
      </c>
      <c r="T350" s="3">
        <v>42472</v>
      </c>
    </row>
    <row r="351" spans="1:20" x14ac:dyDescent="0.3">
      <c r="A351">
        <v>352</v>
      </c>
      <c r="B351">
        <v>3089</v>
      </c>
      <c r="C351" t="s">
        <v>279</v>
      </c>
      <c r="D351">
        <v>7.7</v>
      </c>
      <c r="E351" t="s">
        <v>5444</v>
      </c>
      <c r="J351" s="5">
        <v>6.28</v>
      </c>
      <c r="K351" t="s">
        <v>5440</v>
      </c>
      <c r="L351">
        <v>4.2699999999999996</v>
      </c>
      <c r="M351" t="s">
        <v>5746</v>
      </c>
      <c r="N351" t="s">
        <v>166</v>
      </c>
      <c r="O351" t="s">
        <v>2</v>
      </c>
      <c r="R351" t="s">
        <v>5454</v>
      </c>
      <c r="T351" s="3">
        <v>42473</v>
      </c>
    </row>
    <row r="352" spans="1:20" x14ac:dyDescent="0.3">
      <c r="A352">
        <v>353</v>
      </c>
      <c r="B352">
        <v>1416</v>
      </c>
      <c r="C352" t="s">
        <v>288</v>
      </c>
      <c r="D352">
        <v>19.55</v>
      </c>
      <c r="E352" t="s">
        <v>5912</v>
      </c>
      <c r="J352" s="5">
        <v>6.3</v>
      </c>
      <c r="K352" t="s">
        <v>5481</v>
      </c>
      <c r="L352">
        <v>4.2699999999999996</v>
      </c>
      <c r="M352" t="s">
        <v>5555</v>
      </c>
      <c r="N352" t="s">
        <v>25</v>
      </c>
      <c r="O352" t="s">
        <v>2</v>
      </c>
      <c r="R352" t="s">
        <v>5442</v>
      </c>
      <c r="T352" s="3">
        <v>42473</v>
      </c>
    </row>
    <row r="353" spans="1:20" x14ac:dyDescent="0.3">
      <c r="A353">
        <v>354</v>
      </c>
      <c r="B353">
        <v>3323</v>
      </c>
      <c r="C353" t="s">
        <v>45</v>
      </c>
      <c r="D353">
        <v>19.45</v>
      </c>
      <c r="E353" t="s">
        <v>5913</v>
      </c>
      <c r="J353" s="5">
        <v>6.27</v>
      </c>
      <c r="K353" t="s">
        <v>5481</v>
      </c>
      <c r="L353">
        <v>4.26</v>
      </c>
      <c r="M353" t="s">
        <v>5484</v>
      </c>
      <c r="N353" t="s">
        <v>1</v>
      </c>
      <c r="O353" t="s">
        <v>2</v>
      </c>
      <c r="R353" t="s">
        <v>5442</v>
      </c>
      <c r="T353" s="3">
        <v>42473</v>
      </c>
    </row>
    <row r="354" spans="1:20" x14ac:dyDescent="0.3">
      <c r="A354">
        <v>355</v>
      </c>
      <c r="B354">
        <v>6158</v>
      </c>
      <c r="C354" t="s">
        <v>129</v>
      </c>
      <c r="D354">
        <v>16.3</v>
      </c>
      <c r="E354" t="s">
        <v>5595</v>
      </c>
      <c r="J354" s="5">
        <v>6.07</v>
      </c>
      <c r="K354" t="s">
        <v>5481</v>
      </c>
      <c r="L354">
        <v>4.0599999999999996</v>
      </c>
      <c r="M354" t="s">
        <v>5555</v>
      </c>
      <c r="N354" t="s">
        <v>25</v>
      </c>
      <c r="O354" t="s">
        <v>2</v>
      </c>
      <c r="R354" t="s">
        <v>5454</v>
      </c>
      <c r="T354" s="3">
        <v>42473</v>
      </c>
    </row>
    <row r="355" spans="1:20" x14ac:dyDescent="0.3">
      <c r="A355">
        <v>356</v>
      </c>
      <c r="B355">
        <v>2489</v>
      </c>
      <c r="C355" t="s">
        <v>153</v>
      </c>
      <c r="D355">
        <v>20</v>
      </c>
      <c r="E355" t="s">
        <v>5914</v>
      </c>
      <c r="J355" s="5">
        <v>6.07</v>
      </c>
      <c r="K355" t="s">
        <v>5447</v>
      </c>
      <c r="L355">
        <v>4.0599999999999996</v>
      </c>
      <c r="M355" t="s">
        <v>5470</v>
      </c>
      <c r="N355" t="s">
        <v>5471</v>
      </c>
      <c r="O355" t="s">
        <v>2</v>
      </c>
      <c r="R355" t="s">
        <v>5442</v>
      </c>
      <c r="T355" s="3">
        <v>42473</v>
      </c>
    </row>
    <row r="356" spans="1:20" x14ac:dyDescent="0.3">
      <c r="A356">
        <v>357</v>
      </c>
      <c r="B356">
        <v>2359</v>
      </c>
      <c r="C356" t="s">
        <v>1148</v>
      </c>
      <c r="D356">
        <v>15.75</v>
      </c>
      <c r="E356" t="s">
        <v>5915</v>
      </c>
      <c r="J356" s="5">
        <v>6.07</v>
      </c>
      <c r="K356" t="s">
        <v>5440</v>
      </c>
      <c r="L356">
        <v>4.0599999999999996</v>
      </c>
      <c r="M356" t="s">
        <v>3</v>
      </c>
      <c r="N356" t="s">
        <v>4</v>
      </c>
      <c r="O356" t="s">
        <v>2</v>
      </c>
      <c r="R356" t="s">
        <v>5454</v>
      </c>
      <c r="T356" s="3">
        <v>42473</v>
      </c>
    </row>
    <row r="357" spans="1:20" x14ac:dyDescent="0.3">
      <c r="A357">
        <v>358</v>
      </c>
      <c r="B357">
        <v>3058</v>
      </c>
      <c r="C357" t="s">
        <v>5916</v>
      </c>
      <c r="D357">
        <v>9.48</v>
      </c>
      <c r="E357" t="s">
        <v>5917</v>
      </c>
      <c r="J357" s="5">
        <v>6.07</v>
      </c>
      <c r="K357" t="s">
        <v>5447</v>
      </c>
      <c r="L357">
        <v>4.0599999999999996</v>
      </c>
      <c r="M357" t="s">
        <v>5470</v>
      </c>
      <c r="N357" t="s">
        <v>5471</v>
      </c>
      <c r="O357" t="s">
        <v>2</v>
      </c>
      <c r="R357" t="s">
        <v>5442</v>
      </c>
      <c r="T357" s="3">
        <v>42473</v>
      </c>
    </row>
    <row r="358" spans="1:20" x14ac:dyDescent="0.3">
      <c r="A358">
        <v>359</v>
      </c>
      <c r="B358">
        <v>5484</v>
      </c>
      <c r="C358" t="s">
        <v>5918</v>
      </c>
      <c r="D358">
        <v>3.98</v>
      </c>
      <c r="E358" t="s">
        <v>5919</v>
      </c>
      <c r="J358" s="5">
        <v>6.08</v>
      </c>
      <c r="K358" t="s">
        <v>5447</v>
      </c>
      <c r="L358">
        <v>4.0599999999999996</v>
      </c>
      <c r="M358" t="s">
        <v>5470</v>
      </c>
      <c r="N358" t="s">
        <v>5471</v>
      </c>
      <c r="O358" t="s">
        <v>41</v>
      </c>
      <c r="R358" t="s">
        <v>5442</v>
      </c>
      <c r="T358" s="3">
        <v>42473</v>
      </c>
    </row>
    <row r="359" spans="1:20" x14ac:dyDescent="0.3">
      <c r="A359">
        <v>360</v>
      </c>
      <c r="B359">
        <v>6265</v>
      </c>
      <c r="C359" t="s">
        <v>324</v>
      </c>
      <c r="D359">
        <v>7.22</v>
      </c>
      <c r="E359" t="s">
        <v>5920</v>
      </c>
      <c r="J359" s="5">
        <v>6.16</v>
      </c>
      <c r="K359" t="s">
        <v>5447</v>
      </c>
      <c r="L359">
        <v>4.13</v>
      </c>
      <c r="M359" t="s">
        <v>5484</v>
      </c>
      <c r="N359" t="s">
        <v>1</v>
      </c>
      <c r="O359" t="s">
        <v>2</v>
      </c>
      <c r="R359" t="s">
        <v>5454</v>
      </c>
      <c r="T359" s="3">
        <v>42473</v>
      </c>
    </row>
    <row r="360" spans="1:20" x14ac:dyDescent="0.3">
      <c r="A360">
        <v>361</v>
      </c>
      <c r="B360">
        <v>6290</v>
      </c>
      <c r="C360" t="s">
        <v>5921</v>
      </c>
      <c r="D360">
        <v>34.6</v>
      </c>
      <c r="E360" t="s">
        <v>5922</v>
      </c>
      <c r="J360" s="5">
        <v>6.27</v>
      </c>
      <c r="K360" t="s">
        <v>5440</v>
      </c>
      <c r="L360">
        <v>4.26</v>
      </c>
      <c r="M360" t="s">
        <v>5484</v>
      </c>
      <c r="N360" t="s">
        <v>1</v>
      </c>
      <c r="O360" t="s">
        <v>2</v>
      </c>
      <c r="R360" t="s">
        <v>5442</v>
      </c>
      <c r="T360" s="3">
        <v>42473</v>
      </c>
    </row>
    <row r="361" spans="1:20" x14ac:dyDescent="0.3">
      <c r="A361">
        <v>362</v>
      </c>
      <c r="B361">
        <v>3313</v>
      </c>
      <c r="C361" t="s">
        <v>352</v>
      </c>
      <c r="D361">
        <v>5.91</v>
      </c>
      <c r="E361" t="s">
        <v>5923</v>
      </c>
      <c r="J361" s="5">
        <v>6.07</v>
      </c>
      <c r="K361" t="s">
        <v>5524</v>
      </c>
      <c r="L361">
        <v>4.0599999999999996</v>
      </c>
      <c r="M361" t="s">
        <v>16</v>
      </c>
      <c r="N361" t="s">
        <v>17</v>
      </c>
      <c r="O361" t="s">
        <v>2</v>
      </c>
      <c r="R361" t="s">
        <v>5454</v>
      </c>
      <c r="T361" s="3">
        <v>42473</v>
      </c>
    </row>
    <row r="362" spans="1:20" x14ac:dyDescent="0.3">
      <c r="A362">
        <v>363</v>
      </c>
      <c r="B362">
        <v>6169</v>
      </c>
      <c r="C362" t="s">
        <v>5924</v>
      </c>
      <c r="D362">
        <v>33</v>
      </c>
      <c r="E362" t="s">
        <v>5925</v>
      </c>
      <c r="J362" s="5">
        <v>6.28</v>
      </c>
      <c r="K362" t="s">
        <v>5440</v>
      </c>
      <c r="L362">
        <v>4.2699999999999996</v>
      </c>
      <c r="M362" t="s">
        <v>50</v>
      </c>
      <c r="N362" t="s">
        <v>51</v>
      </c>
      <c r="O362" t="s">
        <v>2</v>
      </c>
      <c r="R362" t="s">
        <v>5454</v>
      </c>
      <c r="T362" s="3">
        <v>42473</v>
      </c>
    </row>
    <row r="363" spans="1:20" x14ac:dyDescent="0.3">
      <c r="A363">
        <v>364</v>
      </c>
      <c r="B363">
        <v>5314</v>
      </c>
      <c r="C363" t="s">
        <v>5926</v>
      </c>
      <c r="D363">
        <v>7.14</v>
      </c>
      <c r="E363" t="s">
        <v>5927</v>
      </c>
      <c r="J363" s="5">
        <v>6.07</v>
      </c>
      <c r="K363" t="s">
        <v>5469</v>
      </c>
      <c r="L363">
        <v>4.0599999999999996</v>
      </c>
      <c r="M363" t="s">
        <v>5555</v>
      </c>
      <c r="N363" t="s">
        <v>25</v>
      </c>
      <c r="O363" t="s">
        <v>2</v>
      </c>
      <c r="R363" t="s">
        <v>5442</v>
      </c>
      <c r="T363" s="3">
        <v>42473</v>
      </c>
    </row>
    <row r="364" spans="1:20" x14ac:dyDescent="0.3">
      <c r="A364">
        <v>365</v>
      </c>
      <c r="B364">
        <v>1217</v>
      </c>
      <c r="C364" t="s">
        <v>257</v>
      </c>
      <c r="D364">
        <v>8.15</v>
      </c>
      <c r="E364" t="s">
        <v>5928</v>
      </c>
      <c r="J364" s="5">
        <v>6.28</v>
      </c>
      <c r="K364" t="s">
        <v>5527</v>
      </c>
      <c r="L364">
        <v>4.2699999999999996</v>
      </c>
      <c r="M364" t="s">
        <v>5482</v>
      </c>
      <c r="N364" t="s">
        <v>14</v>
      </c>
      <c r="O364" t="s">
        <v>41</v>
      </c>
      <c r="R364" t="s">
        <v>5454</v>
      </c>
      <c r="T364" s="3">
        <v>42473</v>
      </c>
    </row>
    <row r="365" spans="1:20" x14ac:dyDescent="0.3">
      <c r="A365">
        <v>366</v>
      </c>
      <c r="B365">
        <v>8176</v>
      </c>
      <c r="C365" t="s">
        <v>40</v>
      </c>
      <c r="D365">
        <v>8.5500000000000007</v>
      </c>
      <c r="E365" t="s">
        <v>5444</v>
      </c>
      <c r="J365" s="5">
        <v>5.27</v>
      </c>
      <c r="K365" t="s">
        <v>5469</v>
      </c>
      <c r="L365">
        <v>3.24</v>
      </c>
      <c r="M365" t="s">
        <v>5464</v>
      </c>
      <c r="N365" t="s">
        <v>6</v>
      </c>
      <c r="O365" t="s">
        <v>2</v>
      </c>
      <c r="R365" t="s">
        <v>5454</v>
      </c>
      <c r="T365" s="3">
        <v>42473</v>
      </c>
    </row>
    <row r="366" spans="1:20" x14ac:dyDescent="0.3">
      <c r="A366">
        <v>367</v>
      </c>
      <c r="B366">
        <v>4193</v>
      </c>
      <c r="C366" t="s">
        <v>5929</v>
      </c>
      <c r="E366" t="s">
        <v>5930</v>
      </c>
      <c r="J366" s="5">
        <v>6.28</v>
      </c>
      <c r="K366" t="s">
        <v>5931</v>
      </c>
      <c r="L366">
        <v>4.2699999999999996</v>
      </c>
      <c r="M366" t="s">
        <v>5464</v>
      </c>
      <c r="N366" t="s">
        <v>6</v>
      </c>
      <c r="O366" t="s">
        <v>2</v>
      </c>
      <c r="R366" t="s">
        <v>5454</v>
      </c>
      <c r="T366" s="3">
        <v>42473</v>
      </c>
    </row>
    <row r="367" spans="1:20" x14ac:dyDescent="0.3">
      <c r="A367">
        <v>368</v>
      </c>
      <c r="B367">
        <v>1540</v>
      </c>
      <c r="C367" t="s">
        <v>5932</v>
      </c>
      <c r="D367">
        <v>16.2</v>
      </c>
      <c r="E367" t="s">
        <v>5933</v>
      </c>
      <c r="J367" s="5">
        <v>6.3</v>
      </c>
      <c r="K367" t="s">
        <v>5463</v>
      </c>
      <c r="L367">
        <v>4.2699999999999996</v>
      </c>
      <c r="M367" t="s">
        <v>3</v>
      </c>
      <c r="N367" t="s">
        <v>4</v>
      </c>
      <c r="O367" t="s">
        <v>2</v>
      </c>
      <c r="R367" t="s">
        <v>5442</v>
      </c>
      <c r="T367" s="3">
        <v>42473</v>
      </c>
    </row>
    <row r="368" spans="1:20" x14ac:dyDescent="0.3">
      <c r="A368">
        <v>369</v>
      </c>
      <c r="B368">
        <v>1304</v>
      </c>
      <c r="C368" t="s">
        <v>69</v>
      </c>
      <c r="D368">
        <v>12.9</v>
      </c>
      <c r="E368" t="s">
        <v>5934</v>
      </c>
      <c r="J368" s="5">
        <v>6.08</v>
      </c>
      <c r="K368" t="s">
        <v>5440</v>
      </c>
      <c r="L368">
        <v>4.0599999999999996</v>
      </c>
      <c r="M368" t="s">
        <v>12</v>
      </c>
      <c r="N368" t="s">
        <v>5935</v>
      </c>
      <c r="O368" t="s">
        <v>2</v>
      </c>
      <c r="R368" t="s">
        <v>5442</v>
      </c>
      <c r="T368" s="3">
        <v>42473</v>
      </c>
    </row>
    <row r="369" spans="1:20" x14ac:dyDescent="0.3">
      <c r="A369">
        <v>370</v>
      </c>
      <c r="B369">
        <v>1308</v>
      </c>
      <c r="C369" t="s">
        <v>65</v>
      </c>
      <c r="D369">
        <v>18.399999999999999</v>
      </c>
      <c r="E369" t="s">
        <v>5934</v>
      </c>
      <c r="J369" s="5">
        <v>6.08</v>
      </c>
      <c r="K369" t="s">
        <v>5524</v>
      </c>
      <c r="L369">
        <v>4.0599999999999996</v>
      </c>
      <c r="M369" t="s">
        <v>12</v>
      </c>
      <c r="N369" t="s">
        <v>5935</v>
      </c>
      <c r="O369" t="s">
        <v>2</v>
      </c>
      <c r="R369" t="s">
        <v>5478</v>
      </c>
      <c r="T369" s="3">
        <v>42473</v>
      </c>
    </row>
    <row r="370" spans="1:20" x14ac:dyDescent="0.3">
      <c r="A370">
        <v>371</v>
      </c>
      <c r="B370">
        <v>3060</v>
      </c>
      <c r="C370" t="s">
        <v>123</v>
      </c>
      <c r="D370">
        <v>52.3</v>
      </c>
      <c r="E370" t="s">
        <v>5444</v>
      </c>
      <c r="J370" s="5">
        <v>6.07</v>
      </c>
      <c r="K370" t="s">
        <v>5481</v>
      </c>
      <c r="L370">
        <v>4.0599999999999996</v>
      </c>
      <c r="M370" t="s">
        <v>3</v>
      </c>
      <c r="N370" t="s">
        <v>4</v>
      </c>
      <c r="O370" t="s">
        <v>2</v>
      </c>
      <c r="R370" t="s">
        <v>5442</v>
      </c>
      <c r="T370" s="3">
        <v>42473</v>
      </c>
    </row>
    <row r="371" spans="1:20" x14ac:dyDescent="0.3">
      <c r="A371">
        <v>372</v>
      </c>
      <c r="B371">
        <v>6234</v>
      </c>
      <c r="C371" t="s">
        <v>367</v>
      </c>
      <c r="D371">
        <v>27.2</v>
      </c>
      <c r="E371" t="s">
        <v>5936</v>
      </c>
      <c r="J371" s="5">
        <v>6.08</v>
      </c>
      <c r="K371" t="s">
        <v>5463</v>
      </c>
      <c r="L371">
        <v>4.0599999999999996</v>
      </c>
      <c r="M371" t="s">
        <v>5457</v>
      </c>
      <c r="N371" t="s">
        <v>10</v>
      </c>
      <c r="O371" t="s">
        <v>2</v>
      </c>
      <c r="R371" t="s">
        <v>5442</v>
      </c>
      <c r="T371" s="3">
        <v>42473</v>
      </c>
    </row>
    <row r="372" spans="1:20" x14ac:dyDescent="0.3">
      <c r="A372">
        <v>373</v>
      </c>
      <c r="B372">
        <v>3324</v>
      </c>
      <c r="C372" t="s">
        <v>5937</v>
      </c>
      <c r="D372">
        <v>69.5</v>
      </c>
      <c r="E372" t="s">
        <v>5444</v>
      </c>
      <c r="J372" s="5">
        <v>6.08</v>
      </c>
      <c r="K372" t="s">
        <v>5447</v>
      </c>
      <c r="L372">
        <v>4.0599999999999996</v>
      </c>
      <c r="M372" t="s">
        <v>5496</v>
      </c>
      <c r="N372" t="s">
        <v>26</v>
      </c>
      <c r="O372" t="s">
        <v>2</v>
      </c>
      <c r="R372" t="s">
        <v>5442</v>
      </c>
      <c r="T372" s="3">
        <v>42473</v>
      </c>
    </row>
    <row r="373" spans="1:20" x14ac:dyDescent="0.3">
      <c r="A373">
        <v>374</v>
      </c>
      <c r="B373">
        <v>6208</v>
      </c>
      <c r="C373" t="s">
        <v>5938</v>
      </c>
      <c r="D373">
        <v>12.45</v>
      </c>
      <c r="E373" t="s">
        <v>5939</v>
      </c>
      <c r="J373" s="5">
        <v>6.07</v>
      </c>
      <c r="K373" t="s">
        <v>5467</v>
      </c>
      <c r="L373">
        <v>4.0599999999999996</v>
      </c>
      <c r="M373" t="s">
        <v>5477</v>
      </c>
      <c r="N373" t="s">
        <v>48</v>
      </c>
      <c r="O373" t="s">
        <v>2</v>
      </c>
      <c r="R373" t="s">
        <v>5478</v>
      </c>
      <c r="T373" s="3">
        <v>42474</v>
      </c>
    </row>
    <row r="374" spans="1:20" x14ac:dyDescent="0.3">
      <c r="A374">
        <v>375</v>
      </c>
      <c r="B374">
        <v>6164</v>
      </c>
      <c r="C374" t="s">
        <v>5940</v>
      </c>
      <c r="D374">
        <v>9.9600000000000009</v>
      </c>
      <c r="E374" t="s">
        <v>5546</v>
      </c>
      <c r="J374" s="5">
        <v>6.08</v>
      </c>
      <c r="K374" t="s">
        <v>5447</v>
      </c>
      <c r="L374">
        <v>4.0599999999999996</v>
      </c>
      <c r="M374" t="s">
        <v>5484</v>
      </c>
      <c r="N374" t="s">
        <v>1</v>
      </c>
      <c r="O374" t="s">
        <v>2</v>
      </c>
      <c r="R374" t="s">
        <v>5454</v>
      </c>
      <c r="T374" s="3">
        <v>42474</v>
      </c>
    </row>
    <row r="375" spans="1:20" x14ac:dyDescent="0.3">
      <c r="A375">
        <v>376</v>
      </c>
      <c r="B375">
        <v>3019</v>
      </c>
      <c r="C375" t="s">
        <v>5941</v>
      </c>
      <c r="D375">
        <v>26</v>
      </c>
      <c r="E375" t="s">
        <v>5500</v>
      </c>
      <c r="J375" s="5">
        <v>6.08</v>
      </c>
      <c r="K375" t="s">
        <v>5463</v>
      </c>
      <c r="L375">
        <v>4.0599999999999996</v>
      </c>
      <c r="M375" t="s">
        <v>5464</v>
      </c>
      <c r="N375" t="s">
        <v>6</v>
      </c>
      <c r="O375" t="s">
        <v>2</v>
      </c>
      <c r="R375" t="s">
        <v>5478</v>
      </c>
      <c r="T375" s="3">
        <v>42474</v>
      </c>
    </row>
    <row r="376" spans="1:20" x14ac:dyDescent="0.3">
      <c r="A376">
        <v>377</v>
      </c>
      <c r="B376">
        <v>3006</v>
      </c>
      <c r="C376" t="s">
        <v>5942</v>
      </c>
      <c r="D376">
        <v>27.95</v>
      </c>
      <c r="E376" t="s">
        <v>5943</v>
      </c>
      <c r="J376" s="5">
        <v>6.15</v>
      </c>
      <c r="K376" t="s">
        <v>5469</v>
      </c>
      <c r="L376">
        <v>4.13</v>
      </c>
      <c r="M376" t="s">
        <v>5482</v>
      </c>
      <c r="N376" t="s">
        <v>14</v>
      </c>
      <c r="O376" t="s">
        <v>2</v>
      </c>
      <c r="R376" t="s">
        <v>5454</v>
      </c>
      <c r="T376" s="3">
        <v>42474</v>
      </c>
    </row>
    <row r="377" spans="1:20" x14ac:dyDescent="0.3">
      <c r="A377">
        <v>378</v>
      </c>
      <c r="B377">
        <v>6283</v>
      </c>
      <c r="C377" t="s">
        <v>5944</v>
      </c>
      <c r="D377">
        <v>5.87</v>
      </c>
      <c r="E377" t="s">
        <v>5444</v>
      </c>
      <c r="J377" s="5">
        <v>6.08</v>
      </c>
      <c r="K377" t="s">
        <v>5447</v>
      </c>
      <c r="L377">
        <v>4.0599999999999996</v>
      </c>
      <c r="M377" t="s">
        <v>5470</v>
      </c>
      <c r="N377" t="s">
        <v>5471</v>
      </c>
      <c r="O377" t="s">
        <v>2</v>
      </c>
      <c r="R377" t="s">
        <v>5442</v>
      </c>
      <c r="T377" s="3">
        <v>42474</v>
      </c>
    </row>
    <row r="378" spans="1:20" x14ac:dyDescent="0.3">
      <c r="A378">
        <v>379</v>
      </c>
      <c r="B378">
        <v>5604</v>
      </c>
      <c r="C378" t="s">
        <v>5945</v>
      </c>
      <c r="D378">
        <v>38.5</v>
      </c>
      <c r="E378" t="s">
        <v>5573</v>
      </c>
      <c r="J378" s="5">
        <v>6.02</v>
      </c>
      <c r="K378" t="s">
        <v>5463</v>
      </c>
      <c r="L378">
        <v>3.3</v>
      </c>
      <c r="M378" t="s">
        <v>5761</v>
      </c>
      <c r="N378" t="s">
        <v>30</v>
      </c>
      <c r="O378" t="s">
        <v>2</v>
      </c>
      <c r="R378" t="s">
        <v>5442</v>
      </c>
      <c r="T378" s="3">
        <v>42474</v>
      </c>
    </row>
    <row r="379" spans="1:20" x14ac:dyDescent="0.3">
      <c r="A379">
        <v>380</v>
      </c>
      <c r="B379">
        <v>1310</v>
      </c>
      <c r="C379" t="s">
        <v>119</v>
      </c>
      <c r="D379">
        <v>18.3</v>
      </c>
      <c r="E379" t="s">
        <v>5946</v>
      </c>
      <c r="J379" s="5">
        <v>6.29</v>
      </c>
      <c r="K379" t="s">
        <v>5524</v>
      </c>
      <c r="L379">
        <v>4.2699999999999996</v>
      </c>
      <c r="M379" t="s">
        <v>5464</v>
      </c>
      <c r="N379" t="s">
        <v>6</v>
      </c>
      <c r="O379" t="s">
        <v>2</v>
      </c>
      <c r="R379" t="s">
        <v>5442</v>
      </c>
      <c r="T379" s="3">
        <v>42474</v>
      </c>
    </row>
    <row r="380" spans="1:20" x14ac:dyDescent="0.3">
      <c r="A380">
        <v>381</v>
      </c>
      <c r="B380">
        <v>8936</v>
      </c>
      <c r="C380" t="s">
        <v>5947</v>
      </c>
      <c r="D380">
        <v>26</v>
      </c>
      <c r="E380" t="s">
        <v>5948</v>
      </c>
      <c r="J380" s="5">
        <v>6.08</v>
      </c>
      <c r="K380" t="s">
        <v>5524</v>
      </c>
      <c r="L380">
        <v>4.0599999999999996</v>
      </c>
      <c r="M380" t="s">
        <v>5470</v>
      </c>
      <c r="N380" t="s">
        <v>5471</v>
      </c>
      <c r="O380" t="s">
        <v>2</v>
      </c>
      <c r="R380" t="s">
        <v>5478</v>
      </c>
      <c r="T380" s="3">
        <v>42474</v>
      </c>
    </row>
    <row r="381" spans="1:20" x14ac:dyDescent="0.3">
      <c r="A381">
        <v>382</v>
      </c>
      <c r="B381">
        <v>2841</v>
      </c>
      <c r="C381" t="s">
        <v>5949</v>
      </c>
      <c r="D381">
        <v>11.6</v>
      </c>
      <c r="E381" t="s">
        <v>5950</v>
      </c>
      <c r="J381" s="5">
        <v>6.29</v>
      </c>
      <c r="K381" t="s">
        <v>5440</v>
      </c>
      <c r="L381">
        <v>4.2699999999999996</v>
      </c>
      <c r="M381" t="s">
        <v>5464</v>
      </c>
      <c r="N381" t="s">
        <v>6</v>
      </c>
      <c r="O381" t="s">
        <v>2</v>
      </c>
      <c r="R381" t="s">
        <v>5442</v>
      </c>
      <c r="T381" s="3">
        <v>42474</v>
      </c>
    </row>
    <row r="382" spans="1:20" x14ac:dyDescent="0.3">
      <c r="A382">
        <v>383</v>
      </c>
      <c r="B382">
        <v>4127</v>
      </c>
      <c r="C382" t="s">
        <v>5951</v>
      </c>
      <c r="D382">
        <v>22</v>
      </c>
      <c r="E382" t="s">
        <v>5952</v>
      </c>
      <c r="J382" s="5">
        <v>6.27</v>
      </c>
      <c r="K382" t="s">
        <v>5447</v>
      </c>
      <c r="L382">
        <v>4.26</v>
      </c>
      <c r="M382" t="s">
        <v>5496</v>
      </c>
      <c r="N382" t="s">
        <v>26</v>
      </c>
      <c r="O382" t="s">
        <v>2</v>
      </c>
      <c r="R382" t="s">
        <v>5442</v>
      </c>
      <c r="T382" s="3">
        <v>42474</v>
      </c>
    </row>
    <row r="383" spans="1:20" x14ac:dyDescent="0.3">
      <c r="A383">
        <v>384</v>
      </c>
      <c r="B383">
        <v>8064</v>
      </c>
      <c r="C383" t="s">
        <v>127</v>
      </c>
      <c r="D383">
        <v>17.850000000000001</v>
      </c>
      <c r="E383" t="s">
        <v>5546</v>
      </c>
      <c r="J383" s="5">
        <v>6.08</v>
      </c>
      <c r="K383" t="s">
        <v>5467</v>
      </c>
      <c r="L383">
        <v>4.0599999999999996</v>
      </c>
      <c r="M383" t="s">
        <v>5482</v>
      </c>
      <c r="N383" t="s">
        <v>14</v>
      </c>
      <c r="O383" t="s">
        <v>2</v>
      </c>
      <c r="R383" t="s">
        <v>5442</v>
      </c>
      <c r="T383" s="3">
        <v>42474</v>
      </c>
    </row>
    <row r="384" spans="1:20" x14ac:dyDescent="0.3">
      <c r="A384">
        <v>385</v>
      </c>
      <c r="B384">
        <v>8183</v>
      </c>
      <c r="C384" t="s">
        <v>5953</v>
      </c>
      <c r="D384">
        <v>6.89</v>
      </c>
      <c r="E384" t="s">
        <v>5954</v>
      </c>
      <c r="J384" s="5">
        <v>6.08</v>
      </c>
      <c r="K384" t="s">
        <v>5469</v>
      </c>
      <c r="L384">
        <v>4.0599999999999996</v>
      </c>
      <c r="M384" t="s">
        <v>12</v>
      </c>
      <c r="N384" t="s">
        <v>18</v>
      </c>
      <c r="O384" t="s">
        <v>2</v>
      </c>
      <c r="R384" t="s">
        <v>5442</v>
      </c>
      <c r="T384" s="3">
        <v>42474</v>
      </c>
    </row>
    <row r="385" spans="1:20" x14ac:dyDescent="0.3">
      <c r="A385">
        <v>386</v>
      </c>
      <c r="B385">
        <v>3546</v>
      </c>
      <c r="C385" t="s">
        <v>5955</v>
      </c>
      <c r="D385">
        <v>31.75</v>
      </c>
      <c r="E385" t="s">
        <v>5456</v>
      </c>
      <c r="J385" s="5">
        <v>6.28</v>
      </c>
      <c r="K385" t="s">
        <v>5447</v>
      </c>
      <c r="L385">
        <v>4.2699999999999996</v>
      </c>
      <c r="M385" t="s">
        <v>5482</v>
      </c>
      <c r="N385" t="s">
        <v>14</v>
      </c>
      <c r="O385" t="s">
        <v>2</v>
      </c>
      <c r="R385" t="s">
        <v>5454</v>
      </c>
      <c r="T385" s="3">
        <v>42474</v>
      </c>
    </row>
    <row r="386" spans="1:20" x14ac:dyDescent="0.3">
      <c r="A386">
        <v>387</v>
      </c>
      <c r="B386">
        <v>1712</v>
      </c>
      <c r="C386" t="s">
        <v>188</v>
      </c>
      <c r="D386">
        <v>14.35</v>
      </c>
      <c r="E386" t="s">
        <v>5956</v>
      </c>
      <c r="J386" s="5">
        <v>6.17</v>
      </c>
      <c r="K386" t="s">
        <v>5463</v>
      </c>
      <c r="L386">
        <v>4.1399999999999997</v>
      </c>
      <c r="M386" t="s">
        <v>5482</v>
      </c>
      <c r="N386" t="s">
        <v>14</v>
      </c>
      <c r="O386" t="s">
        <v>41</v>
      </c>
      <c r="R386" t="s">
        <v>5442</v>
      </c>
      <c r="T386" s="3">
        <v>42474</v>
      </c>
    </row>
    <row r="387" spans="1:20" x14ac:dyDescent="0.3">
      <c r="A387">
        <v>388</v>
      </c>
      <c r="B387">
        <v>2534</v>
      </c>
      <c r="C387" t="s">
        <v>258</v>
      </c>
      <c r="D387">
        <v>15.7</v>
      </c>
      <c r="E387" t="s">
        <v>5957</v>
      </c>
      <c r="J387" s="5">
        <v>6.21</v>
      </c>
      <c r="K387" t="s">
        <v>5440</v>
      </c>
      <c r="L387">
        <v>4.2</v>
      </c>
      <c r="M387" t="s">
        <v>5482</v>
      </c>
      <c r="N387" t="s">
        <v>14</v>
      </c>
      <c r="O387" t="s">
        <v>2</v>
      </c>
      <c r="R387" t="s">
        <v>5442</v>
      </c>
      <c r="T387" s="3">
        <v>42474</v>
      </c>
    </row>
    <row r="388" spans="1:20" x14ac:dyDescent="0.3">
      <c r="A388">
        <v>389</v>
      </c>
      <c r="B388">
        <v>3566</v>
      </c>
      <c r="C388" t="s">
        <v>22</v>
      </c>
      <c r="E388" t="s">
        <v>5958</v>
      </c>
      <c r="J388" s="5">
        <v>6.29</v>
      </c>
      <c r="K388" t="s">
        <v>5469</v>
      </c>
      <c r="L388">
        <v>4.2699999999999996</v>
      </c>
      <c r="M388" t="s">
        <v>5482</v>
      </c>
      <c r="N388" t="s">
        <v>14</v>
      </c>
      <c r="O388" t="s">
        <v>2</v>
      </c>
      <c r="R388" t="s">
        <v>5442</v>
      </c>
      <c r="T388" s="3">
        <v>42475</v>
      </c>
    </row>
    <row r="389" spans="1:20" x14ac:dyDescent="0.3">
      <c r="A389">
        <v>390</v>
      </c>
      <c r="B389">
        <v>3047</v>
      </c>
      <c r="C389" t="s">
        <v>5959</v>
      </c>
      <c r="D389">
        <v>10.65</v>
      </c>
      <c r="E389" t="s">
        <v>5960</v>
      </c>
      <c r="J389" s="5">
        <v>6.13</v>
      </c>
      <c r="K389" t="s">
        <v>5447</v>
      </c>
      <c r="L389">
        <v>4.12</v>
      </c>
      <c r="M389" t="s">
        <v>5482</v>
      </c>
      <c r="N389" t="s">
        <v>14</v>
      </c>
      <c r="O389" t="s">
        <v>2</v>
      </c>
      <c r="R389" t="s">
        <v>5442</v>
      </c>
      <c r="T389" s="3">
        <v>42475</v>
      </c>
    </row>
    <row r="390" spans="1:20" x14ac:dyDescent="0.3">
      <c r="A390">
        <v>391</v>
      </c>
      <c r="B390">
        <v>4160</v>
      </c>
      <c r="C390" t="s">
        <v>5961</v>
      </c>
      <c r="D390">
        <v>28.3</v>
      </c>
      <c r="E390" t="s">
        <v>5725</v>
      </c>
      <c r="J390" s="5">
        <v>6.07</v>
      </c>
      <c r="K390" t="s">
        <v>5440</v>
      </c>
      <c r="L390">
        <v>4.0599999999999996</v>
      </c>
      <c r="M390" t="s">
        <v>5484</v>
      </c>
      <c r="N390" t="s">
        <v>1</v>
      </c>
      <c r="O390" t="s">
        <v>2</v>
      </c>
      <c r="R390" t="s">
        <v>5442</v>
      </c>
      <c r="T390" s="3">
        <v>42475</v>
      </c>
    </row>
    <row r="391" spans="1:20" x14ac:dyDescent="0.3">
      <c r="A391">
        <v>392</v>
      </c>
      <c r="B391">
        <v>2535</v>
      </c>
      <c r="C391" t="s">
        <v>5962</v>
      </c>
      <c r="D391">
        <v>15.9</v>
      </c>
      <c r="E391" t="s">
        <v>5963</v>
      </c>
      <c r="J391" s="5">
        <v>6.13</v>
      </c>
      <c r="K391" t="s">
        <v>5440</v>
      </c>
      <c r="L391">
        <v>4.12</v>
      </c>
      <c r="M391" t="s">
        <v>5477</v>
      </c>
      <c r="N391" t="s">
        <v>48</v>
      </c>
      <c r="O391" t="s">
        <v>2</v>
      </c>
      <c r="R391" t="s">
        <v>5442</v>
      </c>
      <c r="T391" s="3">
        <v>42475</v>
      </c>
    </row>
    <row r="392" spans="1:20" x14ac:dyDescent="0.3">
      <c r="A392">
        <v>393</v>
      </c>
      <c r="B392">
        <v>8240</v>
      </c>
      <c r="C392" t="s">
        <v>5964</v>
      </c>
      <c r="D392">
        <v>19.149999999999999</v>
      </c>
      <c r="E392" t="s">
        <v>5965</v>
      </c>
      <c r="J392" s="5">
        <v>6.21</v>
      </c>
      <c r="K392" t="s">
        <v>5524</v>
      </c>
      <c r="L392">
        <v>4.2</v>
      </c>
      <c r="M392" t="s">
        <v>5496</v>
      </c>
      <c r="N392" t="s">
        <v>26</v>
      </c>
      <c r="O392" t="s">
        <v>2</v>
      </c>
      <c r="R392" t="s">
        <v>5454</v>
      </c>
      <c r="T392" s="3">
        <v>42475</v>
      </c>
    </row>
    <row r="393" spans="1:20" x14ac:dyDescent="0.3">
      <c r="A393">
        <v>394</v>
      </c>
      <c r="B393">
        <v>3054</v>
      </c>
      <c r="C393" t="s">
        <v>5966</v>
      </c>
      <c r="D393">
        <v>17.5</v>
      </c>
      <c r="E393" t="s">
        <v>5967</v>
      </c>
      <c r="J393" s="5">
        <v>6.07</v>
      </c>
      <c r="K393" t="s">
        <v>5447</v>
      </c>
      <c r="L393">
        <v>4.0599999999999996</v>
      </c>
      <c r="M393" t="s">
        <v>50</v>
      </c>
      <c r="N393" t="s">
        <v>51</v>
      </c>
      <c r="O393" t="s">
        <v>2</v>
      </c>
      <c r="R393" t="s">
        <v>5442</v>
      </c>
      <c r="T393" s="3">
        <v>42475</v>
      </c>
    </row>
    <row r="394" spans="1:20" x14ac:dyDescent="0.3">
      <c r="A394">
        <v>395</v>
      </c>
      <c r="B394">
        <v>2417</v>
      </c>
      <c r="C394" t="s">
        <v>338</v>
      </c>
      <c r="D394">
        <v>9.17</v>
      </c>
      <c r="E394" t="s">
        <v>5968</v>
      </c>
      <c r="J394" s="5">
        <v>6.14</v>
      </c>
      <c r="K394" t="s">
        <v>5440</v>
      </c>
      <c r="L394">
        <v>4.13</v>
      </c>
      <c r="M394" t="s">
        <v>50</v>
      </c>
      <c r="N394" t="s">
        <v>51</v>
      </c>
      <c r="O394" t="s">
        <v>2</v>
      </c>
      <c r="R394" t="s">
        <v>5442</v>
      </c>
      <c r="T394" s="3">
        <v>42475</v>
      </c>
    </row>
    <row r="395" spans="1:20" x14ac:dyDescent="0.3">
      <c r="A395">
        <v>396</v>
      </c>
      <c r="B395">
        <v>5460</v>
      </c>
      <c r="C395" t="s">
        <v>5969</v>
      </c>
      <c r="D395">
        <v>12.9</v>
      </c>
      <c r="E395" t="s">
        <v>5849</v>
      </c>
      <c r="J395" s="5">
        <v>6.14</v>
      </c>
      <c r="K395" t="s">
        <v>5447</v>
      </c>
      <c r="L395">
        <v>4.13</v>
      </c>
      <c r="M395" t="s">
        <v>5482</v>
      </c>
      <c r="N395" t="s">
        <v>14</v>
      </c>
      <c r="O395" t="s">
        <v>41</v>
      </c>
      <c r="R395" t="s">
        <v>5442</v>
      </c>
      <c r="T395" s="3">
        <v>42475</v>
      </c>
    </row>
    <row r="396" spans="1:20" x14ac:dyDescent="0.3">
      <c r="A396">
        <v>397</v>
      </c>
      <c r="B396">
        <v>3209</v>
      </c>
      <c r="C396" t="s">
        <v>259</v>
      </c>
      <c r="D396">
        <v>30.7</v>
      </c>
      <c r="E396" t="s">
        <v>5573</v>
      </c>
      <c r="J396" s="5">
        <v>6.16</v>
      </c>
      <c r="K396" t="s">
        <v>5440</v>
      </c>
      <c r="L396">
        <v>4.13</v>
      </c>
      <c r="M396" t="s">
        <v>5457</v>
      </c>
      <c r="N396" t="s">
        <v>10</v>
      </c>
      <c r="O396" t="s">
        <v>2</v>
      </c>
      <c r="R396" t="s">
        <v>5442</v>
      </c>
      <c r="T396" s="3">
        <v>42475</v>
      </c>
    </row>
    <row r="397" spans="1:20" x14ac:dyDescent="0.3">
      <c r="A397">
        <v>398</v>
      </c>
      <c r="B397">
        <v>2313</v>
      </c>
      <c r="C397" t="s">
        <v>89</v>
      </c>
      <c r="D397">
        <v>19.8</v>
      </c>
      <c r="E397" t="s">
        <v>5869</v>
      </c>
      <c r="J397" s="5">
        <v>6.17</v>
      </c>
      <c r="K397" t="s">
        <v>5481</v>
      </c>
      <c r="L397">
        <v>4.1399999999999997</v>
      </c>
      <c r="M397" t="s">
        <v>5496</v>
      </c>
      <c r="N397" t="s">
        <v>26</v>
      </c>
      <c r="O397" t="s">
        <v>41</v>
      </c>
      <c r="R397" t="s">
        <v>5442</v>
      </c>
      <c r="T397" s="3">
        <v>42475</v>
      </c>
    </row>
    <row r="398" spans="1:20" x14ac:dyDescent="0.3">
      <c r="A398">
        <v>399</v>
      </c>
      <c r="B398">
        <v>6016</v>
      </c>
      <c r="C398" t="s">
        <v>5970</v>
      </c>
      <c r="D398">
        <v>6.48</v>
      </c>
      <c r="E398" t="s">
        <v>5971</v>
      </c>
      <c r="J398" s="5">
        <v>6.17</v>
      </c>
      <c r="K398" t="s">
        <v>5440</v>
      </c>
      <c r="L398">
        <v>4.1399999999999997</v>
      </c>
      <c r="M398" t="s">
        <v>5491</v>
      </c>
      <c r="N398" t="s">
        <v>122</v>
      </c>
      <c r="O398" t="s">
        <v>2</v>
      </c>
      <c r="R398" t="s">
        <v>5442</v>
      </c>
      <c r="T398" s="3">
        <v>42475</v>
      </c>
    </row>
    <row r="399" spans="1:20" x14ac:dyDescent="0.3">
      <c r="A399">
        <v>400</v>
      </c>
      <c r="B399">
        <v>6198</v>
      </c>
      <c r="C399" t="s">
        <v>5972</v>
      </c>
      <c r="D399">
        <v>19.899999999999999</v>
      </c>
      <c r="E399" t="s">
        <v>5973</v>
      </c>
      <c r="J399" s="5">
        <v>6.07</v>
      </c>
      <c r="K399" t="s">
        <v>5440</v>
      </c>
      <c r="L399">
        <v>4.0599999999999996</v>
      </c>
      <c r="M399" t="s">
        <v>5464</v>
      </c>
      <c r="N399" t="s">
        <v>6</v>
      </c>
      <c r="O399" t="s">
        <v>2</v>
      </c>
      <c r="R399" t="s">
        <v>5442</v>
      </c>
      <c r="T399" s="3">
        <v>42475</v>
      </c>
    </row>
    <row r="400" spans="1:20" x14ac:dyDescent="0.3">
      <c r="A400">
        <v>401</v>
      </c>
      <c r="B400">
        <v>3169</v>
      </c>
      <c r="C400" t="s">
        <v>5974</v>
      </c>
      <c r="D400">
        <v>27.5</v>
      </c>
      <c r="E400" t="s">
        <v>5444</v>
      </c>
      <c r="J400" s="5">
        <v>6.08</v>
      </c>
      <c r="K400" t="s">
        <v>5469</v>
      </c>
      <c r="L400">
        <v>4.0599999999999996</v>
      </c>
      <c r="M400" t="s">
        <v>16</v>
      </c>
      <c r="N400" t="s">
        <v>17</v>
      </c>
      <c r="O400" t="s">
        <v>2</v>
      </c>
      <c r="R400" t="s">
        <v>5454</v>
      </c>
      <c r="T400" s="3">
        <v>42477</v>
      </c>
    </row>
    <row r="401" spans="1:20" x14ac:dyDescent="0.3">
      <c r="A401">
        <v>402</v>
      </c>
      <c r="B401">
        <v>2493</v>
      </c>
      <c r="C401" t="s">
        <v>5975</v>
      </c>
      <c r="D401">
        <v>25.65</v>
      </c>
      <c r="E401" t="s">
        <v>5976</v>
      </c>
      <c r="J401" s="5">
        <v>6.17</v>
      </c>
      <c r="K401" t="s">
        <v>5723</v>
      </c>
      <c r="L401">
        <v>4.1399999999999997</v>
      </c>
      <c r="M401" t="s">
        <v>5484</v>
      </c>
      <c r="N401" t="s">
        <v>1</v>
      </c>
      <c r="O401" t="s">
        <v>2</v>
      </c>
      <c r="R401" t="s">
        <v>5454</v>
      </c>
      <c r="T401" s="3">
        <v>42478</v>
      </c>
    </row>
    <row r="402" spans="1:20" x14ac:dyDescent="0.3">
      <c r="A402">
        <v>403</v>
      </c>
      <c r="B402">
        <v>2901</v>
      </c>
      <c r="C402" t="s">
        <v>5977</v>
      </c>
      <c r="D402">
        <v>25.8</v>
      </c>
      <c r="E402" t="s">
        <v>5978</v>
      </c>
      <c r="J402" s="5">
        <v>6.13</v>
      </c>
      <c r="K402" t="s">
        <v>5440</v>
      </c>
      <c r="L402">
        <v>4.12</v>
      </c>
      <c r="M402" t="s">
        <v>5482</v>
      </c>
      <c r="N402" t="s">
        <v>14</v>
      </c>
      <c r="O402" t="s">
        <v>2</v>
      </c>
      <c r="R402" t="s">
        <v>5454</v>
      </c>
      <c r="T402" s="3">
        <v>42478</v>
      </c>
    </row>
    <row r="403" spans="1:20" x14ac:dyDescent="0.3">
      <c r="A403">
        <v>404</v>
      </c>
      <c r="B403">
        <v>2383</v>
      </c>
      <c r="C403" t="s">
        <v>5979</v>
      </c>
      <c r="D403">
        <v>58.5</v>
      </c>
      <c r="E403" t="s">
        <v>5530</v>
      </c>
      <c r="J403" s="5">
        <v>6.13</v>
      </c>
      <c r="K403" t="s">
        <v>5481</v>
      </c>
      <c r="L403">
        <v>4.12</v>
      </c>
      <c r="M403" t="s">
        <v>5761</v>
      </c>
      <c r="N403" t="s">
        <v>30</v>
      </c>
      <c r="O403" t="s">
        <v>2</v>
      </c>
      <c r="R403" t="s">
        <v>5478</v>
      </c>
      <c r="T403" s="3">
        <v>42478</v>
      </c>
    </row>
    <row r="404" spans="1:20" x14ac:dyDescent="0.3">
      <c r="A404">
        <v>405</v>
      </c>
      <c r="B404">
        <v>2022</v>
      </c>
      <c r="C404" t="s">
        <v>262</v>
      </c>
      <c r="D404">
        <v>4.0199999999999996</v>
      </c>
      <c r="E404" t="s">
        <v>5980</v>
      </c>
      <c r="J404" s="5">
        <v>6.14</v>
      </c>
      <c r="K404" t="s">
        <v>5524</v>
      </c>
      <c r="L404">
        <v>4.13</v>
      </c>
      <c r="M404" t="s">
        <v>5470</v>
      </c>
      <c r="N404" t="s">
        <v>5471</v>
      </c>
      <c r="O404" t="s">
        <v>2</v>
      </c>
      <c r="R404" t="s">
        <v>5454</v>
      </c>
      <c r="T404" s="3">
        <v>42478</v>
      </c>
    </row>
    <row r="405" spans="1:20" x14ac:dyDescent="0.3">
      <c r="A405">
        <v>406</v>
      </c>
      <c r="B405">
        <v>2832</v>
      </c>
      <c r="C405" t="s">
        <v>286</v>
      </c>
      <c r="D405">
        <v>20.95</v>
      </c>
      <c r="E405" t="s">
        <v>5981</v>
      </c>
      <c r="J405" s="5">
        <v>6.14</v>
      </c>
      <c r="K405" t="s">
        <v>5440</v>
      </c>
      <c r="L405">
        <v>4.13</v>
      </c>
      <c r="M405" t="s">
        <v>5746</v>
      </c>
      <c r="N405" t="s">
        <v>166</v>
      </c>
      <c r="O405" t="s">
        <v>2</v>
      </c>
      <c r="R405" t="s">
        <v>5442</v>
      </c>
      <c r="T405" s="3">
        <v>42478</v>
      </c>
    </row>
    <row r="406" spans="1:20" x14ac:dyDescent="0.3">
      <c r="A406">
        <v>407</v>
      </c>
      <c r="B406">
        <v>6188</v>
      </c>
      <c r="C406" t="s">
        <v>5982</v>
      </c>
      <c r="D406">
        <v>23.15</v>
      </c>
      <c r="E406" t="s">
        <v>5983</v>
      </c>
      <c r="J406" s="5">
        <v>6.29</v>
      </c>
      <c r="K406" t="s">
        <v>5481</v>
      </c>
      <c r="L406">
        <v>4.2699999999999996</v>
      </c>
      <c r="M406" t="s">
        <v>5484</v>
      </c>
      <c r="N406" t="s">
        <v>1</v>
      </c>
      <c r="O406" t="s">
        <v>2</v>
      </c>
      <c r="R406" t="s">
        <v>5442</v>
      </c>
      <c r="T406" s="3">
        <v>42478</v>
      </c>
    </row>
    <row r="407" spans="1:20" x14ac:dyDescent="0.3">
      <c r="A407">
        <v>408</v>
      </c>
      <c r="B407">
        <v>2478</v>
      </c>
      <c r="C407" t="s">
        <v>293</v>
      </c>
      <c r="D407">
        <v>16.600000000000001</v>
      </c>
      <c r="E407" t="s">
        <v>5500</v>
      </c>
      <c r="J407" s="5">
        <v>6.13</v>
      </c>
      <c r="K407" t="s">
        <v>5481</v>
      </c>
      <c r="L407">
        <v>4.12</v>
      </c>
      <c r="M407" t="s">
        <v>3</v>
      </c>
      <c r="N407" t="s">
        <v>4</v>
      </c>
      <c r="O407" t="s">
        <v>2</v>
      </c>
      <c r="R407" t="s">
        <v>5442</v>
      </c>
      <c r="T407" s="3">
        <v>42478</v>
      </c>
    </row>
    <row r="408" spans="1:20" x14ac:dyDescent="0.3">
      <c r="A408">
        <v>409</v>
      </c>
      <c r="B408">
        <v>3131</v>
      </c>
      <c r="C408" t="s">
        <v>5984</v>
      </c>
      <c r="D408">
        <v>234</v>
      </c>
      <c r="E408" t="s">
        <v>5444</v>
      </c>
      <c r="J408" s="5">
        <v>6.16</v>
      </c>
      <c r="K408" t="s">
        <v>5469</v>
      </c>
      <c r="L408">
        <v>4.13</v>
      </c>
      <c r="M408" t="s">
        <v>5482</v>
      </c>
      <c r="N408" t="s">
        <v>14</v>
      </c>
      <c r="O408" t="s">
        <v>2</v>
      </c>
      <c r="R408" t="s">
        <v>5454</v>
      </c>
      <c r="T408" s="3">
        <v>42478</v>
      </c>
    </row>
    <row r="409" spans="1:20" x14ac:dyDescent="0.3">
      <c r="A409">
        <v>410</v>
      </c>
      <c r="B409">
        <v>4927</v>
      </c>
      <c r="C409" t="s">
        <v>60</v>
      </c>
      <c r="D409">
        <v>37.75</v>
      </c>
      <c r="E409" t="s">
        <v>5775</v>
      </c>
      <c r="J409" s="5">
        <v>6.15</v>
      </c>
      <c r="K409" t="s">
        <v>5440</v>
      </c>
      <c r="L409">
        <v>4.13</v>
      </c>
      <c r="M409" t="s">
        <v>5484</v>
      </c>
      <c r="N409" t="s">
        <v>1</v>
      </c>
      <c r="O409" t="s">
        <v>2</v>
      </c>
      <c r="R409" t="s">
        <v>5478</v>
      </c>
      <c r="T409" s="3">
        <v>42478</v>
      </c>
    </row>
    <row r="410" spans="1:20" x14ac:dyDescent="0.3">
      <c r="A410">
        <v>411</v>
      </c>
      <c r="B410">
        <v>5876</v>
      </c>
      <c r="C410" t="s">
        <v>5985</v>
      </c>
      <c r="E410" t="s">
        <v>5986</v>
      </c>
      <c r="J410" s="5">
        <v>6.14</v>
      </c>
      <c r="K410" t="s">
        <v>5440</v>
      </c>
      <c r="L410">
        <v>4.13</v>
      </c>
      <c r="M410" t="s">
        <v>5468</v>
      </c>
      <c r="N410" t="s">
        <v>20</v>
      </c>
      <c r="O410" t="s">
        <v>41</v>
      </c>
      <c r="R410" t="s">
        <v>5442</v>
      </c>
      <c r="T410" s="3">
        <v>42478</v>
      </c>
    </row>
    <row r="411" spans="1:20" x14ac:dyDescent="0.3">
      <c r="A411">
        <v>412</v>
      </c>
      <c r="B411">
        <v>6116</v>
      </c>
      <c r="C411" t="s">
        <v>73</v>
      </c>
      <c r="D411">
        <v>4.1100000000000003</v>
      </c>
      <c r="E411" t="s">
        <v>5565</v>
      </c>
      <c r="J411" s="5">
        <v>6.14</v>
      </c>
      <c r="K411" t="s">
        <v>5440</v>
      </c>
      <c r="L411">
        <v>4.13</v>
      </c>
      <c r="M411" t="s">
        <v>12</v>
      </c>
      <c r="N411" t="s">
        <v>18</v>
      </c>
      <c r="O411" t="s">
        <v>2</v>
      </c>
      <c r="R411" t="s">
        <v>5442</v>
      </c>
      <c r="T411" s="3">
        <v>42478</v>
      </c>
    </row>
    <row r="412" spans="1:20" x14ac:dyDescent="0.3">
      <c r="A412">
        <v>413</v>
      </c>
      <c r="B412">
        <v>1309</v>
      </c>
      <c r="C412" t="s">
        <v>5987</v>
      </c>
      <c r="D412">
        <v>7.94</v>
      </c>
      <c r="E412" t="s">
        <v>5934</v>
      </c>
      <c r="J412" s="5">
        <v>6.13</v>
      </c>
      <c r="K412" t="s">
        <v>5524</v>
      </c>
      <c r="L412">
        <v>4.12</v>
      </c>
      <c r="M412" t="s">
        <v>12</v>
      </c>
      <c r="N412" t="s">
        <v>5935</v>
      </c>
      <c r="O412" t="s">
        <v>2</v>
      </c>
      <c r="R412" t="s">
        <v>5442</v>
      </c>
      <c r="T412" s="3">
        <v>42478</v>
      </c>
    </row>
    <row r="413" spans="1:20" x14ac:dyDescent="0.3">
      <c r="A413">
        <v>414</v>
      </c>
      <c r="B413">
        <v>2328</v>
      </c>
      <c r="C413" t="s">
        <v>201</v>
      </c>
      <c r="D413">
        <v>12.3</v>
      </c>
      <c r="E413" t="s">
        <v>5444</v>
      </c>
      <c r="J413" s="5">
        <v>6.13</v>
      </c>
      <c r="K413" t="s">
        <v>5447</v>
      </c>
      <c r="L413">
        <v>4.12</v>
      </c>
      <c r="M413" t="s">
        <v>5470</v>
      </c>
      <c r="N413" t="s">
        <v>5471</v>
      </c>
      <c r="O413" t="s">
        <v>2</v>
      </c>
      <c r="R413" t="s">
        <v>5442</v>
      </c>
      <c r="T413" s="3">
        <v>42478</v>
      </c>
    </row>
    <row r="414" spans="1:20" x14ac:dyDescent="0.3">
      <c r="A414">
        <v>415</v>
      </c>
      <c r="B414">
        <v>9919</v>
      </c>
      <c r="C414" t="s">
        <v>231</v>
      </c>
      <c r="D414">
        <v>11.45</v>
      </c>
      <c r="E414" t="s">
        <v>5988</v>
      </c>
      <c r="J414" s="5">
        <v>6.17</v>
      </c>
      <c r="K414" t="s">
        <v>5467</v>
      </c>
      <c r="L414">
        <v>4.1399999999999997</v>
      </c>
      <c r="M414" t="s">
        <v>5457</v>
      </c>
      <c r="N414" t="s">
        <v>10</v>
      </c>
      <c r="O414" t="s">
        <v>2</v>
      </c>
      <c r="R414" t="s">
        <v>5552</v>
      </c>
      <c r="T414" s="3">
        <v>42478</v>
      </c>
    </row>
    <row r="415" spans="1:20" x14ac:dyDescent="0.3">
      <c r="A415">
        <v>416</v>
      </c>
      <c r="B415">
        <v>1305</v>
      </c>
      <c r="C415" t="s">
        <v>120</v>
      </c>
      <c r="D415">
        <v>15.6</v>
      </c>
      <c r="E415" t="s">
        <v>5934</v>
      </c>
      <c r="J415" s="5">
        <v>6.13</v>
      </c>
      <c r="K415" t="s">
        <v>5503</v>
      </c>
      <c r="L415">
        <v>4.12</v>
      </c>
      <c r="M415" t="s">
        <v>12</v>
      </c>
      <c r="N415" t="s">
        <v>5935</v>
      </c>
      <c r="O415" t="s">
        <v>2</v>
      </c>
      <c r="R415" t="s">
        <v>5478</v>
      </c>
      <c r="T415" s="3">
        <v>42478</v>
      </c>
    </row>
    <row r="416" spans="1:20" x14ac:dyDescent="0.3">
      <c r="A416">
        <v>417</v>
      </c>
      <c r="B416">
        <v>4195</v>
      </c>
      <c r="C416" t="s">
        <v>298</v>
      </c>
      <c r="E416" t="s">
        <v>5989</v>
      </c>
      <c r="J416" s="5">
        <v>5.31</v>
      </c>
      <c r="K416" t="s">
        <v>5447</v>
      </c>
      <c r="L416">
        <v>3.3</v>
      </c>
      <c r="M416" t="s">
        <v>5519</v>
      </c>
      <c r="N416" t="s">
        <v>140</v>
      </c>
      <c r="O416" t="s">
        <v>2</v>
      </c>
      <c r="R416" t="s">
        <v>5478</v>
      </c>
      <c r="T416" s="3">
        <v>42478</v>
      </c>
    </row>
    <row r="417" spans="1:20" x14ac:dyDescent="0.3">
      <c r="A417">
        <v>418</v>
      </c>
      <c r="B417">
        <v>8111</v>
      </c>
      <c r="C417" t="s">
        <v>5990</v>
      </c>
      <c r="D417">
        <v>4.12</v>
      </c>
      <c r="E417" t="s">
        <v>5456</v>
      </c>
      <c r="J417" s="5">
        <v>6.13</v>
      </c>
      <c r="K417" t="s">
        <v>5447</v>
      </c>
      <c r="L417">
        <v>4.12</v>
      </c>
      <c r="M417" t="s">
        <v>5555</v>
      </c>
      <c r="N417" t="s">
        <v>25</v>
      </c>
      <c r="O417" t="s">
        <v>2</v>
      </c>
      <c r="R417" t="s">
        <v>5442</v>
      </c>
      <c r="T417" s="3">
        <v>42478</v>
      </c>
    </row>
    <row r="418" spans="1:20" x14ac:dyDescent="0.3">
      <c r="A418">
        <v>419</v>
      </c>
      <c r="B418">
        <v>4999</v>
      </c>
      <c r="C418" t="s">
        <v>328</v>
      </c>
      <c r="D418">
        <v>45.6</v>
      </c>
      <c r="E418" t="s">
        <v>5565</v>
      </c>
      <c r="J418" s="5">
        <v>6.14</v>
      </c>
      <c r="K418" t="s">
        <v>5447</v>
      </c>
      <c r="L418">
        <v>4.13</v>
      </c>
      <c r="M418" t="s">
        <v>5441</v>
      </c>
      <c r="N418" t="s">
        <v>37</v>
      </c>
      <c r="O418" t="s">
        <v>2</v>
      </c>
      <c r="R418" t="s">
        <v>5442</v>
      </c>
      <c r="T418" s="3">
        <v>42478</v>
      </c>
    </row>
    <row r="419" spans="1:20" x14ac:dyDescent="0.3">
      <c r="A419">
        <v>420</v>
      </c>
      <c r="B419">
        <v>1537</v>
      </c>
      <c r="C419" t="s">
        <v>5991</v>
      </c>
      <c r="D419">
        <v>140.5</v>
      </c>
      <c r="E419" t="s">
        <v>5456</v>
      </c>
      <c r="J419" s="5">
        <v>6.13</v>
      </c>
      <c r="K419" t="s">
        <v>5671</v>
      </c>
      <c r="L419">
        <v>4.12</v>
      </c>
      <c r="M419" t="s">
        <v>5457</v>
      </c>
      <c r="N419" t="s">
        <v>10</v>
      </c>
      <c r="O419" t="s">
        <v>2</v>
      </c>
      <c r="R419" t="s">
        <v>5442</v>
      </c>
      <c r="T419" s="3">
        <v>42478</v>
      </c>
    </row>
    <row r="420" spans="1:20" x14ac:dyDescent="0.3">
      <c r="A420">
        <v>421</v>
      </c>
      <c r="B420">
        <v>4419</v>
      </c>
      <c r="C420" t="s">
        <v>7246</v>
      </c>
      <c r="D420">
        <v>6.51</v>
      </c>
      <c r="E420" t="s">
        <v>5456</v>
      </c>
      <c r="J420" s="5">
        <v>6.2</v>
      </c>
      <c r="K420" t="s">
        <v>5493</v>
      </c>
      <c r="L420">
        <v>4.1900000000000004</v>
      </c>
      <c r="M420" t="s">
        <v>5555</v>
      </c>
      <c r="N420" t="s">
        <v>25</v>
      </c>
      <c r="O420" t="s">
        <v>2</v>
      </c>
      <c r="R420" t="s">
        <v>5454</v>
      </c>
      <c r="T420" s="3">
        <v>42479</v>
      </c>
    </row>
    <row r="421" spans="1:20" x14ac:dyDescent="0.3">
      <c r="A421">
        <v>422</v>
      </c>
      <c r="B421">
        <v>6483</v>
      </c>
      <c r="C421" t="s">
        <v>7247</v>
      </c>
      <c r="E421" t="s">
        <v>7248</v>
      </c>
      <c r="J421" s="5">
        <v>6.13</v>
      </c>
      <c r="K421" t="s">
        <v>5447</v>
      </c>
      <c r="L421">
        <v>4.12</v>
      </c>
      <c r="M421" t="s">
        <v>5470</v>
      </c>
      <c r="N421" t="s">
        <v>5471</v>
      </c>
      <c r="O421" t="s">
        <v>2</v>
      </c>
      <c r="R421" t="s">
        <v>5454</v>
      </c>
      <c r="T421" s="3">
        <v>42479</v>
      </c>
    </row>
    <row r="422" spans="1:20" x14ac:dyDescent="0.3">
      <c r="A422">
        <v>423</v>
      </c>
      <c r="B422">
        <v>4159</v>
      </c>
      <c r="C422" t="s">
        <v>272</v>
      </c>
      <c r="E422" t="s">
        <v>7249</v>
      </c>
      <c r="J422" s="5">
        <v>6.15</v>
      </c>
      <c r="K422" t="s">
        <v>5440</v>
      </c>
      <c r="L422">
        <v>4.13</v>
      </c>
      <c r="M422" t="s">
        <v>5441</v>
      </c>
      <c r="N422" t="s">
        <v>37</v>
      </c>
      <c r="O422" t="s">
        <v>2</v>
      </c>
      <c r="R422" t="s">
        <v>5478</v>
      </c>
      <c r="T422" s="3">
        <v>42479</v>
      </c>
    </row>
    <row r="423" spans="1:20" x14ac:dyDescent="0.3">
      <c r="A423">
        <v>424</v>
      </c>
      <c r="B423">
        <v>6215</v>
      </c>
      <c r="C423" t="s">
        <v>7250</v>
      </c>
      <c r="D423">
        <v>13.5</v>
      </c>
      <c r="E423" t="s">
        <v>5444</v>
      </c>
      <c r="J423" s="5">
        <v>6.15</v>
      </c>
      <c r="K423" t="s">
        <v>5440</v>
      </c>
      <c r="L423">
        <v>4.13</v>
      </c>
      <c r="M423" t="s">
        <v>5470</v>
      </c>
      <c r="N423" t="s">
        <v>5471</v>
      </c>
      <c r="O423" t="s">
        <v>2</v>
      </c>
      <c r="R423" t="s">
        <v>5442</v>
      </c>
      <c r="T423" s="3">
        <v>42479</v>
      </c>
    </row>
    <row r="424" spans="1:20" x14ac:dyDescent="0.3">
      <c r="A424">
        <v>425</v>
      </c>
      <c r="B424">
        <v>3356</v>
      </c>
      <c r="C424" t="s">
        <v>7251</v>
      </c>
      <c r="D424">
        <v>70.7</v>
      </c>
      <c r="E424" t="s">
        <v>5595</v>
      </c>
      <c r="J424" s="5">
        <v>6.14</v>
      </c>
      <c r="K424" t="s">
        <v>5447</v>
      </c>
      <c r="L424">
        <v>4.13</v>
      </c>
      <c r="M424" t="s">
        <v>5464</v>
      </c>
      <c r="N424" t="s">
        <v>6</v>
      </c>
      <c r="O424" t="s">
        <v>2</v>
      </c>
      <c r="R424" t="s">
        <v>5442</v>
      </c>
      <c r="T424" s="3">
        <v>42479</v>
      </c>
    </row>
    <row r="425" spans="1:20" x14ac:dyDescent="0.3">
      <c r="A425">
        <v>426</v>
      </c>
      <c r="B425">
        <v>5398</v>
      </c>
      <c r="C425" t="s">
        <v>3420</v>
      </c>
      <c r="D425">
        <v>34.25</v>
      </c>
      <c r="E425" t="s">
        <v>7252</v>
      </c>
      <c r="J425" s="5">
        <v>6.2</v>
      </c>
      <c r="K425" t="s">
        <v>5447</v>
      </c>
      <c r="L425">
        <v>4.1900000000000004</v>
      </c>
      <c r="M425" t="s">
        <v>5491</v>
      </c>
      <c r="N425" t="s">
        <v>26</v>
      </c>
      <c r="O425" t="s">
        <v>2</v>
      </c>
      <c r="R425" t="s">
        <v>5442</v>
      </c>
      <c r="T425" s="3">
        <v>42479</v>
      </c>
    </row>
    <row r="426" spans="1:20" x14ac:dyDescent="0.3">
      <c r="A426">
        <v>427</v>
      </c>
      <c r="B426">
        <v>6411</v>
      </c>
      <c r="C426" t="s">
        <v>309</v>
      </c>
      <c r="D426">
        <v>37.299999999999997</v>
      </c>
      <c r="E426" t="s">
        <v>5444</v>
      </c>
      <c r="J426" s="5">
        <v>6.13</v>
      </c>
      <c r="K426" t="s">
        <v>5447</v>
      </c>
      <c r="L426">
        <v>4.12</v>
      </c>
      <c r="M426" t="s">
        <v>5482</v>
      </c>
      <c r="N426" t="s">
        <v>14</v>
      </c>
      <c r="O426" t="s">
        <v>2</v>
      </c>
      <c r="R426" t="s">
        <v>5442</v>
      </c>
      <c r="T426" s="3">
        <v>42479</v>
      </c>
    </row>
    <row r="427" spans="1:20" x14ac:dyDescent="0.3">
      <c r="A427">
        <v>428</v>
      </c>
      <c r="B427">
        <v>3591</v>
      </c>
      <c r="C427" t="s">
        <v>360</v>
      </c>
      <c r="D427">
        <v>15.3</v>
      </c>
      <c r="E427" t="s">
        <v>5572</v>
      </c>
      <c r="J427" s="5">
        <v>6.15</v>
      </c>
      <c r="K427" t="s">
        <v>5447</v>
      </c>
      <c r="L427">
        <v>4.13</v>
      </c>
      <c r="M427" t="s">
        <v>5464</v>
      </c>
      <c r="N427" t="s">
        <v>6</v>
      </c>
      <c r="O427" t="s">
        <v>2</v>
      </c>
      <c r="R427" t="s">
        <v>5478</v>
      </c>
      <c r="T427" s="3">
        <v>42479</v>
      </c>
    </row>
    <row r="428" spans="1:20" x14ac:dyDescent="0.3">
      <c r="A428">
        <v>429</v>
      </c>
      <c r="B428">
        <v>6153</v>
      </c>
      <c r="C428" t="s">
        <v>174</v>
      </c>
      <c r="D428">
        <v>20.95</v>
      </c>
      <c r="E428" t="s">
        <v>7253</v>
      </c>
      <c r="J428" s="5">
        <v>6.16</v>
      </c>
      <c r="K428" t="s">
        <v>5447</v>
      </c>
      <c r="L428">
        <v>4.13</v>
      </c>
      <c r="M428" t="s">
        <v>5482</v>
      </c>
      <c r="N428" t="s">
        <v>14</v>
      </c>
      <c r="O428" t="s">
        <v>2</v>
      </c>
      <c r="R428" t="s">
        <v>5442</v>
      </c>
      <c r="T428" s="3">
        <v>42479</v>
      </c>
    </row>
    <row r="429" spans="1:20" x14ac:dyDescent="0.3">
      <c r="A429">
        <v>430</v>
      </c>
      <c r="B429">
        <v>8287</v>
      </c>
      <c r="C429" t="s">
        <v>7254</v>
      </c>
      <c r="D429">
        <v>17.600000000000001</v>
      </c>
      <c r="E429" t="s">
        <v>5500</v>
      </c>
      <c r="J429" s="5">
        <v>6.13</v>
      </c>
      <c r="K429" t="s">
        <v>5481</v>
      </c>
      <c r="L429">
        <v>4.12</v>
      </c>
      <c r="M429" t="s">
        <v>5484</v>
      </c>
      <c r="N429" t="s">
        <v>1</v>
      </c>
      <c r="O429" t="s">
        <v>2</v>
      </c>
      <c r="R429" t="s">
        <v>5478</v>
      </c>
      <c r="T429" s="3">
        <v>42479</v>
      </c>
    </row>
    <row r="430" spans="1:20" x14ac:dyDescent="0.3">
      <c r="A430">
        <v>431</v>
      </c>
      <c r="B430">
        <v>2481</v>
      </c>
      <c r="C430" t="s">
        <v>160</v>
      </c>
      <c r="D430">
        <v>17.25</v>
      </c>
      <c r="E430" t="s">
        <v>7255</v>
      </c>
      <c r="J430" s="5">
        <v>6.16</v>
      </c>
      <c r="K430" t="s">
        <v>5524</v>
      </c>
      <c r="L430">
        <v>4.13</v>
      </c>
      <c r="M430" t="s">
        <v>5555</v>
      </c>
      <c r="N430" t="s">
        <v>25</v>
      </c>
      <c r="O430" t="s">
        <v>2</v>
      </c>
      <c r="R430" t="s">
        <v>5442</v>
      </c>
      <c r="T430" s="3">
        <v>42479</v>
      </c>
    </row>
    <row r="431" spans="1:20" x14ac:dyDescent="0.3">
      <c r="A431">
        <v>432</v>
      </c>
      <c r="B431">
        <v>2344</v>
      </c>
      <c r="C431" t="s">
        <v>206</v>
      </c>
      <c r="D431">
        <v>9.15</v>
      </c>
      <c r="E431" t="s">
        <v>7256</v>
      </c>
      <c r="J431" s="5">
        <v>6.16</v>
      </c>
      <c r="K431" t="s">
        <v>5469</v>
      </c>
      <c r="L431">
        <v>4.13</v>
      </c>
      <c r="M431" t="s">
        <v>12</v>
      </c>
      <c r="N431" t="s">
        <v>18</v>
      </c>
      <c r="O431" t="s">
        <v>2</v>
      </c>
      <c r="R431" t="s">
        <v>5442</v>
      </c>
      <c r="T431" s="3">
        <v>42479</v>
      </c>
    </row>
    <row r="432" spans="1:20" x14ac:dyDescent="0.3">
      <c r="A432">
        <v>433</v>
      </c>
      <c r="B432">
        <v>2459</v>
      </c>
      <c r="C432" t="s">
        <v>316</v>
      </c>
      <c r="D432">
        <v>33.6</v>
      </c>
      <c r="E432" t="s">
        <v>5444</v>
      </c>
      <c r="J432" s="5">
        <v>6.15</v>
      </c>
      <c r="K432" t="s">
        <v>5440</v>
      </c>
      <c r="L432">
        <v>4.13</v>
      </c>
      <c r="M432" t="s">
        <v>5441</v>
      </c>
      <c r="N432" t="s">
        <v>37</v>
      </c>
      <c r="O432" t="s">
        <v>2</v>
      </c>
      <c r="R432" t="s">
        <v>5454</v>
      </c>
      <c r="T432" s="3">
        <v>42479</v>
      </c>
    </row>
    <row r="433" spans="1:20" x14ac:dyDescent="0.3">
      <c r="A433">
        <v>434</v>
      </c>
      <c r="B433">
        <v>2061</v>
      </c>
      <c r="C433" t="s">
        <v>2568</v>
      </c>
      <c r="D433">
        <v>10.15</v>
      </c>
      <c r="E433" t="s">
        <v>5584</v>
      </c>
      <c r="J433" s="5">
        <v>6.14</v>
      </c>
      <c r="K433" t="s">
        <v>5524</v>
      </c>
      <c r="L433">
        <v>4.13</v>
      </c>
      <c r="M433" t="s">
        <v>5484</v>
      </c>
      <c r="N433" t="s">
        <v>1</v>
      </c>
      <c r="O433" t="s">
        <v>2</v>
      </c>
      <c r="R433" t="s">
        <v>5454</v>
      </c>
      <c r="T433" s="3">
        <v>42479</v>
      </c>
    </row>
    <row r="434" spans="1:20" x14ac:dyDescent="0.3">
      <c r="A434">
        <v>435</v>
      </c>
      <c r="B434">
        <v>1337</v>
      </c>
      <c r="C434" t="s">
        <v>537</v>
      </c>
      <c r="D434">
        <v>19.75</v>
      </c>
      <c r="E434" t="s">
        <v>5444</v>
      </c>
      <c r="J434" s="5">
        <v>6.15</v>
      </c>
      <c r="K434" t="s">
        <v>5524</v>
      </c>
      <c r="L434">
        <v>4.13</v>
      </c>
      <c r="M434" t="s">
        <v>5555</v>
      </c>
      <c r="N434" t="s">
        <v>25</v>
      </c>
      <c r="O434" t="s">
        <v>2</v>
      </c>
      <c r="R434" t="s">
        <v>5478</v>
      </c>
      <c r="T434" s="3">
        <v>42479</v>
      </c>
    </row>
    <row r="435" spans="1:20" x14ac:dyDescent="0.3">
      <c r="A435">
        <v>436</v>
      </c>
      <c r="B435">
        <v>3118</v>
      </c>
      <c r="C435" t="s">
        <v>7257</v>
      </c>
      <c r="D435">
        <v>38</v>
      </c>
      <c r="E435" t="s">
        <v>5444</v>
      </c>
      <c r="J435" s="5">
        <v>6.13</v>
      </c>
      <c r="K435" t="s">
        <v>5447</v>
      </c>
      <c r="L435">
        <v>4.12</v>
      </c>
      <c r="M435" t="s">
        <v>5555</v>
      </c>
      <c r="N435" t="s">
        <v>25</v>
      </c>
      <c r="O435" t="s">
        <v>2</v>
      </c>
      <c r="R435" t="s">
        <v>5454</v>
      </c>
      <c r="T435" s="3">
        <v>42479</v>
      </c>
    </row>
    <row r="436" spans="1:20" x14ac:dyDescent="0.3">
      <c r="A436">
        <v>437</v>
      </c>
      <c r="B436">
        <v>3290</v>
      </c>
      <c r="C436" t="s">
        <v>7258</v>
      </c>
      <c r="D436">
        <v>14.2</v>
      </c>
      <c r="E436" t="s">
        <v>5444</v>
      </c>
      <c r="J436" s="5">
        <v>6.08</v>
      </c>
      <c r="K436" t="s">
        <v>5463</v>
      </c>
      <c r="L436">
        <v>4.0599999999999996</v>
      </c>
      <c r="M436" t="s">
        <v>5484</v>
      </c>
      <c r="N436" t="s">
        <v>1</v>
      </c>
      <c r="O436" t="s">
        <v>2</v>
      </c>
      <c r="R436" t="s">
        <v>5442</v>
      </c>
      <c r="T436" s="3">
        <v>42479</v>
      </c>
    </row>
    <row r="437" spans="1:20" x14ac:dyDescent="0.3">
      <c r="A437">
        <v>438</v>
      </c>
      <c r="B437">
        <v>4126</v>
      </c>
      <c r="C437" t="s">
        <v>300</v>
      </c>
      <c r="D437">
        <v>96.5</v>
      </c>
      <c r="E437" t="s">
        <v>5444</v>
      </c>
      <c r="J437" s="5">
        <v>6.15</v>
      </c>
      <c r="K437" t="s">
        <v>5503</v>
      </c>
      <c r="L437">
        <v>4.13</v>
      </c>
      <c r="M437" t="s">
        <v>50</v>
      </c>
      <c r="N437" t="s">
        <v>51</v>
      </c>
      <c r="O437" t="s">
        <v>2</v>
      </c>
      <c r="R437" t="s">
        <v>5454</v>
      </c>
      <c r="T437" s="3">
        <v>42479</v>
      </c>
    </row>
    <row r="438" spans="1:20" x14ac:dyDescent="0.3">
      <c r="A438">
        <v>439</v>
      </c>
      <c r="B438">
        <v>1907</v>
      </c>
      <c r="C438" t="s">
        <v>271</v>
      </c>
      <c r="D438">
        <v>10.35</v>
      </c>
      <c r="E438" t="s">
        <v>7259</v>
      </c>
      <c r="J438" s="5">
        <v>6.15</v>
      </c>
      <c r="K438" t="s">
        <v>5440</v>
      </c>
      <c r="L438">
        <v>4.13</v>
      </c>
      <c r="M438" t="s">
        <v>5464</v>
      </c>
      <c r="N438" t="s">
        <v>6</v>
      </c>
      <c r="O438" t="s">
        <v>2</v>
      </c>
      <c r="R438" t="s">
        <v>5442</v>
      </c>
      <c r="T438" s="3">
        <v>42479</v>
      </c>
    </row>
    <row r="439" spans="1:20" x14ac:dyDescent="0.3">
      <c r="A439">
        <v>440</v>
      </c>
      <c r="B439">
        <v>3052</v>
      </c>
      <c r="C439" t="s">
        <v>314</v>
      </c>
      <c r="D439">
        <v>9.23</v>
      </c>
      <c r="E439" t="s">
        <v>7260</v>
      </c>
      <c r="J439" s="5">
        <v>6.15</v>
      </c>
      <c r="K439" t="s">
        <v>5447</v>
      </c>
      <c r="L439">
        <v>4.13</v>
      </c>
      <c r="M439" t="s">
        <v>5555</v>
      </c>
      <c r="N439" t="s">
        <v>25</v>
      </c>
      <c r="O439" t="s">
        <v>2</v>
      </c>
      <c r="R439" t="s">
        <v>5442</v>
      </c>
      <c r="T439" s="3">
        <v>42479</v>
      </c>
    </row>
    <row r="440" spans="1:20" x14ac:dyDescent="0.3">
      <c r="A440">
        <v>441</v>
      </c>
      <c r="B440">
        <v>4906</v>
      </c>
      <c r="C440" t="s">
        <v>337</v>
      </c>
      <c r="D440">
        <v>17.5</v>
      </c>
      <c r="E440" t="s">
        <v>5456</v>
      </c>
      <c r="J440" s="5">
        <v>6.14</v>
      </c>
      <c r="K440" t="s">
        <v>5469</v>
      </c>
      <c r="L440">
        <v>4.13</v>
      </c>
      <c r="M440" t="s">
        <v>5464</v>
      </c>
      <c r="N440" t="s">
        <v>6</v>
      </c>
      <c r="O440" t="s">
        <v>2</v>
      </c>
      <c r="R440" t="s">
        <v>5454</v>
      </c>
      <c r="T440" s="3">
        <v>42479</v>
      </c>
    </row>
    <row r="441" spans="1:20" x14ac:dyDescent="0.3">
      <c r="A441">
        <v>442</v>
      </c>
      <c r="B441">
        <v>6189</v>
      </c>
      <c r="C441" t="s">
        <v>7261</v>
      </c>
      <c r="D441">
        <v>34.799999999999997</v>
      </c>
      <c r="E441" t="s">
        <v>5456</v>
      </c>
      <c r="J441" s="5">
        <v>6.14</v>
      </c>
      <c r="K441" t="s">
        <v>5440</v>
      </c>
      <c r="L441">
        <v>4.13</v>
      </c>
      <c r="M441" t="s">
        <v>5555</v>
      </c>
      <c r="N441" t="s">
        <v>25</v>
      </c>
      <c r="O441" t="s">
        <v>2</v>
      </c>
      <c r="R441" t="s">
        <v>5454</v>
      </c>
      <c r="T441" s="3">
        <v>42479</v>
      </c>
    </row>
    <row r="442" spans="1:20" x14ac:dyDescent="0.3">
      <c r="A442">
        <v>443</v>
      </c>
      <c r="B442">
        <v>3682</v>
      </c>
      <c r="C442" t="s">
        <v>7262</v>
      </c>
      <c r="D442">
        <v>10.7</v>
      </c>
      <c r="E442" t="s">
        <v>5500</v>
      </c>
      <c r="J442" s="5">
        <v>6.22</v>
      </c>
      <c r="K442" t="s">
        <v>5440</v>
      </c>
      <c r="L442">
        <v>4.2</v>
      </c>
      <c r="M442" t="s">
        <v>5482</v>
      </c>
      <c r="N442" t="s">
        <v>14</v>
      </c>
      <c r="O442" t="s">
        <v>2</v>
      </c>
      <c r="R442" t="s">
        <v>5478</v>
      </c>
      <c r="T442" s="3">
        <v>42479</v>
      </c>
    </row>
  </sheetData>
  <autoFilter ref="A1:U2"/>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38"/>
  <sheetViews>
    <sheetView topLeftCell="A779" workbookViewId="0">
      <selection activeCell="A790" sqref="A790:XFD790"/>
    </sheetView>
  </sheetViews>
  <sheetFormatPr defaultRowHeight="16.2" x14ac:dyDescent="0.3"/>
  <cols>
    <col min="5" max="5" width="62.33203125" customWidth="1"/>
  </cols>
  <sheetData>
    <row r="1" spans="1:17" x14ac:dyDescent="0.3">
      <c r="A1" s="2" t="s">
        <v>390</v>
      </c>
      <c r="B1" s="2" t="s">
        <v>391</v>
      </c>
      <c r="C1" s="2" t="s">
        <v>392</v>
      </c>
      <c r="D1" s="2" t="s">
        <v>393</v>
      </c>
      <c r="E1" s="2" t="s">
        <v>379</v>
      </c>
      <c r="F1" s="2" t="s">
        <v>394</v>
      </c>
      <c r="G1" s="2" t="s">
        <v>395</v>
      </c>
      <c r="H1" s="2" t="s">
        <v>396</v>
      </c>
      <c r="I1" s="2" t="s">
        <v>397</v>
      </c>
      <c r="J1" s="2" t="s">
        <v>398</v>
      </c>
      <c r="K1" s="2" t="s">
        <v>399</v>
      </c>
      <c r="L1" s="2" t="s">
        <v>400</v>
      </c>
      <c r="M1" s="2" t="s">
        <v>401</v>
      </c>
      <c r="N1" s="2"/>
      <c r="O1" s="2"/>
      <c r="P1" s="2"/>
      <c r="Q1" s="2"/>
    </row>
    <row r="2" spans="1:17" x14ac:dyDescent="0.3">
      <c r="A2" s="2" t="s">
        <v>390</v>
      </c>
      <c r="B2" s="2" t="s">
        <v>391</v>
      </c>
      <c r="C2" s="2" t="s">
        <v>392</v>
      </c>
      <c r="D2" s="2" t="s">
        <v>393</v>
      </c>
      <c r="E2" s="2" t="s">
        <v>379</v>
      </c>
      <c r="F2" s="2" t="s">
        <v>394</v>
      </c>
      <c r="G2" s="2" t="s">
        <v>395</v>
      </c>
      <c r="H2" s="2" t="s">
        <v>396</v>
      </c>
      <c r="I2" s="2" t="s">
        <v>397</v>
      </c>
      <c r="J2" s="2" t="s">
        <v>398</v>
      </c>
      <c r="K2" s="2" t="s">
        <v>399</v>
      </c>
      <c r="L2" s="2" t="s">
        <v>400</v>
      </c>
      <c r="M2" s="2" t="s">
        <v>401</v>
      </c>
      <c r="N2" s="2"/>
      <c r="O2" s="2"/>
      <c r="P2" s="2"/>
      <c r="Q2" s="2"/>
    </row>
    <row r="3" spans="1:17" x14ac:dyDescent="0.3">
      <c r="A3" s="2" t="str">
        <f>"1101"</f>
        <v>1101</v>
      </c>
      <c r="B3" s="2" t="s">
        <v>151</v>
      </c>
      <c r="C3" s="2" t="s">
        <v>402</v>
      </c>
      <c r="D3" s="2" t="s">
        <v>5999</v>
      </c>
      <c r="E3" s="2" t="s">
        <v>403</v>
      </c>
      <c r="F3" s="2" t="s">
        <v>41</v>
      </c>
      <c r="G3" s="2" t="str">
        <f>"(02)2531-7099"</f>
        <v>(02)2531-7099</v>
      </c>
      <c r="H3" s="2" t="s">
        <v>404</v>
      </c>
      <c r="I3" s="2" t="str">
        <f>"66365566"</f>
        <v>66365566</v>
      </c>
      <c r="J3" s="2" t="str">
        <f>"自105年05月23日至105年06月19日止"</f>
        <v>自105年05月23日至105年06月19日止</v>
      </c>
      <c r="K3" s="2" t="str">
        <f>"台灣集中保管結算所股份有限公司"</f>
        <v>台灣集中保管結算所股份有限公司</v>
      </c>
      <c r="L3" s="2" t="str">
        <f>"http://www.stockvote.com.tw"</f>
        <v>http://www.stockvote.com.tw</v>
      </c>
      <c r="M3" s="2" t="str">
        <f>"強制"</f>
        <v>強制</v>
      </c>
      <c r="N3" s="2"/>
      <c r="O3" s="2"/>
      <c r="P3" s="2"/>
      <c r="Q3" s="2"/>
    </row>
    <row r="4" spans="1:17" x14ac:dyDescent="0.3">
      <c r="A4" s="2" t="str">
        <f>"1102"</f>
        <v>1102</v>
      </c>
      <c r="B4" s="2" t="s">
        <v>405</v>
      </c>
      <c r="C4" s="2" t="s">
        <v>406</v>
      </c>
      <c r="D4" s="2" t="s">
        <v>6000</v>
      </c>
      <c r="E4" s="2" t="s">
        <v>407</v>
      </c>
      <c r="F4" s="2" t="s">
        <v>2</v>
      </c>
      <c r="G4" s="2" t="str">
        <f>"02-2733-8000"</f>
        <v>02-2733-8000</v>
      </c>
      <c r="H4" s="2" t="s">
        <v>408</v>
      </c>
      <c r="I4" s="2" t="str">
        <f>"02-2361-8608"</f>
        <v>02-2361-8608</v>
      </c>
      <c r="J4" s="2" t="str">
        <f>"自105年05月21日至105年06月18日止"</f>
        <v>自105年05月21日至105年06月18日止</v>
      </c>
      <c r="K4" s="2" t="str">
        <f>"台灣集中保管結算所股份有限公司"</f>
        <v>台灣集中保管結算所股份有限公司</v>
      </c>
      <c r="L4" s="2" t="str">
        <f>"http://www.stockvote.com.tw"</f>
        <v>http://www.stockvote.com.tw</v>
      </c>
      <c r="M4" s="2" t="str">
        <f>"強制"</f>
        <v>強制</v>
      </c>
      <c r="N4" s="2"/>
      <c r="O4" s="2"/>
      <c r="P4" s="2"/>
      <c r="Q4" s="2"/>
    </row>
    <row r="5" spans="1:17" x14ac:dyDescent="0.3">
      <c r="A5" s="2" t="str">
        <f>"1103"</f>
        <v>1103</v>
      </c>
      <c r="B5" s="2" t="s">
        <v>214</v>
      </c>
      <c r="C5" s="2" t="s">
        <v>409</v>
      </c>
      <c r="D5" s="2" t="s">
        <v>6001</v>
      </c>
      <c r="E5" s="2" t="s">
        <v>410</v>
      </c>
      <c r="F5" s="2" t="s">
        <v>41</v>
      </c>
      <c r="G5" s="2" t="str">
        <f>"(02)25515211"</f>
        <v>(02)25515211</v>
      </c>
      <c r="H5" s="2" t="s">
        <v>411</v>
      </c>
      <c r="I5" s="2" t="str">
        <f>"(02)2702-3999"</f>
        <v>(02)2702-3999</v>
      </c>
      <c r="J5" s="2" t="str">
        <f>"自105年05月28日至105年06月24日止"</f>
        <v>自105年05月28日至105年06月24日止</v>
      </c>
      <c r="K5" s="2" t="str">
        <f>"台灣集中保管結算所股份有限公司"</f>
        <v>台灣集中保管結算所股份有限公司</v>
      </c>
      <c r="L5" s="2" t="str">
        <f>"http://www.stockvote.com.tw"</f>
        <v>http://www.stockvote.com.tw</v>
      </c>
      <c r="M5" s="2" t="str">
        <f>"強制"</f>
        <v>強制</v>
      </c>
      <c r="N5" s="2"/>
      <c r="O5" s="2"/>
      <c r="P5" s="2"/>
      <c r="Q5" s="2"/>
    </row>
    <row r="6" spans="1:17" x14ac:dyDescent="0.3">
      <c r="A6" s="2" t="str">
        <f>"1104"</f>
        <v>1104</v>
      </c>
      <c r="B6" s="2" t="s">
        <v>412</v>
      </c>
      <c r="C6" s="2" t="s">
        <v>413</v>
      </c>
      <c r="D6" s="2" t="s">
        <v>5999</v>
      </c>
      <c r="E6" s="2" t="s">
        <v>414</v>
      </c>
      <c r="F6" s="2" t="s">
        <v>2</v>
      </c>
      <c r="G6" s="2" t="str">
        <f>"02-25077801"</f>
        <v>02-25077801</v>
      </c>
      <c r="H6" s="2" t="s">
        <v>415</v>
      </c>
      <c r="I6" s="2" t="str">
        <f>"02-23892999"</f>
        <v>02-23892999</v>
      </c>
      <c r="J6" s="2" t="str">
        <f>"自105年05月23日至105年06月19日止"</f>
        <v>自105年05月23日至105年06月19日止</v>
      </c>
      <c r="K6" s="2" t="str">
        <f>"台灣集中保管結算所股份有限公司"</f>
        <v>台灣集中保管結算所股份有限公司</v>
      </c>
      <c r="L6" s="2" t="str">
        <f>"http://www.stockvote.com.tw"</f>
        <v>http://www.stockvote.com.tw</v>
      </c>
      <c r="M6" s="2" t="str">
        <f>"--"</f>
        <v>--</v>
      </c>
      <c r="N6" s="2"/>
      <c r="O6" s="2"/>
      <c r="P6" s="2"/>
      <c r="Q6" s="2"/>
    </row>
    <row r="7" spans="1:17" x14ac:dyDescent="0.3">
      <c r="A7" s="2" t="str">
        <f>"1108"</f>
        <v>1108</v>
      </c>
      <c r="B7" s="2" t="s">
        <v>416</v>
      </c>
      <c r="C7" s="2" t="s">
        <v>417</v>
      </c>
      <c r="D7" s="2" t="s">
        <v>6002</v>
      </c>
      <c r="E7" s="2" t="s">
        <v>6003</v>
      </c>
      <c r="F7" s="2" t="s">
        <v>41</v>
      </c>
      <c r="G7" s="2" t="str">
        <f>"25092188"</f>
        <v>25092188</v>
      </c>
      <c r="H7" s="2" t="s">
        <v>418</v>
      </c>
      <c r="I7" s="2" t="str">
        <f>"2381-6288"</f>
        <v>2381-6288</v>
      </c>
      <c r="J7" s="2" t="str">
        <f>"自105年05月14日至105年06月12日止"</f>
        <v>自105年05月14日至105年06月12日止</v>
      </c>
      <c r="K7" s="2" t="str">
        <f>"台灣集中保管結算所股份有限公司"</f>
        <v>台灣集中保管結算所股份有限公司</v>
      </c>
      <c r="L7" s="2" t="str">
        <f>"http://www.stockvote.com.tw"</f>
        <v>http://www.stockvote.com.tw</v>
      </c>
      <c r="M7" s="2" t="str">
        <f>"--"</f>
        <v>--</v>
      </c>
      <c r="N7" s="2"/>
      <c r="O7" s="2"/>
      <c r="P7" s="2"/>
      <c r="Q7" s="2"/>
    </row>
    <row r="8" spans="1:17" x14ac:dyDescent="0.3">
      <c r="A8" s="2" t="str">
        <f>"1109"</f>
        <v>1109</v>
      </c>
      <c r="B8" s="2" t="s">
        <v>419</v>
      </c>
      <c r="C8" s="2" t="s">
        <v>420</v>
      </c>
      <c r="D8" s="2" t="s">
        <v>5999</v>
      </c>
      <c r="E8" s="2" t="s">
        <v>421</v>
      </c>
      <c r="F8" s="2" t="s">
        <v>2</v>
      </c>
      <c r="G8" s="2" t="str">
        <f>"(02)23816731"</f>
        <v>(02)23816731</v>
      </c>
      <c r="H8" s="2" t="s">
        <v>404</v>
      </c>
      <c r="I8" s="2" t="str">
        <f>"(02)6636-5566"</f>
        <v>(02)6636-5566</v>
      </c>
      <c r="J8" s="2" t="str">
        <f>"--"</f>
        <v>--</v>
      </c>
      <c r="K8" s="2" t="str">
        <f>"--"</f>
        <v>--</v>
      </c>
      <c r="L8" s="2" t="str">
        <f>"--"</f>
        <v>--</v>
      </c>
      <c r="M8" s="2" t="str">
        <f>"否"</f>
        <v>否</v>
      </c>
      <c r="N8" s="2"/>
      <c r="O8" s="2"/>
      <c r="P8" s="2"/>
      <c r="Q8" s="2"/>
    </row>
    <row r="9" spans="1:17" x14ac:dyDescent="0.3">
      <c r="A9" s="2" t="str">
        <f>"1110"</f>
        <v>1110</v>
      </c>
      <c r="B9" s="2" t="s">
        <v>422</v>
      </c>
      <c r="C9" s="2" t="s">
        <v>423</v>
      </c>
      <c r="D9" s="2" t="s">
        <v>6004</v>
      </c>
      <c r="E9" s="2" t="s">
        <v>6005</v>
      </c>
      <c r="F9" s="2" t="s">
        <v>2</v>
      </c>
      <c r="G9" s="2" t="str">
        <f>"07-2711121"</f>
        <v>07-2711121</v>
      </c>
      <c r="H9" s="2" t="s">
        <v>6006</v>
      </c>
      <c r="I9" s="2" t="str">
        <f>"02-25865859"</f>
        <v>02-25865859</v>
      </c>
      <c r="J9" s="2" t="str">
        <f>"自105年05月18日至105年06月14日止"</f>
        <v>自105年05月18日至105年06月14日止</v>
      </c>
      <c r="K9" s="2" t="str">
        <f>"台灣集中保管結算所股份有限公司"</f>
        <v>台灣集中保管結算所股份有限公司</v>
      </c>
      <c r="L9" s="2" t="str">
        <f>"http://www.stockvote.com.tw"</f>
        <v>http://www.stockvote.com.tw</v>
      </c>
      <c r="M9" s="2" t="str">
        <f>"--"</f>
        <v>--</v>
      </c>
      <c r="N9" s="2"/>
      <c r="O9" s="2"/>
      <c r="P9" s="2"/>
      <c r="Q9" s="2"/>
    </row>
    <row r="10" spans="1:17" x14ac:dyDescent="0.3">
      <c r="A10" s="2" t="str">
        <f>"1201"</f>
        <v>1201</v>
      </c>
      <c r="B10" s="2" t="s">
        <v>425</v>
      </c>
      <c r="C10" s="2" t="s">
        <v>426</v>
      </c>
      <c r="D10" s="2" t="s">
        <v>6007</v>
      </c>
      <c r="E10" s="2" t="s">
        <v>6008</v>
      </c>
      <c r="F10" s="2" t="s">
        <v>41</v>
      </c>
      <c r="G10" s="2" t="str">
        <f>"(02)25065020"</f>
        <v>(02)25065020</v>
      </c>
      <c r="H10" s="2" t="s">
        <v>6009</v>
      </c>
      <c r="I10" s="2" t="str">
        <f>"(02)25865859"</f>
        <v>(02)25865859</v>
      </c>
      <c r="J10" s="2" t="str">
        <f>"自105年05月28日至105年06月25日止"</f>
        <v>自105年05月28日至105年06月25日止</v>
      </c>
      <c r="K10" s="2" t="str">
        <f>"台灣集中保管結算所股份有限公司"</f>
        <v>台灣集中保管結算所股份有限公司</v>
      </c>
      <c r="L10" s="2" t="str">
        <f>"http://www.stockvote.com.tw"</f>
        <v>http://www.stockvote.com.tw</v>
      </c>
      <c r="M10" s="2" t="str">
        <f>"--"</f>
        <v>--</v>
      </c>
      <c r="N10" s="2"/>
      <c r="O10" s="2"/>
      <c r="P10" s="2"/>
      <c r="Q10" s="2"/>
    </row>
    <row r="11" spans="1:17" x14ac:dyDescent="0.3">
      <c r="A11" s="2" t="str">
        <f>"1203"</f>
        <v>1203</v>
      </c>
      <c r="B11" s="2" t="s">
        <v>428</v>
      </c>
      <c r="C11" s="2" t="s">
        <v>429</v>
      </c>
      <c r="D11" s="2" t="s">
        <v>6007</v>
      </c>
      <c r="E11" s="2" t="s">
        <v>430</v>
      </c>
      <c r="F11" s="2" t="s">
        <v>2</v>
      </c>
      <c r="G11" s="2" t="str">
        <f>"(02)25717271"</f>
        <v>(02)25717271</v>
      </c>
      <c r="H11" s="2" t="s">
        <v>431</v>
      </c>
      <c r="I11" s="2" t="str">
        <f>"27023999"</f>
        <v>27023999</v>
      </c>
      <c r="J11" s="2" t="str">
        <f>"自105年05月29日至105年06月25日止"</f>
        <v>自105年05月29日至105年06月25日止</v>
      </c>
      <c r="K11" s="2" t="str">
        <f>"台灣集中保管結算所股份有限公司"</f>
        <v>台灣集中保管結算所股份有限公司</v>
      </c>
      <c r="L11" s="2" t="str">
        <f>"http://www.stockvote.com.tw"</f>
        <v>http://www.stockvote.com.tw</v>
      </c>
      <c r="M11" s="2" t="str">
        <f>"強制"</f>
        <v>強制</v>
      </c>
      <c r="N11" s="2"/>
      <c r="O11" s="2"/>
      <c r="P11" s="2"/>
      <c r="Q11" s="2"/>
    </row>
    <row r="12" spans="1:17" x14ac:dyDescent="0.3">
      <c r="A12" s="2" t="str">
        <f>"1210"</f>
        <v>1210</v>
      </c>
      <c r="B12" s="2" t="s">
        <v>432</v>
      </c>
      <c r="C12" s="2" t="s">
        <v>433</v>
      </c>
      <c r="D12" s="2" t="s">
        <v>6010</v>
      </c>
      <c r="E12" s="2" t="s">
        <v>434</v>
      </c>
      <c r="F12" s="2" t="s">
        <v>41</v>
      </c>
      <c r="G12" s="2" t="str">
        <f>"06-2531111"</f>
        <v>06-2531111</v>
      </c>
      <c r="H12" s="2" t="s">
        <v>404</v>
      </c>
      <c r="I12" s="2" t="str">
        <f>"02-66365566"</f>
        <v>02-66365566</v>
      </c>
      <c r="J12" s="2" t="str">
        <f>"自105年05月25日至105年06月21日止"</f>
        <v>自105年05月25日至105年06月21日止</v>
      </c>
      <c r="K12" s="2" t="str">
        <f>"台灣集中保管結算所股份有限公司"</f>
        <v>台灣集中保管結算所股份有限公司</v>
      </c>
      <c r="L12" s="2" t="str">
        <f>"http://www.stockvote.com.tw"</f>
        <v>http://www.stockvote.com.tw</v>
      </c>
      <c r="M12" s="2" t="str">
        <f>"--"</f>
        <v>--</v>
      </c>
      <c r="N12" s="2"/>
      <c r="O12" s="2"/>
      <c r="P12" s="2"/>
      <c r="Q12" s="2"/>
    </row>
    <row r="13" spans="1:17" x14ac:dyDescent="0.3">
      <c r="A13" s="2" t="str">
        <f>"1213"</f>
        <v>1213</v>
      </c>
      <c r="B13" s="2" t="s">
        <v>435</v>
      </c>
      <c r="C13" s="2" t="s">
        <v>436</v>
      </c>
      <c r="D13" s="2" t="s">
        <v>6011</v>
      </c>
      <c r="E13" s="2" t="s">
        <v>437</v>
      </c>
      <c r="F13" s="2" t="s">
        <v>2</v>
      </c>
      <c r="G13" s="2" t="str">
        <f>"(02)2982-0061"</f>
        <v>(02)2982-0061</v>
      </c>
      <c r="H13" s="2" t="s">
        <v>438</v>
      </c>
      <c r="I13" s="2" t="str">
        <f>"(02)2982-0061"</f>
        <v>(02)2982-0061</v>
      </c>
      <c r="J13" s="2" t="str">
        <f>"--"</f>
        <v>--</v>
      </c>
      <c r="K13" s="2" t="str">
        <f>"--"</f>
        <v>--</v>
      </c>
      <c r="L13" s="2" t="str">
        <f>"--"</f>
        <v>--</v>
      </c>
      <c r="M13" s="2" t="str">
        <f>"否"</f>
        <v>否</v>
      </c>
      <c r="N13" s="2"/>
      <c r="O13" s="2"/>
      <c r="P13" s="2"/>
      <c r="Q13" s="2"/>
    </row>
    <row r="14" spans="1:17" x14ac:dyDescent="0.3">
      <c r="A14" s="2" t="str">
        <f>"1215"</f>
        <v>1215</v>
      </c>
      <c r="B14" s="2" t="s">
        <v>439</v>
      </c>
      <c r="C14" s="2" t="s">
        <v>440</v>
      </c>
      <c r="D14" s="2" t="s">
        <v>6004</v>
      </c>
      <c r="E14" s="2" t="s">
        <v>441</v>
      </c>
      <c r="F14" s="2" t="s">
        <v>2</v>
      </c>
      <c r="G14" s="2" t="str">
        <f>"02-25077071"</f>
        <v>02-25077071</v>
      </c>
      <c r="H14" s="2" t="s">
        <v>404</v>
      </c>
      <c r="I14" s="2" t="str">
        <f>"02-66365566"</f>
        <v>02-66365566</v>
      </c>
      <c r="J14" s="2" t="str">
        <f>"自105年05月18日至105年06月14日止"</f>
        <v>自105年05月18日至105年06月14日止</v>
      </c>
      <c r="K14" s="2" t="str">
        <f>"台灣集中保管結算所股份有限公司"</f>
        <v>台灣集中保管結算所股份有限公司</v>
      </c>
      <c r="L14" s="2" t="str">
        <f>"http://www.stockvote.com.tw"</f>
        <v>http://www.stockvote.com.tw</v>
      </c>
      <c r="M14" s="2" t="str">
        <f>"--"</f>
        <v>--</v>
      </c>
      <c r="N14" s="2"/>
      <c r="O14" s="2"/>
      <c r="P14" s="2"/>
      <c r="Q14" s="2"/>
    </row>
    <row r="15" spans="1:17" x14ac:dyDescent="0.3">
      <c r="A15" s="2" t="str">
        <f>"1216"</f>
        <v>1216</v>
      </c>
      <c r="B15" s="2" t="s">
        <v>3</v>
      </c>
      <c r="C15" s="2" t="s">
        <v>442</v>
      </c>
      <c r="D15" s="2" t="s">
        <v>5999</v>
      </c>
      <c r="E15" s="2" t="s">
        <v>443</v>
      </c>
      <c r="F15" s="2" t="s">
        <v>41</v>
      </c>
      <c r="G15" s="2" t="str">
        <f>"(06)253-2121"</f>
        <v>(06)253-2121</v>
      </c>
      <c r="H15" s="2" t="s">
        <v>444</v>
      </c>
      <c r="I15" s="2" t="str">
        <f>"(02)2746-3797"</f>
        <v>(02)2746-3797</v>
      </c>
      <c r="J15" s="2" t="str">
        <f>"自105年05月21日至105年06月19日止"</f>
        <v>自105年05月21日至105年06月19日止</v>
      </c>
      <c r="K15" s="2" t="str">
        <f>"台灣集中保管結算所股份有限公司"</f>
        <v>台灣集中保管結算所股份有限公司</v>
      </c>
      <c r="L15" s="2" t="str">
        <f>"http://www.stockvote.com.tw"</f>
        <v>http://www.stockvote.com.tw</v>
      </c>
      <c r="M15" s="2" t="str">
        <f>"--"</f>
        <v>--</v>
      </c>
      <c r="N15" s="2"/>
      <c r="O15" s="2"/>
      <c r="P15" s="2"/>
      <c r="Q15" s="2"/>
    </row>
    <row r="16" spans="1:17" x14ac:dyDescent="0.3">
      <c r="A16" s="2" t="str">
        <f>"1217"</f>
        <v>1217</v>
      </c>
      <c r="B16" s="2" t="s">
        <v>257</v>
      </c>
      <c r="C16" s="2" t="s">
        <v>445</v>
      </c>
      <c r="D16" s="2" t="s">
        <v>6007</v>
      </c>
      <c r="E16" s="2" t="s">
        <v>6012</v>
      </c>
      <c r="F16" s="2" t="s">
        <v>41</v>
      </c>
      <c r="G16" s="2" t="str">
        <f>"05-2211521-4"</f>
        <v>05-2211521-4</v>
      </c>
      <c r="H16" s="2" t="s">
        <v>431</v>
      </c>
      <c r="I16" s="2" t="str">
        <f>"02-27023999"</f>
        <v>02-27023999</v>
      </c>
      <c r="J16" s="2" t="str">
        <f>"自105年05月28日至105年06月25日止"</f>
        <v>自105年05月28日至105年06月25日止</v>
      </c>
      <c r="K16" s="2" t="str">
        <f>"台灣集中保管結算所股份有限公司"</f>
        <v>台灣集中保管結算所股份有限公司</v>
      </c>
      <c r="L16" s="2" t="str">
        <f>"http://www.stockvote.com.tw"</f>
        <v>http://www.stockvote.com.tw</v>
      </c>
      <c r="M16" s="2" t="str">
        <f>"--"</f>
        <v>--</v>
      </c>
      <c r="N16" s="2"/>
      <c r="O16" s="2"/>
      <c r="P16" s="2"/>
      <c r="Q16" s="2"/>
    </row>
    <row r="17" spans="1:17" x14ac:dyDescent="0.3">
      <c r="A17" s="2" t="str">
        <f>"1218"</f>
        <v>1218</v>
      </c>
      <c r="B17" s="2" t="s">
        <v>446</v>
      </c>
      <c r="C17" s="2" t="s">
        <v>6013</v>
      </c>
      <c r="D17" s="2" t="s">
        <v>6014</v>
      </c>
      <c r="E17" s="2" t="s">
        <v>447</v>
      </c>
      <c r="F17" s="2" t="s">
        <v>2</v>
      </c>
      <c r="G17" s="2" t="str">
        <f>"04-8742211"</f>
        <v>04-8742211</v>
      </c>
      <c r="H17" s="2" t="s">
        <v>431</v>
      </c>
      <c r="I17" s="2" t="str">
        <f>"02-27023999"</f>
        <v>02-27023999</v>
      </c>
      <c r="J17" s="2" t="str">
        <f>"自105年05月28日至105年06月26日止"</f>
        <v>自105年05月28日至105年06月26日止</v>
      </c>
      <c r="K17" s="2" t="str">
        <f>"台灣集中保管結算所股份有限公司"</f>
        <v>台灣集中保管結算所股份有限公司</v>
      </c>
      <c r="L17" s="2" t="str">
        <f>"http://www.stockvote.com.tw"</f>
        <v>http://www.stockvote.com.tw</v>
      </c>
      <c r="M17" s="2" t="str">
        <f>"--"</f>
        <v>--</v>
      </c>
      <c r="N17" s="2"/>
      <c r="O17" s="2"/>
      <c r="P17" s="2"/>
      <c r="Q17" s="2"/>
    </row>
    <row r="18" spans="1:17" x14ac:dyDescent="0.3">
      <c r="A18" s="2"/>
      <c r="B18" s="2"/>
      <c r="C18" s="2"/>
      <c r="D18" s="2"/>
      <c r="E18" s="2"/>
      <c r="F18" s="2"/>
      <c r="G18" s="2"/>
      <c r="H18" s="2"/>
      <c r="I18" s="2"/>
      <c r="J18" s="2"/>
      <c r="K18" s="2"/>
      <c r="L18" s="2"/>
      <c r="M18" s="2"/>
      <c r="N18" s="2"/>
      <c r="O18" s="2"/>
      <c r="P18" s="2"/>
      <c r="Q18" s="2"/>
    </row>
    <row r="19" spans="1:17" x14ac:dyDescent="0.3">
      <c r="A19" s="2" t="str">
        <f>"1219"</f>
        <v>1219</v>
      </c>
      <c r="B19" s="2" t="s">
        <v>448</v>
      </c>
      <c r="C19" s="2" t="s">
        <v>449</v>
      </c>
      <c r="D19" s="2" t="s">
        <v>6015</v>
      </c>
      <c r="E19" s="2" t="s">
        <v>450</v>
      </c>
      <c r="F19" s="2" t="s">
        <v>2</v>
      </c>
      <c r="G19" s="2" t="str">
        <f>"04-26362111"</f>
        <v>04-26362111</v>
      </c>
      <c r="H19" s="2" t="s">
        <v>451</v>
      </c>
      <c r="I19" s="2" t="str">
        <f>"02-23892999"</f>
        <v>02-23892999</v>
      </c>
      <c r="J19" s="2" t="str">
        <f>"自105年05月24日至105年06月20日止"</f>
        <v>自105年05月24日至105年06月20日止</v>
      </c>
      <c r="K19" s="2" t="str">
        <f>"台灣集中保管結算所股份有限公司"</f>
        <v>台灣集中保管結算所股份有限公司</v>
      </c>
      <c r="L19" s="2" t="str">
        <f>"http://www.stockvote.com.tw"</f>
        <v>http://www.stockvote.com.tw</v>
      </c>
      <c r="M19" s="2" t="str">
        <f>"--"</f>
        <v>--</v>
      </c>
      <c r="N19" s="2"/>
      <c r="O19" s="2"/>
      <c r="P19" s="2"/>
      <c r="Q19" s="2"/>
    </row>
    <row r="20" spans="1:17" x14ac:dyDescent="0.3">
      <c r="A20" s="2" t="str">
        <f>"1220"</f>
        <v>1220</v>
      </c>
      <c r="B20" s="2" t="s">
        <v>452</v>
      </c>
      <c r="C20" s="2" t="s">
        <v>453</v>
      </c>
      <c r="D20" s="2" t="s">
        <v>6016</v>
      </c>
      <c r="E20" s="2" t="s">
        <v>6017</v>
      </c>
      <c r="F20" s="2" t="s">
        <v>2</v>
      </c>
      <c r="G20" s="2" t="str">
        <f>"(02)2506-9521"</f>
        <v>(02)2506-9521</v>
      </c>
      <c r="H20" s="2" t="s">
        <v>404</v>
      </c>
      <c r="I20" s="2" t="str">
        <f>"(02)66365566"</f>
        <v>(02)66365566</v>
      </c>
      <c r="J20" s="2" t="str">
        <f>"--"</f>
        <v>--</v>
      </c>
      <c r="K20" s="2" t="str">
        <f>"--"</f>
        <v>--</v>
      </c>
      <c r="L20" s="2" t="str">
        <f>"--"</f>
        <v>--</v>
      </c>
      <c r="M20" s="2" t="str">
        <f>"否"</f>
        <v>否</v>
      </c>
      <c r="N20" s="2"/>
      <c r="O20" s="2"/>
      <c r="P20" s="2"/>
      <c r="Q20" s="2"/>
    </row>
    <row r="21" spans="1:17" x14ac:dyDescent="0.3">
      <c r="A21" s="2" t="str">
        <f>"1225"</f>
        <v>1225</v>
      </c>
      <c r="B21" s="2" t="s">
        <v>454</v>
      </c>
      <c r="C21" s="2" t="s">
        <v>455</v>
      </c>
      <c r="D21" s="2" t="s">
        <v>6007</v>
      </c>
      <c r="E21" s="2" t="s">
        <v>6018</v>
      </c>
      <c r="F21" s="2" t="s">
        <v>41</v>
      </c>
      <c r="G21" s="2" t="str">
        <f>"25073121"</f>
        <v>25073121</v>
      </c>
      <c r="H21" s="2" t="s">
        <v>456</v>
      </c>
      <c r="I21" s="2" t="str">
        <f>"(02)25048125"</f>
        <v>(02)25048125</v>
      </c>
      <c r="J21" s="2" t="str">
        <f>"自105年05月28日至105年06月25日止"</f>
        <v>自105年05月28日至105年06月25日止</v>
      </c>
      <c r="K21" s="2" t="str">
        <f>"台灣集中保管結算所股份有限公司"</f>
        <v>台灣集中保管結算所股份有限公司</v>
      </c>
      <c r="L21" s="2" t="str">
        <f>"http://www.stockvote.com.tw"</f>
        <v>http://www.stockvote.com.tw</v>
      </c>
      <c r="M21" s="2" t="str">
        <f>"--"</f>
        <v>--</v>
      </c>
      <c r="N21" s="2"/>
      <c r="O21" s="2"/>
      <c r="P21" s="2"/>
      <c r="Q21" s="2"/>
    </row>
    <row r="22" spans="1:17" x14ac:dyDescent="0.3">
      <c r="A22" s="2" t="str">
        <f>"1227"</f>
        <v>1227</v>
      </c>
      <c r="B22" s="2" t="s">
        <v>457</v>
      </c>
      <c r="C22" s="2" t="s">
        <v>458</v>
      </c>
      <c r="D22" s="2" t="s">
        <v>6002</v>
      </c>
      <c r="E22" s="2" t="s">
        <v>459</v>
      </c>
      <c r="F22" s="2" t="s">
        <v>41</v>
      </c>
      <c r="G22" s="2" t="str">
        <f>"2709-2323"</f>
        <v>2709-2323</v>
      </c>
      <c r="H22" s="2" t="s">
        <v>404</v>
      </c>
      <c r="I22" s="2" t="str">
        <f>"(02)6636-5566"</f>
        <v>(02)6636-5566</v>
      </c>
      <c r="J22" s="2" t="str">
        <f>"自105年05月14日至105年06月12日止"</f>
        <v>自105年05月14日至105年06月12日止</v>
      </c>
      <c r="K22" s="2" t="str">
        <f>"台灣集中保管結算所股份有限公司"</f>
        <v>台灣集中保管結算所股份有限公司</v>
      </c>
      <c r="L22" s="2" t="str">
        <f>"http://www.stockvote.com.tw"</f>
        <v>http://www.stockvote.com.tw</v>
      </c>
      <c r="M22" s="2" t="str">
        <f>"強制"</f>
        <v>強制</v>
      </c>
      <c r="N22" s="2"/>
      <c r="O22" s="2"/>
      <c r="P22" s="2"/>
      <c r="Q22" s="2"/>
    </row>
    <row r="23" spans="1:17" x14ac:dyDescent="0.3">
      <c r="A23" s="2" t="str">
        <f>"1229"</f>
        <v>1229</v>
      </c>
      <c r="B23" s="2" t="s">
        <v>460</v>
      </c>
      <c r="C23" s="2" t="s">
        <v>461</v>
      </c>
      <c r="D23" s="2" t="s">
        <v>5999</v>
      </c>
      <c r="E23" s="2" t="s">
        <v>462</v>
      </c>
      <c r="F23" s="2" t="s">
        <v>2</v>
      </c>
      <c r="G23" s="2" t="str">
        <f>"(02)2786-1188"</f>
        <v>(02)2786-1188</v>
      </c>
      <c r="H23" s="2" t="s">
        <v>404</v>
      </c>
      <c r="I23" s="2" t="str">
        <f>"(02)6636-5566"</f>
        <v>(02)6636-5566</v>
      </c>
      <c r="J23" s="2" t="str">
        <f>"自105年05月21日至105年06月19日止"</f>
        <v>自105年05月21日至105年06月19日止</v>
      </c>
      <c r="K23" s="2" t="str">
        <f>"台灣集中保管結算所股份有限公司"</f>
        <v>台灣集中保管結算所股份有限公司</v>
      </c>
      <c r="L23" s="2" t="str">
        <f>"http://www.stockvote.com.tw"</f>
        <v>http://www.stockvote.com.tw</v>
      </c>
      <c r="M23" s="2" t="str">
        <f>"--"</f>
        <v>--</v>
      </c>
      <c r="N23" s="2"/>
      <c r="O23" s="2"/>
      <c r="P23" s="2"/>
      <c r="Q23" s="2"/>
    </row>
    <row r="24" spans="1:17" x14ac:dyDescent="0.3">
      <c r="A24" s="2" t="str">
        <f>"1231"</f>
        <v>1231</v>
      </c>
      <c r="B24" s="2" t="s">
        <v>463</v>
      </c>
      <c r="C24" s="2" t="s">
        <v>464</v>
      </c>
      <c r="D24" s="2" t="s">
        <v>6007</v>
      </c>
      <c r="E24" s="2" t="s">
        <v>6019</v>
      </c>
      <c r="F24" s="2" t="s">
        <v>41</v>
      </c>
      <c r="G24" s="2" t="str">
        <f>"(02)25534546"</f>
        <v>(02)25534546</v>
      </c>
      <c r="H24" s="2" t="s">
        <v>465</v>
      </c>
      <c r="I24" s="2" t="str">
        <f>"(02)23816288"</f>
        <v>(02)23816288</v>
      </c>
      <c r="J24" s="2" t="str">
        <f t="shared" ref="J24:L26" si="0">"--"</f>
        <v>--</v>
      </c>
      <c r="K24" s="2" t="str">
        <f t="shared" si="0"/>
        <v>--</v>
      </c>
      <c r="L24" s="2" t="str">
        <f t="shared" si="0"/>
        <v>--</v>
      </c>
      <c r="M24" s="2" t="str">
        <f>"--"</f>
        <v>--</v>
      </c>
      <c r="N24" s="2"/>
      <c r="O24" s="2"/>
      <c r="P24" s="2"/>
      <c r="Q24" s="2"/>
    </row>
    <row r="25" spans="1:17" x14ac:dyDescent="0.3">
      <c r="A25" s="2" t="str">
        <f>"1232"</f>
        <v>1232</v>
      </c>
      <c r="B25" s="2" t="s">
        <v>466</v>
      </c>
      <c r="C25" s="2" t="s">
        <v>467</v>
      </c>
      <c r="D25" s="2" t="s">
        <v>6016</v>
      </c>
      <c r="E25" s="2" t="s">
        <v>468</v>
      </c>
      <c r="F25" s="2" t="s">
        <v>2</v>
      </c>
      <c r="G25" s="2" t="str">
        <f>"06-698-4500"</f>
        <v>06-698-4500</v>
      </c>
      <c r="H25" s="2" t="s">
        <v>469</v>
      </c>
      <c r="I25" s="2" t="str">
        <f>"02-2746-3797"</f>
        <v>02-2746-3797</v>
      </c>
      <c r="J25" s="2" t="str">
        <f t="shared" si="0"/>
        <v>--</v>
      </c>
      <c r="K25" s="2" t="str">
        <f t="shared" si="0"/>
        <v>--</v>
      </c>
      <c r="L25" s="2" t="str">
        <f t="shared" si="0"/>
        <v>--</v>
      </c>
      <c r="M25" s="2" t="str">
        <f>"否"</f>
        <v>否</v>
      </c>
      <c r="N25" s="2"/>
      <c r="O25" s="2"/>
      <c r="P25" s="2"/>
      <c r="Q25" s="2"/>
    </row>
    <row r="26" spans="1:17" x14ac:dyDescent="0.3">
      <c r="A26" s="2" t="str">
        <f>"1233"</f>
        <v>1233</v>
      </c>
      <c r="B26" s="2" t="s">
        <v>470</v>
      </c>
      <c r="C26" s="2" t="s">
        <v>471</v>
      </c>
      <c r="D26" s="2" t="s">
        <v>6002</v>
      </c>
      <c r="E26" s="2" t="s">
        <v>472</v>
      </c>
      <c r="F26" s="2" t="s">
        <v>41</v>
      </c>
      <c r="G26" s="2" t="str">
        <f>"02-27765580"</f>
        <v>02-27765580</v>
      </c>
      <c r="H26" s="2" t="s">
        <v>6006</v>
      </c>
      <c r="I26" s="2" t="str">
        <f>"02-25865859"</f>
        <v>02-25865859</v>
      </c>
      <c r="J26" s="2" t="str">
        <f t="shared" si="0"/>
        <v>--</v>
      </c>
      <c r="K26" s="2" t="str">
        <f t="shared" si="0"/>
        <v>--</v>
      </c>
      <c r="L26" s="2" t="str">
        <f t="shared" si="0"/>
        <v>--</v>
      </c>
      <c r="M26" s="2" t="str">
        <f>"否"</f>
        <v>否</v>
      </c>
      <c r="N26" s="2"/>
      <c r="O26" s="2"/>
      <c r="P26" s="2"/>
      <c r="Q26" s="2"/>
    </row>
    <row r="27" spans="1:17" x14ac:dyDescent="0.3">
      <c r="A27" s="2" t="str">
        <f>"1234"</f>
        <v>1234</v>
      </c>
      <c r="B27" s="2" t="s">
        <v>263</v>
      </c>
      <c r="C27" s="2" t="s">
        <v>473</v>
      </c>
      <c r="D27" s="2" t="s">
        <v>6020</v>
      </c>
      <c r="E27" s="2" t="s">
        <v>474</v>
      </c>
      <c r="F27" s="2" t="s">
        <v>41</v>
      </c>
      <c r="G27" s="2" t="str">
        <f>"(02)2706-2191"</f>
        <v>(02)2706-2191</v>
      </c>
      <c r="H27" s="2" t="s">
        <v>475</v>
      </c>
      <c r="I27" s="2" t="str">
        <f>"(02)7719-8899"</f>
        <v>(02)7719-8899</v>
      </c>
      <c r="J27" s="2" t="str">
        <f>"自105年05月21日至105年06月17日止"</f>
        <v>自105年05月21日至105年06月17日止</v>
      </c>
      <c r="K27" s="2" t="str">
        <f>"台灣集中保管結算所股份有限公司"</f>
        <v>台灣集中保管結算所股份有限公司</v>
      </c>
      <c r="L27" s="2" t="str">
        <f>"http://www.stockvote.com.tw"</f>
        <v>http://www.stockvote.com.tw</v>
      </c>
      <c r="M27" s="2" t="str">
        <f>"強制"</f>
        <v>強制</v>
      </c>
      <c r="N27" s="2"/>
      <c r="O27" s="2"/>
      <c r="P27" s="2"/>
      <c r="Q27" s="2"/>
    </row>
    <row r="28" spans="1:17" x14ac:dyDescent="0.3">
      <c r="A28" s="2" t="str">
        <f>"1235"</f>
        <v>1235</v>
      </c>
      <c r="B28" s="2" t="s">
        <v>476</v>
      </c>
      <c r="C28" s="2" t="s">
        <v>477</v>
      </c>
      <c r="D28" s="2" t="s">
        <v>6021</v>
      </c>
      <c r="E28" s="2" t="s">
        <v>477</v>
      </c>
      <c r="F28" s="2" t="s">
        <v>41</v>
      </c>
      <c r="G28" s="2" t="str">
        <f>"07-3425301-5"</f>
        <v>07-3425301-5</v>
      </c>
      <c r="H28" s="2" t="s">
        <v>478</v>
      </c>
      <c r="I28" s="2" t="str">
        <f>"02-25936666"</f>
        <v>02-25936666</v>
      </c>
      <c r="J28" s="2" t="str">
        <f t="shared" ref="J28:M29" si="1">"--"</f>
        <v>--</v>
      </c>
      <c r="K28" s="2" t="str">
        <f t="shared" si="1"/>
        <v>--</v>
      </c>
      <c r="L28" s="2" t="str">
        <f t="shared" si="1"/>
        <v>--</v>
      </c>
      <c r="M28" s="2" t="str">
        <f t="shared" si="1"/>
        <v>--</v>
      </c>
      <c r="N28" s="2"/>
      <c r="O28" s="2"/>
      <c r="P28" s="2"/>
      <c r="Q28" s="2"/>
    </row>
    <row r="29" spans="1:17" x14ac:dyDescent="0.3">
      <c r="A29" s="2" t="str">
        <f>"1236"</f>
        <v>1236</v>
      </c>
      <c r="B29" s="2" t="s">
        <v>479</v>
      </c>
      <c r="C29" s="2" t="s">
        <v>480</v>
      </c>
      <c r="D29" s="2" t="s">
        <v>5999</v>
      </c>
      <c r="E29" s="2" t="s">
        <v>6022</v>
      </c>
      <c r="F29" s="2" t="s">
        <v>41</v>
      </c>
      <c r="G29" s="2" t="str">
        <f>"(02)29180786"</f>
        <v>(02)29180786</v>
      </c>
      <c r="H29" s="2" t="s">
        <v>431</v>
      </c>
      <c r="I29" s="2" t="str">
        <f>"(02)2702-3999"</f>
        <v>(02)2702-3999</v>
      </c>
      <c r="J29" s="2" t="str">
        <f t="shared" si="1"/>
        <v>--</v>
      </c>
      <c r="K29" s="2" t="str">
        <f t="shared" si="1"/>
        <v>--</v>
      </c>
      <c r="L29" s="2" t="str">
        <f t="shared" si="1"/>
        <v>--</v>
      </c>
      <c r="M29" s="2" t="str">
        <f t="shared" si="1"/>
        <v>--</v>
      </c>
      <c r="N29" s="2"/>
      <c r="O29" s="2"/>
      <c r="P29" s="2"/>
      <c r="Q29" s="2"/>
    </row>
    <row r="30" spans="1:17" x14ac:dyDescent="0.3">
      <c r="A30" s="2" t="str">
        <f>"1256"</f>
        <v>1256</v>
      </c>
      <c r="B30" s="2" t="s">
        <v>2494</v>
      </c>
      <c r="C30" s="2" t="s">
        <v>6023</v>
      </c>
      <c r="D30" s="2" t="s">
        <v>6024</v>
      </c>
      <c r="E30" s="2" t="s">
        <v>2495</v>
      </c>
      <c r="F30" s="2" t="s">
        <v>2</v>
      </c>
      <c r="G30" s="2" t="str">
        <f>"512-57515501"</f>
        <v>512-57515501</v>
      </c>
      <c r="H30" s="2" t="s">
        <v>541</v>
      </c>
      <c r="I30" s="2" t="str">
        <f>"02-33930398"</f>
        <v>02-33930398</v>
      </c>
      <c r="J30" s="2" t="str">
        <f>"自105年05月08日至105年06月04日止"</f>
        <v>自105年05月08日至105年06月04日止</v>
      </c>
      <c r="K30" s="2" t="str">
        <f>"台灣集中保管結算所股份有限公司"</f>
        <v>台灣集中保管結算所股份有限公司</v>
      </c>
      <c r="L30" s="2" t="str">
        <f>"http://www.stockvote.com.tw"</f>
        <v>http://www.stockvote.com.tw</v>
      </c>
      <c r="M30" s="2" t="str">
        <f>"強制"</f>
        <v>強制</v>
      </c>
      <c r="N30" s="2"/>
      <c r="O30" s="2"/>
      <c r="P30" s="2"/>
      <c r="Q30" s="2"/>
    </row>
    <row r="31" spans="1:17" x14ac:dyDescent="0.3">
      <c r="A31" s="2" t="str">
        <f>"1262"</f>
        <v>1262</v>
      </c>
      <c r="B31" s="2" t="s">
        <v>481</v>
      </c>
      <c r="C31" s="2" t="s">
        <v>482</v>
      </c>
      <c r="D31" s="2" t="s">
        <v>6010</v>
      </c>
      <c r="E31" s="2" t="s">
        <v>483</v>
      </c>
      <c r="F31" s="2" t="s">
        <v>41</v>
      </c>
      <c r="G31" s="2" t="str">
        <f>"+865926800888"</f>
        <v>+865926800888</v>
      </c>
      <c r="H31" s="2" t="s">
        <v>415</v>
      </c>
      <c r="I31" s="2" t="str">
        <f>"02-2389-2999"</f>
        <v>02-2389-2999</v>
      </c>
      <c r="J31" s="2" t="str">
        <f>"--"</f>
        <v>--</v>
      </c>
      <c r="K31" s="2" t="str">
        <f>"--"</f>
        <v>--</v>
      </c>
      <c r="L31" s="2" t="str">
        <f>"--"</f>
        <v>--</v>
      </c>
      <c r="M31" s="2" t="str">
        <f>"--"</f>
        <v>--</v>
      </c>
      <c r="N31" s="2"/>
      <c r="O31" s="2"/>
      <c r="P31" s="2"/>
      <c r="Q31" s="2"/>
    </row>
    <row r="32" spans="1:17" x14ac:dyDescent="0.3">
      <c r="A32" s="2" t="str">
        <f>"1301"</f>
        <v>1301</v>
      </c>
      <c r="B32" s="2" t="s">
        <v>484</v>
      </c>
      <c r="C32" s="2" t="s">
        <v>485</v>
      </c>
      <c r="D32" s="2" t="s">
        <v>6004</v>
      </c>
      <c r="E32" s="2" t="s">
        <v>535</v>
      </c>
      <c r="F32" s="2" t="s">
        <v>2</v>
      </c>
      <c r="G32" s="2" t="str">
        <f>"(02)2712-2211"</f>
        <v>(02)2712-2211</v>
      </c>
      <c r="H32" s="2" t="s">
        <v>486</v>
      </c>
      <c r="I32" s="2" t="str">
        <f>"(02)2718-9898"</f>
        <v>(02)2718-9898</v>
      </c>
      <c r="J32" s="2" t="str">
        <f>"自105年05月17日至105年06月14日止"</f>
        <v>自105年05月17日至105年06月14日止</v>
      </c>
      <c r="K32" s="2" t="str">
        <f t="shared" ref="K32:K43" si="2">"台灣集中保管結算所股份有限公司"</f>
        <v>台灣集中保管結算所股份有限公司</v>
      </c>
      <c r="L32" s="2" t="str">
        <f t="shared" ref="L32:L43" si="3">"http://www.stockvote.com.tw"</f>
        <v>http://www.stockvote.com.tw</v>
      </c>
      <c r="M32" s="2" t="str">
        <f>"--"</f>
        <v>--</v>
      </c>
      <c r="N32" s="2"/>
      <c r="O32" s="2"/>
      <c r="P32" s="2"/>
      <c r="Q32" s="2"/>
    </row>
    <row r="33" spans="1:17" x14ac:dyDescent="0.3">
      <c r="A33" s="2" t="str">
        <f>"1303"</f>
        <v>1303</v>
      </c>
      <c r="B33" s="2" t="s">
        <v>487</v>
      </c>
      <c r="C33" s="2" t="s">
        <v>488</v>
      </c>
      <c r="D33" s="2" t="s">
        <v>6015</v>
      </c>
      <c r="E33" s="2" t="s">
        <v>535</v>
      </c>
      <c r="F33" s="2" t="s">
        <v>41</v>
      </c>
      <c r="G33" s="2" t="str">
        <f>"27122211"</f>
        <v>27122211</v>
      </c>
      <c r="H33" s="2" t="s">
        <v>489</v>
      </c>
      <c r="I33" s="2" t="str">
        <f>"27189898"</f>
        <v>27189898</v>
      </c>
      <c r="J33" s="2" t="str">
        <f>"自105年05月23日至105年06月20日止"</f>
        <v>自105年05月23日至105年06月20日止</v>
      </c>
      <c r="K33" s="2" t="str">
        <f t="shared" si="2"/>
        <v>台灣集中保管結算所股份有限公司</v>
      </c>
      <c r="L33" s="2" t="str">
        <f t="shared" si="3"/>
        <v>http://www.stockvote.com.tw</v>
      </c>
      <c r="M33" s="2" t="str">
        <f>"--"</f>
        <v>--</v>
      </c>
      <c r="N33" s="2"/>
      <c r="O33" s="2"/>
      <c r="P33" s="2"/>
      <c r="Q33" s="2"/>
    </row>
    <row r="34" spans="1:17" x14ac:dyDescent="0.3">
      <c r="A34" s="2" t="str">
        <f>"1304"</f>
        <v>1304</v>
      </c>
      <c r="B34" s="2" t="s">
        <v>69</v>
      </c>
      <c r="C34" s="2" t="s">
        <v>490</v>
      </c>
      <c r="D34" s="2" t="s">
        <v>6025</v>
      </c>
      <c r="E34" s="2" t="s">
        <v>6026</v>
      </c>
      <c r="F34" s="2" t="s">
        <v>2</v>
      </c>
      <c r="G34" s="2" t="str">
        <f>"02-87516888"</f>
        <v>02-87516888</v>
      </c>
      <c r="H34" s="2" t="s">
        <v>491</v>
      </c>
      <c r="I34" s="2" t="str">
        <f>"02-26503773"</f>
        <v>02-26503773</v>
      </c>
      <c r="J34" s="2" t="str">
        <f>"自105年05月09日至105年06月05日止"</f>
        <v>自105年05月09日至105年06月05日止</v>
      </c>
      <c r="K34" s="2" t="str">
        <f t="shared" si="2"/>
        <v>台灣集中保管結算所股份有限公司</v>
      </c>
      <c r="L34" s="2" t="str">
        <f t="shared" si="3"/>
        <v>http://www.stockvote.com.tw</v>
      </c>
      <c r="M34" s="2" t="str">
        <f>"強制"</f>
        <v>強制</v>
      </c>
      <c r="N34" s="2"/>
      <c r="O34" s="2"/>
      <c r="P34" s="2"/>
      <c r="Q34" s="2"/>
    </row>
    <row r="35" spans="1:17" x14ac:dyDescent="0.3">
      <c r="A35" s="2" t="str">
        <f>"1305"</f>
        <v>1305</v>
      </c>
      <c r="B35" s="2" t="s">
        <v>120</v>
      </c>
      <c r="C35" s="2" t="s">
        <v>492</v>
      </c>
      <c r="D35" s="2" t="s">
        <v>6021</v>
      </c>
      <c r="E35" s="2" t="s">
        <v>493</v>
      </c>
      <c r="F35" s="2" t="s">
        <v>41</v>
      </c>
      <c r="G35" s="2" t="str">
        <f>"(02)8751-6888"</f>
        <v>(02)8751-6888</v>
      </c>
      <c r="H35" s="2" t="s">
        <v>491</v>
      </c>
      <c r="I35" s="2" t="str">
        <f>"(02)2650-3773"</f>
        <v>(02)2650-3773</v>
      </c>
      <c r="J35" s="2" t="str">
        <f>"自105年05月14日至105年06月10日止"</f>
        <v>自105年05月14日至105年06月10日止</v>
      </c>
      <c r="K35" s="2" t="str">
        <f t="shared" si="2"/>
        <v>台灣集中保管結算所股份有限公司</v>
      </c>
      <c r="L35" s="2" t="str">
        <f t="shared" si="3"/>
        <v>http://www.stockvote.com.tw</v>
      </c>
      <c r="M35" s="2" t="str">
        <f>"--"</f>
        <v>--</v>
      </c>
      <c r="N35" s="2"/>
      <c r="O35" s="2"/>
      <c r="P35" s="2"/>
      <c r="Q35" s="2"/>
    </row>
    <row r="36" spans="1:17" x14ac:dyDescent="0.3">
      <c r="A36" s="2" t="str">
        <f>"1307"</f>
        <v>1307</v>
      </c>
      <c r="B36" s="2" t="s">
        <v>494</v>
      </c>
      <c r="C36" s="2" t="s">
        <v>495</v>
      </c>
      <c r="D36" s="2" t="s">
        <v>6021</v>
      </c>
      <c r="E36" s="2" t="s">
        <v>496</v>
      </c>
      <c r="F36" s="2" t="s">
        <v>2</v>
      </c>
      <c r="G36" s="2" t="str">
        <f>"(07)3712111"</f>
        <v>(07)3712111</v>
      </c>
      <c r="H36" s="2" t="s">
        <v>497</v>
      </c>
      <c r="I36" s="2" t="str">
        <f>"(02)6636-5566"</f>
        <v>(02)6636-5566</v>
      </c>
      <c r="J36" s="2" t="str">
        <f>"自105年05月14日至105年06月10日止"</f>
        <v>自105年05月14日至105年06月10日止</v>
      </c>
      <c r="K36" s="2" t="str">
        <f t="shared" si="2"/>
        <v>台灣集中保管結算所股份有限公司</v>
      </c>
      <c r="L36" s="2" t="str">
        <f t="shared" si="3"/>
        <v>http://www.stockvote.com.tw</v>
      </c>
      <c r="M36" s="2" t="str">
        <f>"強制"</f>
        <v>強制</v>
      </c>
      <c r="N36" s="2"/>
      <c r="O36" s="2"/>
      <c r="P36" s="2"/>
      <c r="Q36" s="2"/>
    </row>
    <row r="37" spans="1:17" x14ac:dyDescent="0.3">
      <c r="A37" s="2" t="str">
        <f>"1308"</f>
        <v>1308</v>
      </c>
      <c r="B37" s="2" t="s">
        <v>65</v>
      </c>
      <c r="C37" s="2" t="s">
        <v>490</v>
      </c>
      <c r="D37" s="2" t="s">
        <v>6025</v>
      </c>
      <c r="E37" s="2" t="s">
        <v>498</v>
      </c>
      <c r="F37" s="2" t="s">
        <v>41</v>
      </c>
      <c r="G37" s="2" t="str">
        <f>"(02)8751-6888"</f>
        <v>(02)8751-6888</v>
      </c>
      <c r="H37" s="2" t="s">
        <v>499</v>
      </c>
      <c r="I37" s="2" t="str">
        <f>"(02)2650-3773"</f>
        <v>(02)2650-3773</v>
      </c>
      <c r="J37" s="2" t="str">
        <f>"自105年05月09日至105年06月05日止"</f>
        <v>自105年05月09日至105年06月05日止</v>
      </c>
      <c r="K37" s="2" t="str">
        <f t="shared" si="2"/>
        <v>台灣集中保管結算所股份有限公司</v>
      </c>
      <c r="L37" s="2" t="str">
        <f t="shared" si="3"/>
        <v>http://www.stockvote.com.tw</v>
      </c>
      <c r="M37" s="2" t="str">
        <f>"強制"</f>
        <v>強制</v>
      </c>
      <c r="N37" s="2"/>
      <c r="O37" s="2"/>
      <c r="P37" s="2"/>
      <c r="Q37" s="2"/>
    </row>
    <row r="38" spans="1:17" x14ac:dyDescent="0.3">
      <c r="A38" s="2" t="str">
        <f>"1309"</f>
        <v>1309</v>
      </c>
      <c r="B38" s="2" t="s">
        <v>500</v>
      </c>
      <c r="C38" s="2" t="s">
        <v>490</v>
      </c>
      <c r="D38" s="2" t="s">
        <v>6021</v>
      </c>
      <c r="E38" s="2" t="s">
        <v>501</v>
      </c>
      <c r="F38" s="2" t="s">
        <v>2</v>
      </c>
      <c r="G38" s="2" t="str">
        <f>"(02)8751-6888"</f>
        <v>(02)8751-6888</v>
      </c>
      <c r="H38" s="2" t="s">
        <v>502</v>
      </c>
      <c r="I38" s="2" t="str">
        <f>"(02)2650-3773"</f>
        <v>(02)2650-3773</v>
      </c>
      <c r="J38" s="2" t="str">
        <f>"自105年05月14日至105年06月10日止"</f>
        <v>自105年05月14日至105年06月10日止</v>
      </c>
      <c r="K38" s="2" t="str">
        <f t="shared" si="2"/>
        <v>台灣集中保管結算所股份有限公司</v>
      </c>
      <c r="L38" s="2" t="str">
        <f t="shared" si="3"/>
        <v>http://www.stockvote.com.tw</v>
      </c>
      <c r="M38" s="2" t="str">
        <f>"強制"</f>
        <v>強制</v>
      </c>
      <c r="N38" s="2"/>
      <c r="O38" s="2"/>
      <c r="P38" s="2"/>
      <c r="Q38" s="2"/>
    </row>
    <row r="39" spans="1:17" x14ac:dyDescent="0.3">
      <c r="A39" s="2" t="str">
        <f>"1310"</f>
        <v>1310</v>
      </c>
      <c r="B39" s="2" t="s">
        <v>119</v>
      </c>
      <c r="C39" s="2" t="s">
        <v>503</v>
      </c>
      <c r="D39" s="2" t="s">
        <v>6014</v>
      </c>
      <c r="E39" s="2" t="s">
        <v>504</v>
      </c>
      <c r="F39" s="2" t="s">
        <v>2</v>
      </c>
      <c r="G39" s="2" t="str">
        <f>"02-23966007"</f>
        <v>02-23966007</v>
      </c>
      <c r="H39" s="2" t="s">
        <v>505</v>
      </c>
      <c r="I39" s="2" t="str">
        <f>"02-23816288"</f>
        <v>02-23816288</v>
      </c>
      <c r="J39" s="2" t="str">
        <f>"自105年05月28日至105年06月26日止"</f>
        <v>自105年05月28日至105年06月26日止</v>
      </c>
      <c r="K39" s="2" t="str">
        <f t="shared" si="2"/>
        <v>台灣集中保管結算所股份有限公司</v>
      </c>
      <c r="L39" s="2" t="str">
        <f t="shared" si="3"/>
        <v>http://www.stockvote.com.tw</v>
      </c>
      <c r="M39" s="2" t="str">
        <f>"--"</f>
        <v>--</v>
      </c>
      <c r="N39" s="2"/>
      <c r="O39" s="2"/>
      <c r="P39" s="2"/>
      <c r="Q39" s="2"/>
    </row>
    <row r="40" spans="1:17" x14ac:dyDescent="0.3">
      <c r="A40" s="2"/>
      <c r="B40" s="2"/>
      <c r="C40" s="2"/>
      <c r="D40" s="2"/>
      <c r="E40" s="2"/>
      <c r="F40" s="2"/>
      <c r="G40" s="2"/>
      <c r="H40" s="2"/>
      <c r="I40" s="2"/>
      <c r="J40" s="2"/>
      <c r="K40" s="2"/>
      <c r="L40" s="2"/>
      <c r="M40" s="2"/>
      <c r="N40" s="2"/>
      <c r="O40" s="2"/>
      <c r="P40" s="2"/>
      <c r="Q40" s="2"/>
    </row>
    <row r="41" spans="1:17" x14ac:dyDescent="0.3">
      <c r="A41" s="2" t="str">
        <f>"1312"</f>
        <v>1312</v>
      </c>
      <c r="B41" s="2" t="s">
        <v>506</v>
      </c>
      <c r="C41" s="2" t="s">
        <v>507</v>
      </c>
      <c r="D41" s="2" t="s">
        <v>6016</v>
      </c>
      <c r="E41" s="2" t="s">
        <v>508</v>
      </c>
      <c r="F41" s="2" t="s">
        <v>2</v>
      </c>
      <c r="G41" s="2" t="str">
        <f>"(02)8770-4567"</f>
        <v>(02)8770-4567</v>
      </c>
      <c r="H41" s="2" t="s">
        <v>404</v>
      </c>
      <c r="I41" s="2" t="str">
        <f>"(02)6636-5566"</f>
        <v>(02)6636-5566</v>
      </c>
      <c r="J41" s="2" t="str">
        <f>"自105年05月15日至105年06月11日止"</f>
        <v>自105年05月15日至105年06月11日止</v>
      </c>
      <c r="K41" s="2" t="str">
        <f t="shared" si="2"/>
        <v>台灣集中保管結算所股份有限公司</v>
      </c>
      <c r="L41" s="2" t="str">
        <f t="shared" si="3"/>
        <v>http://www.stockvote.com.tw</v>
      </c>
      <c r="M41" s="2" t="str">
        <f>"強制"</f>
        <v>強制</v>
      </c>
      <c r="N41" s="2"/>
      <c r="O41" s="2"/>
      <c r="P41" s="2"/>
      <c r="Q41" s="2"/>
    </row>
    <row r="42" spans="1:17" x14ac:dyDescent="0.3">
      <c r="A42" s="2" t="str">
        <f>"1313"</f>
        <v>1313</v>
      </c>
      <c r="B42" s="2" t="s">
        <v>509</v>
      </c>
      <c r="C42" s="2" t="s">
        <v>510</v>
      </c>
      <c r="D42" s="2" t="s">
        <v>6016</v>
      </c>
      <c r="E42" s="2" t="s">
        <v>511</v>
      </c>
      <c r="F42" s="2" t="s">
        <v>2</v>
      </c>
      <c r="G42" s="2" t="str">
        <f>"(02)26517889"</f>
        <v>(02)26517889</v>
      </c>
      <c r="H42" s="2" t="s">
        <v>404</v>
      </c>
      <c r="I42" s="2" t="str">
        <f>"(02)6636-5566"</f>
        <v>(02)6636-5566</v>
      </c>
      <c r="J42" s="2" t="str">
        <f>"自105年05月14日至105年06月11日止"</f>
        <v>自105年05月14日至105年06月11日止</v>
      </c>
      <c r="K42" s="2" t="str">
        <f t="shared" si="2"/>
        <v>台灣集中保管結算所股份有限公司</v>
      </c>
      <c r="L42" s="2" t="str">
        <f t="shared" si="3"/>
        <v>http://www.stockvote.com.tw</v>
      </c>
      <c r="M42" s="2" t="str">
        <f>"--"</f>
        <v>--</v>
      </c>
      <c r="N42" s="2"/>
      <c r="O42" s="2"/>
      <c r="P42" s="2"/>
      <c r="Q42" s="2"/>
    </row>
    <row r="43" spans="1:17" x14ac:dyDescent="0.3">
      <c r="A43" s="2" t="str">
        <f>"1314"</f>
        <v>1314</v>
      </c>
      <c r="B43" s="2" t="s">
        <v>11</v>
      </c>
      <c r="C43" s="2" t="s">
        <v>512</v>
      </c>
      <c r="D43" s="2" t="s">
        <v>6010</v>
      </c>
      <c r="E43" s="2" t="s">
        <v>513</v>
      </c>
      <c r="F43" s="2" t="s">
        <v>2</v>
      </c>
      <c r="G43" s="2" t="str">
        <f>"02-87878187"</f>
        <v>02-87878187</v>
      </c>
      <c r="H43" s="2" t="s">
        <v>514</v>
      </c>
      <c r="I43" s="2" t="str">
        <f>"02-89782589"</f>
        <v>02-89782589</v>
      </c>
      <c r="J43" s="2" t="str">
        <f>"自105年05月25日至105年06月21日止"</f>
        <v>自105年05月25日至105年06月21日止</v>
      </c>
      <c r="K43" s="2" t="str">
        <f t="shared" si="2"/>
        <v>台灣集中保管結算所股份有限公司</v>
      </c>
      <c r="L43" s="2" t="str">
        <f t="shared" si="3"/>
        <v>http://www.stockvote.com.tw</v>
      </c>
      <c r="M43" s="2" t="str">
        <f>"--"</f>
        <v>--</v>
      </c>
      <c r="N43" s="2"/>
      <c r="O43" s="2"/>
      <c r="P43" s="2"/>
      <c r="Q43" s="2"/>
    </row>
    <row r="44" spans="1:17" x14ac:dyDescent="0.3">
      <c r="A44" s="2" t="str">
        <f>"1315"</f>
        <v>1315</v>
      </c>
      <c r="B44" s="2" t="s">
        <v>515</v>
      </c>
      <c r="C44" s="2" t="s">
        <v>516</v>
      </c>
      <c r="D44" s="2" t="s">
        <v>6004</v>
      </c>
      <c r="E44" s="2" t="s">
        <v>517</v>
      </c>
      <c r="F44" s="2" t="s">
        <v>2</v>
      </c>
      <c r="G44" s="2" t="str">
        <f>"04-23595511"</f>
        <v>04-23595511</v>
      </c>
      <c r="H44" s="2" t="s">
        <v>404</v>
      </c>
      <c r="I44" s="2" t="str">
        <f>"02-66365566"</f>
        <v>02-66365566</v>
      </c>
      <c r="J44" s="2" t="str">
        <f t="shared" ref="J44:L45" si="4">"--"</f>
        <v>--</v>
      </c>
      <c r="K44" s="2" t="str">
        <f t="shared" si="4"/>
        <v>--</v>
      </c>
      <c r="L44" s="2" t="str">
        <f t="shared" si="4"/>
        <v>--</v>
      </c>
      <c r="M44" s="2" t="str">
        <f>"--"</f>
        <v>--</v>
      </c>
      <c r="N44" s="2"/>
      <c r="O44" s="2"/>
      <c r="P44" s="2"/>
      <c r="Q44" s="2"/>
    </row>
    <row r="45" spans="1:17" x14ac:dyDescent="0.3">
      <c r="A45" s="2" t="str">
        <f>"1316"</f>
        <v>1316</v>
      </c>
      <c r="B45" s="2" t="s">
        <v>518</v>
      </c>
      <c r="C45" s="2" t="s">
        <v>519</v>
      </c>
      <c r="D45" s="2" t="s">
        <v>5999</v>
      </c>
      <c r="E45" s="2" t="s">
        <v>6027</v>
      </c>
      <c r="F45" s="2" t="s">
        <v>41</v>
      </c>
      <c r="G45" s="2" t="str">
        <f>"(06)2988318"</f>
        <v>(06)2988318</v>
      </c>
      <c r="H45" s="2" t="s">
        <v>424</v>
      </c>
      <c r="I45" s="2" t="str">
        <f>"(02)2586-5859"</f>
        <v>(02)2586-5859</v>
      </c>
      <c r="J45" s="2" t="str">
        <f t="shared" si="4"/>
        <v>--</v>
      </c>
      <c r="K45" s="2" t="str">
        <f t="shared" si="4"/>
        <v>--</v>
      </c>
      <c r="L45" s="2" t="str">
        <f t="shared" si="4"/>
        <v>--</v>
      </c>
      <c r="M45" s="2" t="str">
        <f>"--"</f>
        <v>--</v>
      </c>
      <c r="N45" s="2"/>
      <c r="O45" s="2"/>
      <c r="P45" s="2"/>
      <c r="Q45" s="2"/>
    </row>
    <row r="46" spans="1:17" x14ac:dyDescent="0.3">
      <c r="A46" s="2" t="str">
        <f>"1319"</f>
        <v>1319</v>
      </c>
      <c r="B46" s="2" t="s">
        <v>520</v>
      </c>
      <c r="C46" s="2" t="s">
        <v>521</v>
      </c>
      <c r="D46" s="2" t="s">
        <v>6028</v>
      </c>
      <c r="E46" s="2" t="s">
        <v>6029</v>
      </c>
      <c r="F46" s="2" t="s">
        <v>41</v>
      </c>
      <c r="G46" s="2" t="str">
        <f>"06-3560511"</f>
        <v>06-3560511</v>
      </c>
      <c r="H46" s="2" t="s">
        <v>404</v>
      </c>
      <c r="I46" s="2" t="str">
        <f>"02-66365566"</f>
        <v>02-66365566</v>
      </c>
      <c r="J46" s="2" t="str">
        <f>"自105年05月17日至105年06月13日止"</f>
        <v>自105年05月17日至105年06月13日止</v>
      </c>
      <c r="K46" s="2" t="str">
        <f>"台灣集中保管結算所股份有限公司"</f>
        <v>台灣集中保管結算所股份有限公司</v>
      </c>
      <c r="L46" s="2" t="str">
        <f>"http://www.stockvote.com.tw"</f>
        <v>http://www.stockvote.com.tw</v>
      </c>
      <c r="M46" s="2" t="str">
        <f>"強制"</f>
        <v>強制</v>
      </c>
      <c r="N46" s="2"/>
      <c r="O46" s="2"/>
      <c r="P46" s="2"/>
      <c r="Q46" s="2"/>
    </row>
    <row r="47" spans="1:17" x14ac:dyDescent="0.3">
      <c r="A47" s="2" t="str">
        <f>"1321"</f>
        <v>1321</v>
      </c>
      <c r="B47" s="2" t="s">
        <v>522</v>
      </c>
      <c r="C47" s="2" t="s">
        <v>6030</v>
      </c>
      <c r="D47" s="2" t="s">
        <v>6021</v>
      </c>
      <c r="E47" s="2" t="s">
        <v>523</v>
      </c>
      <c r="F47" s="2" t="s">
        <v>2</v>
      </c>
      <c r="G47" s="2" t="str">
        <f>"(02)23062131"</f>
        <v>(02)23062131</v>
      </c>
      <c r="H47" s="2" t="s">
        <v>524</v>
      </c>
      <c r="I47" s="2" t="str">
        <f>"(02)23148800"</f>
        <v>(02)23148800</v>
      </c>
      <c r="J47" s="2" t="str">
        <f>"--"</f>
        <v>--</v>
      </c>
      <c r="K47" s="2" t="str">
        <f>"--"</f>
        <v>--</v>
      </c>
      <c r="L47" s="2" t="str">
        <f>"--"</f>
        <v>--</v>
      </c>
      <c r="M47" s="2" t="str">
        <f>"--"</f>
        <v>--</v>
      </c>
      <c r="N47" s="2"/>
      <c r="O47" s="2"/>
      <c r="P47" s="2"/>
      <c r="Q47" s="2"/>
    </row>
    <row r="48" spans="1:17" x14ac:dyDescent="0.3">
      <c r="A48" s="2" t="str">
        <f>"1323"</f>
        <v>1323</v>
      </c>
      <c r="B48" s="2" t="s">
        <v>525</v>
      </c>
      <c r="C48" s="2" t="s">
        <v>526</v>
      </c>
      <c r="D48" s="2" t="s">
        <v>6031</v>
      </c>
      <c r="E48" s="2" t="s">
        <v>527</v>
      </c>
      <c r="F48" s="2" t="s">
        <v>2</v>
      </c>
      <c r="G48" s="2" t="str">
        <f>"06-2793711"</f>
        <v>06-2793711</v>
      </c>
      <c r="H48" s="2" t="s">
        <v>451</v>
      </c>
      <c r="I48" s="2" t="str">
        <f>"02-23892999"</f>
        <v>02-23892999</v>
      </c>
      <c r="J48" s="2" t="str">
        <f t="shared" ref="J48:L50" si="5">"--"</f>
        <v>--</v>
      </c>
      <c r="K48" s="2" t="str">
        <f t="shared" si="5"/>
        <v>--</v>
      </c>
      <c r="L48" s="2" t="str">
        <f t="shared" si="5"/>
        <v>--</v>
      </c>
      <c r="M48" s="2" t="str">
        <f>"否"</f>
        <v>否</v>
      </c>
      <c r="N48" s="2"/>
      <c r="O48" s="2"/>
      <c r="P48" s="2"/>
      <c r="Q48" s="2"/>
    </row>
    <row r="49" spans="1:17" x14ac:dyDescent="0.3">
      <c r="A49" s="2" t="str">
        <f>"1324"</f>
        <v>1324</v>
      </c>
      <c r="B49" s="2" t="s">
        <v>528</v>
      </c>
      <c r="C49" s="2" t="s">
        <v>529</v>
      </c>
      <c r="D49" s="2" t="s">
        <v>5999</v>
      </c>
      <c r="E49" s="2" t="s">
        <v>6032</v>
      </c>
      <c r="F49" s="2" t="s">
        <v>2</v>
      </c>
      <c r="G49" s="2" t="str">
        <f>"(02)2506-6666"</f>
        <v>(02)2506-6666</v>
      </c>
      <c r="H49" s="2" t="s">
        <v>465</v>
      </c>
      <c r="I49" s="2" t="str">
        <f>"02-23816288"</f>
        <v>02-23816288</v>
      </c>
      <c r="J49" s="2" t="str">
        <f t="shared" si="5"/>
        <v>--</v>
      </c>
      <c r="K49" s="2" t="str">
        <f t="shared" si="5"/>
        <v>--</v>
      </c>
      <c r="L49" s="2" t="str">
        <f t="shared" si="5"/>
        <v>--</v>
      </c>
      <c r="M49" s="2" t="str">
        <f>"--"</f>
        <v>--</v>
      </c>
      <c r="N49" s="2"/>
      <c r="O49" s="2"/>
      <c r="P49" s="2"/>
      <c r="Q49" s="2"/>
    </row>
    <row r="50" spans="1:17" x14ac:dyDescent="0.3">
      <c r="A50" s="2" t="str">
        <f>"1325"</f>
        <v>1325</v>
      </c>
      <c r="B50" s="2" t="s">
        <v>530</v>
      </c>
      <c r="C50" s="2" t="s">
        <v>531</v>
      </c>
      <c r="D50" s="2" t="s">
        <v>6001</v>
      </c>
      <c r="E50" s="2" t="s">
        <v>532</v>
      </c>
      <c r="F50" s="2" t="s">
        <v>2</v>
      </c>
      <c r="G50" s="2" t="str">
        <f>"(02)25119161"</f>
        <v>(02)25119161</v>
      </c>
      <c r="H50" s="2" t="s">
        <v>404</v>
      </c>
      <c r="I50" s="2" t="str">
        <f>"(02)66365566"</f>
        <v>(02)66365566</v>
      </c>
      <c r="J50" s="2" t="str">
        <f t="shared" si="5"/>
        <v>--</v>
      </c>
      <c r="K50" s="2" t="str">
        <f t="shared" si="5"/>
        <v>--</v>
      </c>
      <c r="L50" s="2" t="str">
        <f t="shared" si="5"/>
        <v>--</v>
      </c>
      <c r="M50" s="2" t="str">
        <f>"--"</f>
        <v>--</v>
      </c>
      <c r="N50" s="2"/>
      <c r="O50" s="2"/>
      <c r="P50" s="2"/>
      <c r="Q50" s="2"/>
    </row>
    <row r="51" spans="1:17" x14ac:dyDescent="0.3">
      <c r="A51" s="2" t="str">
        <f>"1326"</f>
        <v>1326</v>
      </c>
      <c r="B51" s="2" t="s">
        <v>533</v>
      </c>
      <c r="C51" s="2" t="s">
        <v>534</v>
      </c>
      <c r="D51" s="2" t="s">
        <v>6024</v>
      </c>
      <c r="E51" s="2" t="s">
        <v>535</v>
      </c>
      <c r="F51" s="2" t="s">
        <v>2</v>
      </c>
      <c r="G51" s="2" t="str">
        <f>"(02)27122211"</f>
        <v>(02)27122211</v>
      </c>
      <c r="H51" s="2" t="s">
        <v>536</v>
      </c>
      <c r="I51" s="2" t="str">
        <f>"(02)27189898"</f>
        <v>(02)27189898</v>
      </c>
      <c r="J51" s="2" t="str">
        <f>"自105年05月05日至105年06月04日止"</f>
        <v>自105年05月05日至105年06月04日止</v>
      </c>
      <c r="K51" s="2" t="str">
        <f>"台灣集中保管結算所股份有限公司"</f>
        <v>台灣集中保管結算所股份有限公司</v>
      </c>
      <c r="L51" s="2" t="str">
        <f>"http://www.stockvote.com.tw"</f>
        <v>http://www.stockvote.com.tw</v>
      </c>
      <c r="M51" s="2" t="str">
        <f>"強制"</f>
        <v>強制</v>
      </c>
      <c r="N51" s="2"/>
      <c r="O51" s="2"/>
      <c r="P51" s="2"/>
      <c r="Q51" s="2"/>
    </row>
    <row r="52" spans="1:17" x14ac:dyDescent="0.3">
      <c r="A52" s="2" t="str">
        <f>"1337"</f>
        <v>1337</v>
      </c>
      <c r="B52" s="2" t="s">
        <v>537</v>
      </c>
      <c r="C52" s="2" t="s">
        <v>538</v>
      </c>
      <c r="D52" s="2" t="s">
        <v>6002</v>
      </c>
      <c r="E52" s="2" t="s">
        <v>6033</v>
      </c>
      <c r="F52" s="2" t="s">
        <v>41</v>
      </c>
      <c r="G52" s="2" t="str">
        <f>"(07)5524591"</f>
        <v>(07)5524591</v>
      </c>
      <c r="H52" s="2" t="s">
        <v>539</v>
      </c>
      <c r="I52" s="2" t="str">
        <f>"(02)2586-5859"</f>
        <v>(02)2586-5859</v>
      </c>
      <c r="J52" s="2" t="str">
        <f>"自105年05月14日至105年06月12日止"</f>
        <v>自105年05月14日至105年06月12日止</v>
      </c>
      <c r="K52" s="2" t="str">
        <f>"台灣集中保管結算所股份有限公司"</f>
        <v>台灣集中保管結算所股份有限公司</v>
      </c>
      <c r="L52" s="2" t="str">
        <f>"http://www.stockvote.com.tw"</f>
        <v>http://www.stockvote.com.tw</v>
      </c>
      <c r="M52" s="2" t="str">
        <f>"強制"</f>
        <v>強制</v>
      </c>
      <c r="N52" s="2"/>
      <c r="O52" s="2"/>
      <c r="P52" s="2"/>
      <c r="Q52" s="2"/>
    </row>
    <row r="53" spans="1:17" x14ac:dyDescent="0.3">
      <c r="A53" s="2" t="str">
        <f>"1338"</f>
        <v>1338</v>
      </c>
      <c r="B53" s="2" t="s">
        <v>106</v>
      </c>
      <c r="C53" s="2" t="s">
        <v>540</v>
      </c>
      <c r="D53" s="2" t="s">
        <v>6034</v>
      </c>
      <c r="E53" s="2" t="s">
        <v>6035</v>
      </c>
      <c r="F53" s="2" t="s">
        <v>2</v>
      </c>
      <c r="G53" s="2" t="str">
        <f>"0769-89278888"</f>
        <v>0769-89278888</v>
      </c>
      <c r="H53" s="2" t="s">
        <v>541</v>
      </c>
      <c r="I53" s="2" t="str">
        <f>"02-33930898"</f>
        <v>02-33930898</v>
      </c>
      <c r="J53" s="2" t="str">
        <f>"自105年04月27日至105年05月24日止"</f>
        <v>自105年04月27日至105年05月24日止</v>
      </c>
      <c r="K53" s="2" t="str">
        <f>"台灣集中保管結算所股份有限公司"</f>
        <v>台灣集中保管結算所股份有限公司</v>
      </c>
      <c r="L53" s="2" t="str">
        <f>"http://www.stockvote.com.tw"</f>
        <v>http://www.stockvote.com.tw</v>
      </c>
      <c r="M53" s="2" t="str">
        <f>"--"</f>
        <v>--</v>
      </c>
      <c r="N53" s="2"/>
      <c r="O53" s="2"/>
      <c r="P53" s="2"/>
      <c r="Q53" s="2"/>
    </row>
    <row r="54" spans="1:17" x14ac:dyDescent="0.3">
      <c r="A54" s="2" t="str">
        <f>"1339"</f>
        <v>1339</v>
      </c>
      <c r="B54" s="2" t="s">
        <v>542</v>
      </c>
      <c r="C54" s="2" t="s">
        <v>543</v>
      </c>
      <c r="D54" s="2" t="s">
        <v>6020</v>
      </c>
      <c r="E54" s="2" t="s">
        <v>6036</v>
      </c>
      <c r="F54" s="2" t="s">
        <v>2</v>
      </c>
      <c r="G54" s="2" t="str">
        <f>"(04)7810781"</f>
        <v>(04)7810781</v>
      </c>
      <c r="H54" s="2" t="s">
        <v>469</v>
      </c>
      <c r="I54" s="2" t="str">
        <f>"02-27463797"</f>
        <v>02-27463797</v>
      </c>
      <c r="J54" s="2" t="str">
        <f t="shared" ref="J54:L55" si="6">"--"</f>
        <v>--</v>
      </c>
      <c r="K54" s="2" t="str">
        <f t="shared" si="6"/>
        <v>--</v>
      </c>
      <c r="L54" s="2" t="str">
        <f t="shared" si="6"/>
        <v>--</v>
      </c>
      <c r="M54" s="2" t="str">
        <f>"--"</f>
        <v>--</v>
      </c>
      <c r="N54" s="2"/>
      <c r="O54" s="2"/>
      <c r="P54" s="2"/>
      <c r="Q54" s="2"/>
    </row>
    <row r="55" spans="1:17" x14ac:dyDescent="0.3">
      <c r="A55" s="2" t="str">
        <f>"1340"</f>
        <v>1340</v>
      </c>
      <c r="B55" s="2" t="s">
        <v>544</v>
      </c>
      <c r="C55" s="2" t="s">
        <v>545</v>
      </c>
      <c r="D55" s="2" t="s">
        <v>6020</v>
      </c>
      <c r="E55" s="2" t="s">
        <v>546</v>
      </c>
      <c r="F55" s="2" t="s">
        <v>41</v>
      </c>
      <c r="G55" s="2" t="str">
        <f>"8659582889862"</f>
        <v>8659582889862</v>
      </c>
      <c r="H55" s="2" t="s">
        <v>547</v>
      </c>
      <c r="I55" s="2" t="str">
        <f>"(02)2381-6288"</f>
        <v>(02)2381-6288</v>
      </c>
      <c r="J55" s="2" t="str">
        <f t="shared" si="6"/>
        <v>--</v>
      </c>
      <c r="K55" s="2" t="str">
        <f t="shared" si="6"/>
        <v>--</v>
      </c>
      <c r="L55" s="2" t="str">
        <f t="shared" si="6"/>
        <v>--</v>
      </c>
      <c r="M55" s="2" t="str">
        <f>"--"</f>
        <v>--</v>
      </c>
      <c r="N55" s="2"/>
      <c r="O55" s="2"/>
      <c r="P55" s="2"/>
      <c r="Q55" s="2"/>
    </row>
    <row r="56" spans="1:17" x14ac:dyDescent="0.3">
      <c r="A56" s="2" t="str">
        <f>"1402"</f>
        <v>1402</v>
      </c>
      <c r="B56" s="2" t="s">
        <v>548</v>
      </c>
      <c r="C56" s="2" t="s">
        <v>549</v>
      </c>
      <c r="D56" s="2" t="s">
        <v>6015</v>
      </c>
      <c r="E56" s="2" t="s">
        <v>550</v>
      </c>
      <c r="F56" s="2" t="s">
        <v>41</v>
      </c>
      <c r="G56" s="2" t="str">
        <f>"02-27338000"</f>
        <v>02-27338000</v>
      </c>
      <c r="H56" s="2" t="s">
        <v>408</v>
      </c>
      <c r="I56" s="2" t="str">
        <f>"02-2361-8608"</f>
        <v>02-2361-8608</v>
      </c>
      <c r="J56" s="2" t="str">
        <f>"自105年05月24日至105年06月20日止"</f>
        <v>自105年05月24日至105年06月20日止</v>
      </c>
      <c r="K56" s="2" t="str">
        <f>"台灣集中保管結算所股份有限公司"</f>
        <v>台灣集中保管結算所股份有限公司</v>
      </c>
      <c r="L56" s="2" t="str">
        <f>"http://www.stockvote.com.tw"</f>
        <v>http://www.stockvote.com.tw</v>
      </c>
      <c r="M56" s="2" t="str">
        <f>"--"</f>
        <v>--</v>
      </c>
      <c r="N56" s="2"/>
      <c r="O56" s="2"/>
      <c r="P56" s="2"/>
      <c r="Q56" s="2"/>
    </row>
    <row r="57" spans="1:17" x14ac:dyDescent="0.3">
      <c r="A57" s="2" t="str">
        <f>"1409"</f>
        <v>1409</v>
      </c>
      <c r="B57" s="2" t="s">
        <v>289</v>
      </c>
      <c r="C57" s="2" t="s">
        <v>551</v>
      </c>
      <c r="D57" s="2" t="s">
        <v>6037</v>
      </c>
      <c r="E57" s="2" t="s">
        <v>552</v>
      </c>
      <c r="F57" s="2" t="s">
        <v>2</v>
      </c>
      <c r="G57" s="2" t="str">
        <f>"2507-1251"</f>
        <v>2507-1251</v>
      </c>
      <c r="H57" s="2" t="s">
        <v>553</v>
      </c>
      <c r="I57" s="2" t="str">
        <f>"02-23118787"</f>
        <v>02-23118787</v>
      </c>
      <c r="J57" s="2" t="str">
        <f>"自105年05月01日至105年05月28日止"</f>
        <v>自105年05月01日至105年05月28日止</v>
      </c>
      <c r="K57" s="2" t="str">
        <f>"台灣集中保管結算所股份有限公司"</f>
        <v>台灣集中保管結算所股份有限公司</v>
      </c>
      <c r="L57" s="2" t="str">
        <f>"http://www.stockvote.com.tw"</f>
        <v>http://www.stockvote.com.tw</v>
      </c>
      <c r="M57" s="2" t="str">
        <f>"&lt;b&gt;&lt;font color='red'&gt;自願&lt;/font&gt;&lt;/b&gt;"</f>
        <v>&lt;b&gt;&lt;font color='red'&gt;自願&lt;/font&gt;&lt;/b&gt;</v>
      </c>
      <c r="N57" s="2"/>
      <c r="O57" s="2"/>
      <c r="P57" s="2"/>
      <c r="Q57" s="2"/>
    </row>
    <row r="58" spans="1:17" x14ac:dyDescent="0.3">
      <c r="A58" s="2" t="str">
        <f>"1410"</f>
        <v>1410</v>
      </c>
      <c r="B58" s="2" t="s">
        <v>109</v>
      </c>
      <c r="C58" s="2" t="s">
        <v>6038</v>
      </c>
      <c r="D58" s="2" t="s">
        <v>6028</v>
      </c>
      <c r="E58" s="2" t="s">
        <v>6039</v>
      </c>
      <c r="F58" s="2" t="s">
        <v>2</v>
      </c>
      <c r="G58" s="2" t="str">
        <f>"02-25940361"</f>
        <v>02-25940361</v>
      </c>
      <c r="H58" s="2" t="s">
        <v>554</v>
      </c>
      <c r="I58" s="2" t="str">
        <f>"02-66365566"</f>
        <v>02-66365566</v>
      </c>
      <c r="J58" s="2" t="str">
        <f t="shared" ref="J58:L59" si="7">"--"</f>
        <v>--</v>
      </c>
      <c r="K58" s="2" t="str">
        <f t="shared" si="7"/>
        <v>--</v>
      </c>
      <c r="L58" s="2" t="str">
        <f t="shared" si="7"/>
        <v>--</v>
      </c>
      <c r="M58" s="2" t="str">
        <f>"否"</f>
        <v>否</v>
      </c>
      <c r="N58" s="2"/>
      <c r="O58" s="2"/>
      <c r="P58" s="2"/>
      <c r="Q58" s="2"/>
    </row>
    <row r="59" spans="1:17" x14ac:dyDescent="0.3">
      <c r="A59" s="2" t="str">
        <f>"1413"</f>
        <v>1413</v>
      </c>
      <c r="B59" s="2" t="s">
        <v>6040</v>
      </c>
      <c r="C59" s="2" t="s">
        <v>638</v>
      </c>
      <c r="D59" s="2" t="s">
        <v>5999</v>
      </c>
      <c r="E59" s="2" t="s">
        <v>555</v>
      </c>
      <c r="F59" s="2" t="s">
        <v>41</v>
      </c>
      <c r="G59" s="2" t="str">
        <f>"2657-5859"</f>
        <v>2657-5859</v>
      </c>
      <c r="H59" s="2" t="s">
        <v>556</v>
      </c>
      <c r="I59" s="2" t="str">
        <f>"02-23711658"</f>
        <v>02-23711658</v>
      </c>
      <c r="J59" s="2" t="str">
        <f t="shared" si="7"/>
        <v>--</v>
      </c>
      <c r="K59" s="2" t="str">
        <f t="shared" si="7"/>
        <v>--</v>
      </c>
      <c r="L59" s="2" t="str">
        <f t="shared" si="7"/>
        <v>--</v>
      </c>
      <c r="M59" s="2" t="str">
        <f>"否"</f>
        <v>否</v>
      </c>
      <c r="N59" s="2"/>
      <c r="O59" s="2"/>
      <c r="P59" s="2"/>
      <c r="Q59" s="2"/>
    </row>
    <row r="60" spans="1:17" x14ac:dyDescent="0.3">
      <c r="A60" s="2" t="str">
        <f>"1414"</f>
        <v>1414</v>
      </c>
      <c r="B60" s="2" t="s">
        <v>557</v>
      </c>
      <c r="C60" s="2" t="s">
        <v>558</v>
      </c>
      <c r="D60" s="2" t="s">
        <v>6025</v>
      </c>
      <c r="E60" s="2" t="s">
        <v>6041</v>
      </c>
      <c r="F60" s="2" t="s">
        <v>41</v>
      </c>
      <c r="G60" s="2" t="str">
        <f>"(02)27001840"</f>
        <v>(02)27001840</v>
      </c>
      <c r="H60" s="2" t="s">
        <v>404</v>
      </c>
      <c r="I60" s="2" t="str">
        <f>"(02)66365566"</f>
        <v>(02)66365566</v>
      </c>
      <c r="J60" s="2" t="str">
        <f>"自105年05月07日至105年06月05日止"</f>
        <v>自105年05月07日至105年06月05日止</v>
      </c>
      <c r="K60" s="2" t="str">
        <f>"台灣集中保管結算所股份有限公司"</f>
        <v>台灣集中保管結算所股份有限公司</v>
      </c>
      <c r="L60" s="2" t="str">
        <f>"http://www.stockvote.com.tw"</f>
        <v>http://www.stockvote.com.tw</v>
      </c>
      <c r="M60" s="2" t="str">
        <f>"強制"</f>
        <v>強制</v>
      </c>
      <c r="N60" s="2"/>
      <c r="O60" s="2"/>
      <c r="P60" s="2"/>
      <c r="Q60" s="2"/>
    </row>
    <row r="61" spans="1:17" x14ac:dyDescent="0.3">
      <c r="A61" s="2" t="str">
        <f>"1416"</f>
        <v>1416</v>
      </c>
      <c r="B61" s="2" t="s">
        <v>288</v>
      </c>
      <c r="C61" s="2" t="s">
        <v>559</v>
      </c>
      <c r="D61" s="2" t="s">
        <v>6042</v>
      </c>
      <c r="E61" s="2" t="s">
        <v>560</v>
      </c>
      <c r="F61" s="2" t="s">
        <v>2</v>
      </c>
      <c r="G61" s="2" t="str">
        <f>"(02)27730088"</f>
        <v>(02)27730088</v>
      </c>
      <c r="H61" s="2" t="s">
        <v>6006</v>
      </c>
      <c r="I61" s="2" t="str">
        <f>"2586-5859"</f>
        <v>2586-5859</v>
      </c>
      <c r="J61" s="2" t="str">
        <f>"自105年05月31日至105年06月27日止"</f>
        <v>自105年05月31日至105年06月27日止</v>
      </c>
      <c r="K61" s="2" t="str">
        <f>"台灣集中保管結算所股份有限公司"</f>
        <v>台灣集中保管結算所股份有限公司</v>
      </c>
      <c r="L61" s="2" t="str">
        <f>"http://www.stockvote.com.tw"</f>
        <v>http://www.stockvote.com.tw</v>
      </c>
      <c r="M61" s="2" t="str">
        <f>"--"</f>
        <v>--</v>
      </c>
      <c r="N61" s="2"/>
      <c r="O61" s="2"/>
      <c r="P61" s="2"/>
      <c r="Q61" s="2"/>
    </row>
    <row r="62" spans="1:17" x14ac:dyDescent="0.3">
      <c r="A62" s="2" t="str">
        <f>"1417"</f>
        <v>1417</v>
      </c>
      <c r="B62" s="2" t="s">
        <v>218</v>
      </c>
      <c r="C62" s="2" t="s">
        <v>561</v>
      </c>
      <c r="D62" s="2" t="s">
        <v>6016</v>
      </c>
      <c r="E62" s="2" t="s">
        <v>562</v>
      </c>
      <c r="F62" s="2" t="s">
        <v>2</v>
      </c>
      <c r="G62" s="2" t="str">
        <f>"27113171"</f>
        <v>27113171</v>
      </c>
      <c r="H62" s="2" t="s">
        <v>563</v>
      </c>
      <c r="I62" s="2" t="str">
        <f>"25156421"</f>
        <v>25156421</v>
      </c>
      <c r="J62" s="2" t="str">
        <f>"自105年05月15日至105年06月11日止"</f>
        <v>自105年05月15日至105年06月11日止</v>
      </c>
      <c r="K62" s="2" t="str">
        <f>"台灣集中保管結算所股份有限公司"</f>
        <v>台灣集中保管結算所股份有限公司</v>
      </c>
      <c r="L62" s="2" t="str">
        <f>"http://www.stockvote.com.tw"</f>
        <v>http://www.stockvote.com.tw</v>
      </c>
      <c r="M62" s="2" t="str">
        <f>"強制"</f>
        <v>強制</v>
      </c>
      <c r="N62" s="2"/>
      <c r="O62" s="2"/>
      <c r="P62" s="2"/>
      <c r="Q62" s="2"/>
    </row>
    <row r="63" spans="1:17" x14ac:dyDescent="0.3">
      <c r="A63" s="2" t="str">
        <f>"1418"</f>
        <v>1418</v>
      </c>
      <c r="B63" s="2" t="s">
        <v>282</v>
      </c>
      <c r="C63" s="2" t="s">
        <v>564</v>
      </c>
      <c r="D63" s="2" t="s">
        <v>6010</v>
      </c>
      <c r="E63" s="2" t="s">
        <v>6043</v>
      </c>
      <c r="F63" s="2" t="s">
        <v>41</v>
      </c>
      <c r="G63" s="2" t="str">
        <f>"(02)23967768"</f>
        <v>(02)23967768</v>
      </c>
      <c r="H63" s="2" t="s">
        <v>565</v>
      </c>
      <c r="I63" s="2" t="str">
        <f>"(02)23611300"</f>
        <v>(02)23611300</v>
      </c>
      <c r="J63" s="2" t="str">
        <f>"--"</f>
        <v>--</v>
      </c>
      <c r="K63" s="2" t="str">
        <f>"--"</f>
        <v>--</v>
      </c>
      <c r="L63" s="2" t="str">
        <f>"--"</f>
        <v>--</v>
      </c>
      <c r="M63" s="2" t="str">
        <f>"--"</f>
        <v>--</v>
      </c>
      <c r="N63" s="2"/>
      <c r="O63" s="2"/>
      <c r="P63" s="2"/>
      <c r="Q63" s="2"/>
    </row>
    <row r="64" spans="1:17" x14ac:dyDescent="0.3">
      <c r="A64" s="2" t="str">
        <f>"1419"</f>
        <v>1419</v>
      </c>
      <c r="B64" s="2" t="s">
        <v>566</v>
      </c>
      <c r="C64" s="2" t="s">
        <v>567</v>
      </c>
      <c r="D64" s="2" t="s">
        <v>6021</v>
      </c>
      <c r="E64" s="2" t="s">
        <v>568</v>
      </c>
      <c r="F64" s="2" t="s">
        <v>2</v>
      </c>
      <c r="G64" s="2" t="str">
        <f>"(02)25071251"</f>
        <v>(02)25071251</v>
      </c>
      <c r="H64" s="2" t="s">
        <v>456</v>
      </c>
      <c r="I64" s="2" t="str">
        <f>"(02)25048125"</f>
        <v>(02)25048125</v>
      </c>
      <c r="J64" s="2" t="str">
        <f>"自105年05月14日至105年06月10日止"</f>
        <v>自105年05月14日至105年06月10日止</v>
      </c>
      <c r="K64" s="2" t="str">
        <f>"台灣集中保管結算所股份有限公司"</f>
        <v>台灣集中保管結算所股份有限公司</v>
      </c>
      <c r="L64" s="2" t="str">
        <f>"http://www.stockvote.com.tw"</f>
        <v>http://www.stockvote.com.tw</v>
      </c>
      <c r="M64" s="2" t="str">
        <f>"--"</f>
        <v>--</v>
      </c>
      <c r="N64" s="2"/>
      <c r="O64" s="2"/>
      <c r="P64" s="2"/>
      <c r="Q64" s="2"/>
    </row>
    <row r="65" spans="1:17" x14ac:dyDescent="0.3">
      <c r="A65" s="2" t="str">
        <f>"1423"</f>
        <v>1423</v>
      </c>
      <c r="B65" s="2" t="s">
        <v>569</v>
      </c>
      <c r="C65" s="2" t="s">
        <v>570</v>
      </c>
      <c r="D65" s="2" t="s">
        <v>6015</v>
      </c>
      <c r="E65" s="2" t="s">
        <v>571</v>
      </c>
      <c r="F65" s="2" t="s">
        <v>2</v>
      </c>
      <c r="G65" s="2" t="str">
        <f>"02-27811161"</f>
        <v>02-27811161</v>
      </c>
      <c r="H65" s="2" t="s">
        <v>404</v>
      </c>
      <c r="I65" s="2" t="str">
        <f>"02-66365566"</f>
        <v>02-66365566</v>
      </c>
      <c r="J65" s="2" t="str">
        <f t="shared" ref="J65:L66" si="8">"--"</f>
        <v>--</v>
      </c>
      <c r="K65" s="2" t="str">
        <f t="shared" si="8"/>
        <v>--</v>
      </c>
      <c r="L65" s="2" t="str">
        <f t="shared" si="8"/>
        <v>--</v>
      </c>
      <c r="M65" s="2" t="str">
        <f>"--"</f>
        <v>--</v>
      </c>
      <c r="N65" s="2"/>
      <c r="O65" s="2"/>
      <c r="P65" s="2"/>
      <c r="Q65" s="2"/>
    </row>
    <row r="66" spans="1:17" x14ac:dyDescent="0.3">
      <c r="A66" s="2" t="str">
        <f>"1432"</f>
        <v>1432</v>
      </c>
      <c r="B66" s="2" t="s">
        <v>572</v>
      </c>
      <c r="C66" s="2" t="s">
        <v>573</v>
      </c>
      <c r="D66" s="2" t="s">
        <v>6016</v>
      </c>
      <c r="E66" s="2" t="s">
        <v>6044</v>
      </c>
      <c r="F66" s="2" t="s">
        <v>41</v>
      </c>
      <c r="G66" s="2" t="str">
        <f>"02-87918000"</f>
        <v>02-87918000</v>
      </c>
      <c r="H66" s="2" t="s">
        <v>574</v>
      </c>
      <c r="I66" s="2" t="str">
        <f>"02-27186425"</f>
        <v>02-27186425</v>
      </c>
      <c r="J66" s="2" t="str">
        <f t="shared" si="8"/>
        <v>--</v>
      </c>
      <c r="K66" s="2" t="str">
        <f t="shared" si="8"/>
        <v>--</v>
      </c>
      <c r="L66" s="2" t="str">
        <f t="shared" si="8"/>
        <v>--</v>
      </c>
      <c r="M66" s="2" t="str">
        <f>"否"</f>
        <v>否</v>
      </c>
      <c r="N66" s="2"/>
      <c r="O66" s="2"/>
      <c r="P66" s="2"/>
      <c r="Q66" s="2"/>
    </row>
    <row r="67" spans="1:17" x14ac:dyDescent="0.3">
      <c r="A67" s="2"/>
      <c r="B67" s="2"/>
      <c r="C67" s="2"/>
      <c r="D67" s="2"/>
      <c r="E67" s="2"/>
      <c r="F67" s="2"/>
      <c r="G67" s="2"/>
      <c r="H67" s="2"/>
      <c r="I67" s="2"/>
      <c r="J67" s="2"/>
      <c r="K67" s="2"/>
      <c r="L67" s="2"/>
      <c r="M67" s="2"/>
      <c r="N67" s="2"/>
      <c r="O67" s="2"/>
      <c r="P67" s="2"/>
      <c r="Q67" s="2"/>
    </row>
    <row r="68" spans="1:17" x14ac:dyDescent="0.3">
      <c r="A68" s="2" t="str">
        <f>"1434"</f>
        <v>1434</v>
      </c>
      <c r="B68" s="2" t="s">
        <v>575</v>
      </c>
      <c r="C68" s="2" t="s">
        <v>576</v>
      </c>
      <c r="D68" s="2" t="s">
        <v>6010</v>
      </c>
      <c r="E68" s="2" t="s">
        <v>577</v>
      </c>
      <c r="F68" s="2" t="s">
        <v>2</v>
      </c>
      <c r="G68" s="2" t="str">
        <f>"(05)5573966"</f>
        <v>(05)5573966</v>
      </c>
      <c r="H68" s="2" t="s">
        <v>578</v>
      </c>
      <c r="I68" s="2" t="str">
        <f>"2718-9898"</f>
        <v>2718-9898</v>
      </c>
      <c r="J68" s="2" t="str">
        <f>"自105年05月24日至105年06月21日止"</f>
        <v>自105年05月24日至105年06月21日止</v>
      </c>
      <c r="K68" s="2" t="str">
        <f>"台灣集中保管結算所股份有限公司"</f>
        <v>台灣集中保管結算所股份有限公司</v>
      </c>
      <c r="L68" s="2" t="str">
        <f>"http://www.stockvote.com.tw"</f>
        <v>http://www.stockvote.com.tw</v>
      </c>
      <c r="M68" s="2" t="str">
        <f>"--"</f>
        <v>--</v>
      </c>
      <c r="N68" s="2"/>
      <c r="O68" s="2"/>
      <c r="P68" s="2"/>
      <c r="Q68" s="2"/>
    </row>
    <row r="69" spans="1:17" x14ac:dyDescent="0.3">
      <c r="A69" s="2" t="str">
        <f>"1435"</f>
        <v>1435</v>
      </c>
      <c r="B69" s="2" t="s">
        <v>579</v>
      </c>
      <c r="C69" s="2" t="s">
        <v>580</v>
      </c>
      <c r="D69" s="2" t="s">
        <v>6015</v>
      </c>
      <c r="E69" s="2" t="s">
        <v>581</v>
      </c>
      <c r="F69" s="2" t="s">
        <v>2</v>
      </c>
      <c r="G69" s="2" t="str">
        <f>"(02)82422881"</f>
        <v>(02)82422881</v>
      </c>
      <c r="H69" s="2" t="s">
        <v>582</v>
      </c>
      <c r="I69" s="2" t="str">
        <f>"(02)25865859"</f>
        <v>(02)25865859</v>
      </c>
      <c r="J69" s="2" t="str">
        <f t="shared" ref="J69:L70" si="9">"--"</f>
        <v>--</v>
      </c>
      <c r="K69" s="2" t="str">
        <f t="shared" si="9"/>
        <v>--</v>
      </c>
      <c r="L69" s="2" t="str">
        <f t="shared" si="9"/>
        <v>--</v>
      </c>
      <c r="M69" s="2" t="str">
        <f>"--"</f>
        <v>--</v>
      </c>
      <c r="N69" s="2"/>
      <c r="O69" s="2"/>
      <c r="P69" s="2"/>
      <c r="Q69" s="2"/>
    </row>
    <row r="70" spans="1:17" x14ac:dyDescent="0.3">
      <c r="A70" s="2" t="str">
        <f>"1436"</f>
        <v>1436</v>
      </c>
      <c r="B70" s="2" t="s">
        <v>583</v>
      </c>
      <c r="C70" s="2" t="s">
        <v>584</v>
      </c>
      <c r="D70" s="2" t="s">
        <v>6010</v>
      </c>
      <c r="E70" s="2" t="s">
        <v>6045</v>
      </c>
      <c r="F70" s="2" t="s">
        <v>41</v>
      </c>
      <c r="G70" s="2" t="str">
        <f>"(02)2397-3711"</f>
        <v>(02)2397-3711</v>
      </c>
      <c r="H70" s="2" t="s">
        <v>6046</v>
      </c>
      <c r="I70" s="2" t="str">
        <f>"(02)25865859"</f>
        <v>(02)25865859</v>
      </c>
      <c r="J70" s="2" t="str">
        <f t="shared" si="9"/>
        <v>--</v>
      </c>
      <c r="K70" s="2" t="str">
        <f t="shared" si="9"/>
        <v>--</v>
      </c>
      <c r="L70" s="2" t="str">
        <f t="shared" si="9"/>
        <v>--</v>
      </c>
      <c r="M70" s="2" t="str">
        <f>"否"</f>
        <v>否</v>
      </c>
      <c r="N70" s="2"/>
      <c r="O70" s="2"/>
      <c r="P70" s="2"/>
      <c r="Q70" s="2"/>
    </row>
    <row r="71" spans="1:17" x14ac:dyDescent="0.3">
      <c r="A71" s="2" t="str">
        <f>"1437"</f>
        <v>1437</v>
      </c>
      <c r="B71" s="2" t="s">
        <v>586</v>
      </c>
      <c r="C71" s="2" t="s">
        <v>587</v>
      </c>
      <c r="D71" s="2" t="s">
        <v>6000</v>
      </c>
      <c r="E71" s="2" t="s">
        <v>588</v>
      </c>
      <c r="F71" s="2" t="s">
        <v>2</v>
      </c>
      <c r="G71" s="2" t="str">
        <f>"2741-5000"</f>
        <v>2741-5000</v>
      </c>
      <c r="H71" s="2" t="s">
        <v>404</v>
      </c>
      <c r="I71" s="2" t="str">
        <f>"(02)6636-5566"</f>
        <v>(02)6636-5566</v>
      </c>
      <c r="J71" s="2" t="str">
        <f>"自105年05月21日至105年06月18日止"</f>
        <v>自105年05月21日至105年06月18日止</v>
      </c>
      <c r="K71" s="2" t="str">
        <f>"台灣集中保管結算所股份有限公司"</f>
        <v>台灣集中保管結算所股份有限公司</v>
      </c>
      <c r="L71" s="2" t="str">
        <f>"http://www.stockvote.com.tw"</f>
        <v>http://www.stockvote.com.tw</v>
      </c>
      <c r="M71" s="2" t="str">
        <f>"--"</f>
        <v>--</v>
      </c>
      <c r="N71" s="2"/>
      <c r="O71" s="2"/>
      <c r="P71" s="2"/>
      <c r="Q71" s="2"/>
    </row>
    <row r="72" spans="1:17" x14ac:dyDescent="0.3">
      <c r="A72" s="2" t="str">
        <f>"1438"</f>
        <v>1438</v>
      </c>
      <c r="B72" s="2" t="s">
        <v>589</v>
      </c>
      <c r="C72" s="2" t="s">
        <v>590</v>
      </c>
      <c r="D72" s="2" t="s">
        <v>6001</v>
      </c>
      <c r="E72" s="2" t="s">
        <v>591</v>
      </c>
      <c r="F72" s="2" t="s">
        <v>2</v>
      </c>
      <c r="G72" s="2" t="str">
        <f>"(03)4201778"</f>
        <v>(03)4201778</v>
      </c>
      <c r="H72" s="2" t="s">
        <v>451</v>
      </c>
      <c r="I72" s="2" t="str">
        <f>"2389-2999"</f>
        <v>2389-2999</v>
      </c>
      <c r="J72" s="2" t="str">
        <f t="shared" ref="J72:L73" si="10">"--"</f>
        <v>--</v>
      </c>
      <c r="K72" s="2" t="str">
        <f t="shared" si="10"/>
        <v>--</v>
      </c>
      <c r="L72" s="2" t="str">
        <f t="shared" si="10"/>
        <v>--</v>
      </c>
      <c r="M72" s="2" t="str">
        <f>"--"</f>
        <v>--</v>
      </c>
      <c r="N72" s="2"/>
      <c r="O72" s="2"/>
      <c r="P72" s="2"/>
      <c r="Q72" s="2"/>
    </row>
    <row r="73" spans="1:17" x14ac:dyDescent="0.3">
      <c r="A73" s="2" t="str">
        <f>"1439"</f>
        <v>1439</v>
      </c>
      <c r="B73" s="2" t="s">
        <v>592</v>
      </c>
      <c r="C73" s="2" t="s">
        <v>593</v>
      </c>
      <c r="D73" s="2" t="s">
        <v>6014</v>
      </c>
      <c r="E73" s="2" t="s">
        <v>6047</v>
      </c>
      <c r="F73" s="2" t="s">
        <v>2</v>
      </c>
      <c r="G73" s="2" t="str">
        <f>"(02)26591506"</f>
        <v>(02)26591506</v>
      </c>
      <c r="H73" s="2" t="s">
        <v>404</v>
      </c>
      <c r="I73" s="2" t="str">
        <f>"(02)6636-5566"</f>
        <v>(02)6636-5566</v>
      </c>
      <c r="J73" s="2" t="str">
        <f t="shared" si="10"/>
        <v>--</v>
      </c>
      <c r="K73" s="2" t="str">
        <f t="shared" si="10"/>
        <v>--</v>
      </c>
      <c r="L73" s="2" t="str">
        <f t="shared" si="10"/>
        <v>--</v>
      </c>
      <c r="M73" s="2" t="str">
        <f>"否"</f>
        <v>否</v>
      </c>
      <c r="N73" s="2"/>
      <c r="O73" s="2"/>
      <c r="P73" s="2"/>
      <c r="Q73" s="2"/>
    </row>
    <row r="74" spans="1:17" x14ac:dyDescent="0.3">
      <c r="A74" s="2" t="str">
        <f>"1440"</f>
        <v>1440</v>
      </c>
      <c r="B74" s="2" t="s">
        <v>594</v>
      </c>
      <c r="C74" s="2" t="s">
        <v>595</v>
      </c>
      <c r="D74" s="2" t="s">
        <v>6002</v>
      </c>
      <c r="E74" s="2" t="s">
        <v>596</v>
      </c>
      <c r="F74" s="2" t="s">
        <v>41</v>
      </c>
      <c r="G74" s="2" t="str">
        <f>"(06)2376161"</f>
        <v>(06)2376161</v>
      </c>
      <c r="H74" s="2" t="s">
        <v>444</v>
      </c>
      <c r="I74" s="2" t="str">
        <f>"(02)2746-3797"</f>
        <v>(02)2746-3797</v>
      </c>
      <c r="J74" s="2" t="str">
        <f>"自105年05月14日至105年06月12日止"</f>
        <v>自105年05月14日至105年06月12日止</v>
      </c>
      <c r="K74" s="2" t="str">
        <f>"台灣集中保管結算所股份有限公司"</f>
        <v>台灣集中保管結算所股份有限公司</v>
      </c>
      <c r="L74" s="2" t="str">
        <f>"http://www.stockvote.com.tw"</f>
        <v>http://www.stockvote.com.tw</v>
      </c>
      <c r="M74" s="2" t="str">
        <f>"--"</f>
        <v>--</v>
      </c>
      <c r="N74" s="2"/>
      <c r="O74" s="2"/>
      <c r="P74" s="2"/>
      <c r="Q74" s="2"/>
    </row>
    <row r="75" spans="1:17" x14ac:dyDescent="0.3">
      <c r="A75" s="2" t="str">
        <f>"1441"</f>
        <v>1441</v>
      </c>
      <c r="B75" s="2" t="s">
        <v>597</v>
      </c>
      <c r="C75" s="2" t="s">
        <v>598</v>
      </c>
      <c r="D75" s="2" t="s">
        <v>6028</v>
      </c>
      <c r="E75" s="2" t="s">
        <v>6048</v>
      </c>
      <c r="F75" s="2" t="s">
        <v>2</v>
      </c>
      <c r="G75" s="2" t="str">
        <f>"(02)27522244"</f>
        <v>(02)27522244</v>
      </c>
      <c r="H75" s="2" t="s">
        <v>411</v>
      </c>
      <c r="I75" s="2" t="str">
        <f>"(02)27023999"</f>
        <v>(02)27023999</v>
      </c>
      <c r="J75" s="2" t="str">
        <f t="shared" ref="J75:L77" si="11">"--"</f>
        <v>--</v>
      </c>
      <c r="K75" s="2" t="str">
        <f t="shared" si="11"/>
        <v>--</v>
      </c>
      <c r="L75" s="2" t="str">
        <f t="shared" si="11"/>
        <v>--</v>
      </c>
      <c r="M75" s="2" t="str">
        <f>"否"</f>
        <v>否</v>
      </c>
      <c r="N75" s="2"/>
      <c r="O75" s="2"/>
      <c r="P75" s="2"/>
      <c r="Q75" s="2"/>
    </row>
    <row r="76" spans="1:17" x14ac:dyDescent="0.3">
      <c r="A76" s="2" t="str">
        <f>"1442"</f>
        <v>1442</v>
      </c>
      <c r="B76" s="2" t="s">
        <v>599</v>
      </c>
      <c r="C76" s="2" t="s">
        <v>600</v>
      </c>
      <c r="D76" s="2" t="s">
        <v>6002</v>
      </c>
      <c r="E76" s="2" t="s">
        <v>601</v>
      </c>
      <c r="F76" s="2" t="s">
        <v>41</v>
      </c>
      <c r="G76" s="2" t="str">
        <f>"82922288"</f>
        <v>82922288</v>
      </c>
      <c r="H76" s="2" t="s">
        <v>456</v>
      </c>
      <c r="I76" s="2" t="str">
        <f>"25048125"</f>
        <v>25048125</v>
      </c>
      <c r="J76" s="2" t="str">
        <f t="shared" si="11"/>
        <v>--</v>
      </c>
      <c r="K76" s="2" t="str">
        <f t="shared" si="11"/>
        <v>--</v>
      </c>
      <c r="L76" s="2" t="str">
        <f t="shared" si="11"/>
        <v>--</v>
      </c>
      <c r="M76" s="2" t="str">
        <f>"--"</f>
        <v>--</v>
      </c>
      <c r="N76" s="2"/>
      <c r="O76" s="2"/>
      <c r="P76" s="2"/>
      <c r="Q76" s="2"/>
    </row>
    <row r="77" spans="1:17" x14ac:dyDescent="0.3">
      <c r="A77" s="2" t="str">
        <f>"1443"</f>
        <v>1443</v>
      </c>
      <c r="B77" s="2" t="s">
        <v>602</v>
      </c>
      <c r="C77" s="2" t="s">
        <v>603</v>
      </c>
      <c r="D77" s="2" t="s">
        <v>6021</v>
      </c>
      <c r="E77" s="2" t="s">
        <v>604</v>
      </c>
      <c r="F77" s="2" t="s">
        <v>41</v>
      </c>
      <c r="G77" s="2" t="str">
        <f>"(02)25557680"</f>
        <v>(02)25557680</v>
      </c>
      <c r="H77" s="2" t="s">
        <v>605</v>
      </c>
      <c r="I77" s="2" t="str">
        <f>"(02)27686668"</f>
        <v>(02)27686668</v>
      </c>
      <c r="J77" s="2" t="str">
        <f t="shared" si="11"/>
        <v>--</v>
      </c>
      <c r="K77" s="2" t="str">
        <f t="shared" si="11"/>
        <v>--</v>
      </c>
      <c r="L77" s="2" t="str">
        <f t="shared" si="11"/>
        <v>--</v>
      </c>
      <c r="M77" s="2" t="str">
        <f>"--"</f>
        <v>--</v>
      </c>
      <c r="N77" s="2"/>
      <c r="O77" s="2"/>
      <c r="P77" s="2"/>
      <c r="Q77" s="2"/>
    </row>
    <row r="78" spans="1:17" x14ac:dyDescent="0.3">
      <c r="A78" s="2" t="str">
        <f>"1444"</f>
        <v>1444</v>
      </c>
      <c r="B78" s="2" t="s">
        <v>606</v>
      </c>
      <c r="C78" s="2" t="s">
        <v>607</v>
      </c>
      <c r="D78" s="2" t="s">
        <v>6025</v>
      </c>
      <c r="E78" s="2" t="s">
        <v>608</v>
      </c>
      <c r="F78" s="2" t="s">
        <v>41</v>
      </c>
      <c r="G78" s="2" t="str">
        <f>"(02)2100-2888"</f>
        <v>(02)2100-2888</v>
      </c>
      <c r="H78" s="2" t="s">
        <v>456</v>
      </c>
      <c r="I78" s="2" t="str">
        <f>"(02)25048125"</f>
        <v>(02)25048125</v>
      </c>
      <c r="J78" s="2" t="str">
        <f>"自105年05月07日至105年06月05日止"</f>
        <v>自105年05月07日至105年06月05日止</v>
      </c>
      <c r="K78" s="2" t="str">
        <f>"台灣集中保管結算所股份有限公司"</f>
        <v>台灣集中保管結算所股份有限公司</v>
      </c>
      <c r="L78" s="2" t="str">
        <f>"http://www.stockvote.com.tw"</f>
        <v>http://www.stockvote.com.tw</v>
      </c>
      <c r="M78" s="2" t="str">
        <f>"強制"</f>
        <v>強制</v>
      </c>
      <c r="N78" s="2"/>
      <c r="O78" s="2"/>
      <c r="P78" s="2"/>
      <c r="Q78" s="2"/>
    </row>
    <row r="79" spans="1:17" x14ac:dyDescent="0.3">
      <c r="A79" s="2" t="str">
        <f>"1445"</f>
        <v>1445</v>
      </c>
      <c r="B79" s="2" t="s">
        <v>609</v>
      </c>
      <c r="C79" s="2" t="s">
        <v>610</v>
      </c>
      <c r="D79" s="2" t="s">
        <v>6024</v>
      </c>
      <c r="E79" s="2" t="s">
        <v>611</v>
      </c>
      <c r="F79" s="2" t="s">
        <v>2</v>
      </c>
      <c r="G79" s="2" t="str">
        <f>"2552-3977"</f>
        <v>2552-3977</v>
      </c>
      <c r="H79" s="2" t="s">
        <v>411</v>
      </c>
      <c r="I79" s="2" t="str">
        <f>"27023999"</f>
        <v>27023999</v>
      </c>
      <c r="J79" s="2" t="str">
        <f>"--"</f>
        <v>--</v>
      </c>
      <c r="K79" s="2" t="str">
        <f>"--"</f>
        <v>--</v>
      </c>
      <c r="L79" s="2" t="str">
        <f>"--"</f>
        <v>--</v>
      </c>
      <c r="M79" s="2" t="str">
        <f>"--"</f>
        <v>--</v>
      </c>
      <c r="N79" s="2"/>
      <c r="O79" s="2"/>
      <c r="P79" s="2"/>
      <c r="Q79" s="2"/>
    </row>
    <row r="80" spans="1:17" x14ac:dyDescent="0.3">
      <c r="A80" s="2" t="str">
        <f>"1446"</f>
        <v>1446</v>
      </c>
      <c r="B80" s="2" t="s">
        <v>612</v>
      </c>
      <c r="C80" s="2" t="s">
        <v>613</v>
      </c>
      <c r="D80" s="2" t="s">
        <v>6024</v>
      </c>
      <c r="E80" s="2" t="s">
        <v>614</v>
      </c>
      <c r="F80" s="2" t="s">
        <v>2</v>
      </c>
      <c r="G80" s="2" t="str">
        <f>"06-2333133"</f>
        <v>06-2333133</v>
      </c>
      <c r="H80" s="2" t="s">
        <v>6006</v>
      </c>
      <c r="I80" s="2" t="str">
        <f>"02-25865859"</f>
        <v>02-25865859</v>
      </c>
      <c r="J80" s="2" t="str">
        <f>"--"</f>
        <v>--</v>
      </c>
      <c r="K80" s="2" t="str">
        <f>"--"</f>
        <v>--</v>
      </c>
      <c r="L80" s="2" t="str">
        <f>"--"</f>
        <v>--</v>
      </c>
      <c r="M80" s="2" t="str">
        <f>"否"</f>
        <v>否</v>
      </c>
      <c r="N80" s="2"/>
      <c r="O80" s="2"/>
      <c r="P80" s="2"/>
      <c r="Q80" s="2"/>
    </row>
    <row r="81" spans="1:17" x14ac:dyDescent="0.3">
      <c r="A81" s="2" t="str">
        <f>"1447"</f>
        <v>1447</v>
      </c>
      <c r="B81" s="2" t="s">
        <v>615</v>
      </c>
      <c r="C81" s="2" t="s">
        <v>616</v>
      </c>
      <c r="D81" s="2" t="s">
        <v>6025</v>
      </c>
      <c r="E81" s="2" t="s">
        <v>617</v>
      </c>
      <c r="F81" s="2" t="s">
        <v>2</v>
      </c>
      <c r="G81" s="2" t="str">
        <f>"(02)2100-2888"</f>
        <v>(02)2100-2888</v>
      </c>
      <c r="H81" s="2" t="s">
        <v>456</v>
      </c>
      <c r="I81" s="2" t="str">
        <f>"(02)2504-8125"</f>
        <v>(02)2504-8125</v>
      </c>
      <c r="J81" s="2" t="str">
        <f>"自105年05月07日至105年06月05日止"</f>
        <v>自105年05月07日至105年06月05日止</v>
      </c>
      <c r="K81" s="2" t="str">
        <f>"台灣集中保管結算所股份有限公司"</f>
        <v>台灣集中保管結算所股份有限公司</v>
      </c>
      <c r="L81" s="2" t="str">
        <f>"http://www.stockvote.com.tw"</f>
        <v>http://www.stockvote.com.tw</v>
      </c>
      <c r="M81" s="2" t="str">
        <f>"強制"</f>
        <v>強制</v>
      </c>
      <c r="N81" s="2"/>
      <c r="O81" s="2"/>
      <c r="P81" s="2"/>
      <c r="Q81" s="2"/>
    </row>
    <row r="82" spans="1:17" x14ac:dyDescent="0.3">
      <c r="A82" s="2" t="str">
        <f>"1449"</f>
        <v>1449</v>
      </c>
      <c r="B82" s="2" t="s">
        <v>618</v>
      </c>
      <c r="C82" s="2" t="s">
        <v>619</v>
      </c>
      <c r="D82" s="2" t="s">
        <v>6007</v>
      </c>
      <c r="E82" s="2" t="s">
        <v>620</v>
      </c>
      <c r="F82" s="2" t="s">
        <v>2</v>
      </c>
      <c r="G82" s="2" t="str">
        <f>"(06)7029961"</f>
        <v>(06)7029961</v>
      </c>
      <c r="H82" s="2" t="s">
        <v>431</v>
      </c>
      <c r="I82" s="2" t="str">
        <f>"(02)27023999"</f>
        <v>(02)27023999</v>
      </c>
      <c r="J82" s="2" t="str">
        <f>"--"</f>
        <v>--</v>
      </c>
      <c r="K82" s="2" t="str">
        <f>"--"</f>
        <v>--</v>
      </c>
      <c r="L82" s="2" t="str">
        <f>"--"</f>
        <v>--</v>
      </c>
      <c r="M82" s="2" t="str">
        <f>"--"</f>
        <v>--</v>
      </c>
      <c r="N82" s="2"/>
      <c r="O82" s="2"/>
      <c r="P82" s="2"/>
      <c r="Q82" s="2"/>
    </row>
    <row r="83" spans="1:17" x14ac:dyDescent="0.3">
      <c r="A83" s="2" t="str">
        <f>"1451"</f>
        <v>1451</v>
      </c>
      <c r="B83" s="2" t="s">
        <v>621</v>
      </c>
      <c r="C83" s="2" t="s">
        <v>622</v>
      </c>
      <c r="D83" s="2" t="s">
        <v>6021</v>
      </c>
      <c r="E83" s="2" t="s">
        <v>623</v>
      </c>
      <c r="F83" s="2" t="s">
        <v>2</v>
      </c>
      <c r="G83" s="2" t="str">
        <f>"(037)728711"</f>
        <v>(037)728711</v>
      </c>
      <c r="H83" s="2" t="s">
        <v>431</v>
      </c>
      <c r="I83" s="2" t="str">
        <f>"(02)27023999"</f>
        <v>(02)27023999</v>
      </c>
      <c r="J83" s="2" t="str">
        <f>"自105年05月14日至105年06月10日止"</f>
        <v>自105年05月14日至105年06月10日止</v>
      </c>
      <c r="K83" s="2" t="str">
        <f>"台灣集中保管結算所股份有限公司"</f>
        <v>台灣集中保管結算所股份有限公司</v>
      </c>
      <c r="L83" s="2" t="str">
        <f>"http://www.stockvote.com.tw"</f>
        <v>http://www.stockvote.com.tw</v>
      </c>
      <c r="M83" s="2" t="str">
        <f>"強制"</f>
        <v>強制</v>
      </c>
      <c r="N83" s="2"/>
      <c r="O83" s="2"/>
      <c r="P83" s="2"/>
      <c r="Q83" s="2"/>
    </row>
    <row r="84" spans="1:17" x14ac:dyDescent="0.3">
      <c r="A84" s="2" t="str">
        <f>"1452"</f>
        <v>1452</v>
      </c>
      <c r="B84" s="2" t="s">
        <v>624</v>
      </c>
      <c r="C84" s="2" t="s">
        <v>625</v>
      </c>
      <c r="D84" s="2" t="s">
        <v>6004</v>
      </c>
      <c r="E84" s="2" t="s">
        <v>6049</v>
      </c>
      <c r="F84" s="2" t="s">
        <v>2</v>
      </c>
      <c r="G84" s="2" t="str">
        <f>"02-25521191"</f>
        <v>02-25521191</v>
      </c>
      <c r="H84" s="2" t="s">
        <v>431</v>
      </c>
      <c r="I84" s="2" t="str">
        <f>"02-27023999"</f>
        <v>02-27023999</v>
      </c>
      <c r="J84" s="2" t="str">
        <f t="shared" ref="J84:M85" si="12">"--"</f>
        <v>--</v>
      </c>
      <c r="K84" s="2" t="str">
        <f t="shared" si="12"/>
        <v>--</v>
      </c>
      <c r="L84" s="2" t="str">
        <f t="shared" si="12"/>
        <v>--</v>
      </c>
      <c r="M84" s="2" t="str">
        <f t="shared" si="12"/>
        <v>--</v>
      </c>
      <c r="N84" s="2"/>
      <c r="O84" s="2"/>
      <c r="P84" s="2"/>
      <c r="Q84" s="2"/>
    </row>
    <row r="85" spans="1:17" x14ac:dyDescent="0.3">
      <c r="A85" s="2" t="str">
        <f>"1453"</f>
        <v>1453</v>
      </c>
      <c r="B85" s="2" t="s">
        <v>626</v>
      </c>
      <c r="C85" s="2" t="s">
        <v>627</v>
      </c>
      <c r="D85" s="2" t="s">
        <v>6002</v>
      </c>
      <c r="E85" s="2" t="s">
        <v>628</v>
      </c>
      <c r="F85" s="2" t="s">
        <v>2</v>
      </c>
      <c r="G85" s="2" t="str">
        <f>"27069999"</f>
        <v>27069999</v>
      </c>
      <c r="H85" s="2" t="s">
        <v>6006</v>
      </c>
      <c r="I85" s="2" t="str">
        <f>"27175566"</f>
        <v>27175566</v>
      </c>
      <c r="J85" s="2" t="str">
        <f t="shared" si="12"/>
        <v>--</v>
      </c>
      <c r="K85" s="2" t="str">
        <f t="shared" si="12"/>
        <v>--</v>
      </c>
      <c r="L85" s="2" t="str">
        <f t="shared" si="12"/>
        <v>--</v>
      </c>
      <c r="M85" s="2" t="str">
        <f t="shared" si="12"/>
        <v>--</v>
      </c>
      <c r="N85" s="2"/>
      <c r="O85" s="2"/>
      <c r="P85" s="2"/>
      <c r="Q85" s="2"/>
    </row>
    <row r="86" spans="1:17" x14ac:dyDescent="0.3">
      <c r="A86" s="2" t="str">
        <f>"1454"</f>
        <v>1454</v>
      </c>
      <c r="B86" s="2" t="s">
        <v>141</v>
      </c>
      <c r="C86" s="2" t="s">
        <v>629</v>
      </c>
      <c r="D86" s="2" t="s">
        <v>6020</v>
      </c>
      <c r="E86" s="2" t="s">
        <v>630</v>
      </c>
      <c r="F86" s="2" t="s">
        <v>41</v>
      </c>
      <c r="G86" s="2" t="str">
        <f>"02-25568282"</f>
        <v>02-25568282</v>
      </c>
      <c r="H86" s="2" t="s">
        <v>631</v>
      </c>
      <c r="I86" s="2" t="str">
        <f>"02-25419977"</f>
        <v>02-25419977</v>
      </c>
      <c r="J86" s="2" t="str">
        <f>"--"</f>
        <v>--</v>
      </c>
      <c r="K86" s="2" t="str">
        <f>"--"</f>
        <v>--</v>
      </c>
      <c r="L86" s="2" t="str">
        <f>"--"</f>
        <v>--</v>
      </c>
      <c r="M86" s="2" t="str">
        <f>"否"</f>
        <v>否</v>
      </c>
      <c r="N86" s="2"/>
      <c r="O86" s="2"/>
      <c r="P86" s="2"/>
      <c r="Q86" s="2"/>
    </row>
    <row r="87" spans="1:17" x14ac:dyDescent="0.3">
      <c r="A87" s="2" t="str">
        <f>"1455"</f>
        <v>1455</v>
      </c>
      <c r="B87" s="2" t="s">
        <v>632</v>
      </c>
      <c r="C87" s="2" t="s">
        <v>633</v>
      </c>
      <c r="D87" s="2" t="s">
        <v>6001</v>
      </c>
      <c r="E87" s="2" t="s">
        <v>634</v>
      </c>
      <c r="F87" s="2" t="s">
        <v>41</v>
      </c>
      <c r="G87" s="2" t="str">
        <f>"02-25557151"</f>
        <v>02-25557151</v>
      </c>
      <c r="H87" s="2" t="s">
        <v>411</v>
      </c>
      <c r="I87" s="2" t="str">
        <f>"02-27023999"</f>
        <v>02-27023999</v>
      </c>
      <c r="J87" s="2" t="str">
        <f>"自105年05月28日至105年06月24日止"</f>
        <v>自105年05月28日至105年06月24日止</v>
      </c>
      <c r="K87" s="2" t="str">
        <f>"台灣集中保管結算所股份有限公司"</f>
        <v>台灣集中保管結算所股份有限公司</v>
      </c>
      <c r="L87" s="2" t="str">
        <f>"http://www.stockvote.com.tw"</f>
        <v>http://www.stockvote.com.tw</v>
      </c>
      <c r="M87" s="2" t="str">
        <f>"強制"</f>
        <v>強制</v>
      </c>
      <c r="N87" s="2"/>
      <c r="O87" s="2"/>
      <c r="P87" s="2"/>
      <c r="Q87" s="2"/>
    </row>
    <row r="88" spans="1:17" x14ac:dyDescent="0.3">
      <c r="A88" s="2" t="str">
        <f>"1456"</f>
        <v>1456</v>
      </c>
      <c r="B88" s="2" t="s">
        <v>635</v>
      </c>
      <c r="C88" s="2" t="s">
        <v>636</v>
      </c>
      <c r="D88" s="2" t="s">
        <v>6004</v>
      </c>
      <c r="E88" s="2" t="s">
        <v>6050</v>
      </c>
      <c r="F88" s="2" t="s">
        <v>41</v>
      </c>
      <c r="G88" s="2" t="str">
        <f>"02-87978780"</f>
        <v>02-87978780</v>
      </c>
      <c r="H88" s="2" t="s">
        <v>431</v>
      </c>
      <c r="I88" s="2" t="str">
        <f>"(02)27035000"</f>
        <v>(02)27035000</v>
      </c>
      <c r="J88" s="2" t="str">
        <f>"--"</f>
        <v>--</v>
      </c>
      <c r="K88" s="2" t="str">
        <f>"--"</f>
        <v>--</v>
      </c>
      <c r="L88" s="2" t="str">
        <f>"--"</f>
        <v>--</v>
      </c>
      <c r="M88" s="2" t="str">
        <f>"否"</f>
        <v>否</v>
      </c>
      <c r="N88" s="2"/>
      <c r="O88" s="2"/>
      <c r="P88" s="2"/>
      <c r="Q88" s="2"/>
    </row>
    <row r="89" spans="1:17" x14ac:dyDescent="0.3">
      <c r="A89" s="2" t="str">
        <f>"1457"</f>
        <v>1457</v>
      </c>
      <c r="B89" s="2" t="s">
        <v>637</v>
      </c>
      <c r="C89" s="2" t="s">
        <v>638</v>
      </c>
      <c r="D89" s="2" t="s">
        <v>6010</v>
      </c>
      <c r="E89" s="2" t="s">
        <v>639</v>
      </c>
      <c r="F89" s="2" t="s">
        <v>2</v>
      </c>
      <c r="G89" s="2" t="str">
        <f>"(02)26575859"</f>
        <v>(02)26575859</v>
      </c>
      <c r="H89" s="2" t="s">
        <v>640</v>
      </c>
      <c r="I89" s="2" t="str">
        <f>"02-2371-1658"</f>
        <v>02-2371-1658</v>
      </c>
      <c r="J89" s="2" t="str">
        <f>"自105年05月25日至105年06月21日止"</f>
        <v>自105年05月25日至105年06月21日止</v>
      </c>
      <c r="K89" s="2" t="str">
        <f>"台灣集中保管結算所股份有限公司"</f>
        <v>台灣集中保管結算所股份有限公司</v>
      </c>
      <c r="L89" s="2" t="str">
        <f>"http://www.stockvote.com.tw"</f>
        <v>http://www.stockvote.com.tw</v>
      </c>
      <c r="M89" s="2" t="str">
        <f>"強制"</f>
        <v>強制</v>
      </c>
      <c r="N89" s="2"/>
      <c r="O89" s="2"/>
      <c r="P89" s="2"/>
      <c r="Q89" s="2"/>
    </row>
    <row r="90" spans="1:17" x14ac:dyDescent="0.3">
      <c r="A90" s="2" t="str">
        <f>"1459"</f>
        <v>1459</v>
      </c>
      <c r="B90" s="2" t="s">
        <v>641</v>
      </c>
      <c r="C90" s="2" t="s">
        <v>642</v>
      </c>
      <c r="D90" s="2" t="s">
        <v>6010</v>
      </c>
      <c r="E90" s="2" t="s">
        <v>643</v>
      </c>
      <c r="F90" s="2" t="s">
        <v>2</v>
      </c>
      <c r="G90" s="2" t="str">
        <f>"(02)2552-1255"</f>
        <v>(02)2552-1255</v>
      </c>
      <c r="H90" s="2" t="s">
        <v>644</v>
      </c>
      <c r="I90" s="2" t="str">
        <f>"(02)2361-1300"</f>
        <v>(02)2361-1300</v>
      </c>
      <c r="J90" s="2" t="str">
        <f>"自105年05月25日至105年06月21日止"</f>
        <v>自105年05月25日至105年06月21日止</v>
      </c>
      <c r="K90" s="2" t="str">
        <f>"台灣集中保管結算所股份有限公司"</f>
        <v>台灣集中保管結算所股份有限公司</v>
      </c>
      <c r="L90" s="2" t="str">
        <f>"http://www.stockvote.com.tw"</f>
        <v>http://www.stockvote.com.tw</v>
      </c>
      <c r="M90" s="2" t="str">
        <f>"強制"</f>
        <v>強制</v>
      </c>
      <c r="N90" s="2"/>
      <c r="O90" s="2"/>
      <c r="P90" s="2"/>
      <c r="Q90" s="2"/>
    </row>
    <row r="91" spans="1:17" x14ac:dyDescent="0.3">
      <c r="A91" s="2" t="str">
        <f>"1460"</f>
        <v>1460</v>
      </c>
      <c r="B91" s="2" t="s">
        <v>16</v>
      </c>
      <c r="C91" s="2" t="s">
        <v>645</v>
      </c>
      <c r="D91" s="2" t="s">
        <v>6051</v>
      </c>
      <c r="E91" s="2" t="s">
        <v>646</v>
      </c>
      <c r="F91" s="2" t="s">
        <v>2</v>
      </c>
      <c r="G91" s="2" t="str">
        <f>"(06)5782561"</f>
        <v>(06)5782561</v>
      </c>
      <c r="H91" s="2" t="s">
        <v>647</v>
      </c>
      <c r="I91" s="2" t="str">
        <f>"02-23618608"</f>
        <v>02-23618608</v>
      </c>
      <c r="J91" s="2" t="str">
        <f>"自105年05月04日至105年05月31日止"</f>
        <v>自105年05月04日至105年05月31日止</v>
      </c>
      <c r="K91" s="2" t="str">
        <f>"台灣集中保管結算所股份有限公司"</f>
        <v>台灣集中保管結算所股份有限公司</v>
      </c>
      <c r="L91" s="2" t="str">
        <f>"http://www.stockvote.com.tw"</f>
        <v>http://www.stockvote.com.tw</v>
      </c>
      <c r="M91" s="2" t="str">
        <f>"強制"</f>
        <v>強制</v>
      </c>
      <c r="N91" s="2"/>
      <c r="O91" s="2"/>
      <c r="P91" s="2"/>
      <c r="Q91" s="2"/>
    </row>
    <row r="92" spans="1:17" x14ac:dyDescent="0.3">
      <c r="A92" s="2" t="str">
        <f>"1463"</f>
        <v>1463</v>
      </c>
      <c r="B92" s="2" t="s">
        <v>648</v>
      </c>
      <c r="C92" s="2" t="s">
        <v>649</v>
      </c>
      <c r="D92" s="2" t="s">
        <v>6020</v>
      </c>
      <c r="E92" s="2" t="s">
        <v>6052</v>
      </c>
      <c r="F92" s="2" t="s">
        <v>41</v>
      </c>
      <c r="G92" s="2" t="str">
        <f>"(02)25556866"</f>
        <v>(02)25556866</v>
      </c>
      <c r="H92" s="2" t="s">
        <v>456</v>
      </c>
      <c r="I92" s="2" t="str">
        <f>"(02)2504-8125"</f>
        <v>(02)2504-8125</v>
      </c>
      <c r="J92" s="2" t="str">
        <f>"--"</f>
        <v>--</v>
      </c>
      <c r="K92" s="2" t="str">
        <f>"--"</f>
        <v>--</v>
      </c>
      <c r="L92" s="2" t="str">
        <f>"--"</f>
        <v>--</v>
      </c>
      <c r="M92" s="2" t="str">
        <f>"--"</f>
        <v>--</v>
      </c>
      <c r="N92" s="2"/>
      <c r="O92" s="2"/>
      <c r="P92" s="2"/>
      <c r="Q92" s="2"/>
    </row>
    <row r="93" spans="1:17" x14ac:dyDescent="0.3">
      <c r="A93" s="2" t="str">
        <f>"1464"</f>
        <v>1464</v>
      </c>
      <c r="B93" s="2" t="s">
        <v>650</v>
      </c>
      <c r="C93" s="2" t="s">
        <v>651</v>
      </c>
      <c r="D93" s="2" t="s">
        <v>6004</v>
      </c>
      <c r="E93" s="2" t="s">
        <v>652</v>
      </c>
      <c r="F93" s="2" t="s">
        <v>2</v>
      </c>
      <c r="G93" s="2" t="str">
        <f>"06-5992866"</f>
        <v>06-5992866</v>
      </c>
      <c r="H93" s="2" t="s">
        <v>653</v>
      </c>
      <c r="I93" s="2" t="str">
        <f>"(02)2768-6668"</f>
        <v>(02)2768-6668</v>
      </c>
      <c r="J93" s="2" t="str">
        <f>"自105年05月18日至105年06月14日止"</f>
        <v>自105年05月18日至105年06月14日止</v>
      </c>
      <c r="K93" s="2" t="str">
        <f>"台灣集中保管結算所股份有限公司"</f>
        <v>台灣集中保管結算所股份有限公司</v>
      </c>
      <c r="L93" s="2" t="str">
        <f>"http://www.stockvote.com.tw"</f>
        <v>http://www.stockvote.com.tw</v>
      </c>
      <c r="M93" s="2" t="str">
        <f>"強制"</f>
        <v>強制</v>
      </c>
      <c r="N93" s="2"/>
      <c r="O93" s="2"/>
      <c r="P93" s="2"/>
      <c r="Q93" s="2"/>
    </row>
    <row r="94" spans="1:17" x14ac:dyDescent="0.3">
      <c r="A94" s="2" t="str">
        <f>"1465"</f>
        <v>1465</v>
      </c>
      <c r="B94" s="2" t="s">
        <v>654</v>
      </c>
      <c r="C94" s="2" t="s">
        <v>655</v>
      </c>
      <c r="D94" s="2" t="s">
        <v>6024</v>
      </c>
      <c r="E94" s="2" t="s">
        <v>6053</v>
      </c>
      <c r="F94" s="2" t="s">
        <v>2</v>
      </c>
      <c r="G94" s="2" t="str">
        <f>"02-25522174"</f>
        <v>02-25522174</v>
      </c>
      <c r="H94" s="2" t="s">
        <v>456</v>
      </c>
      <c r="I94" s="2" t="str">
        <f>"02-25048125"</f>
        <v>02-25048125</v>
      </c>
      <c r="J94" s="2" t="str">
        <f t="shared" ref="J94:L99" si="13">"--"</f>
        <v>--</v>
      </c>
      <c r="K94" s="2" t="str">
        <f t="shared" si="13"/>
        <v>--</v>
      </c>
      <c r="L94" s="2" t="str">
        <f t="shared" si="13"/>
        <v>--</v>
      </c>
      <c r="M94" s="2" t="str">
        <f>"否"</f>
        <v>否</v>
      </c>
      <c r="N94" s="2"/>
      <c r="O94" s="2"/>
      <c r="P94" s="2"/>
      <c r="Q94" s="2"/>
    </row>
    <row r="95" spans="1:17" x14ac:dyDescent="0.3">
      <c r="A95" s="2" t="str">
        <f>"1466"</f>
        <v>1466</v>
      </c>
      <c r="B95" s="2" t="s">
        <v>29</v>
      </c>
      <c r="C95" s="2" t="s">
        <v>656</v>
      </c>
      <c r="D95" s="2" t="s">
        <v>6034</v>
      </c>
      <c r="E95" s="2" t="s">
        <v>656</v>
      </c>
      <c r="F95" s="2" t="s">
        <v>2</v>
      </c>
      <c r="G95" s="2" t="str">
        <f>"04-8652321"</f>
        <v>04-8652321</v>
      </c>
      <c r="H95" s="2" t="s">
        <v>451</v>
      </c>
      <c r="I95" s="2" t="str">
        <f>"02-2314-8800"</f>
        <v>02-2314-8800</v>
      </c>
      <c r="J95" s="2" t="str">
        <f t="shared" si="13"/>
        <v>--</v>
      </c>
      <c r="K95" s="2" t="str">
        <f t="shared" si="13"/>
        <v>--</v>
      </c>
      <c r="L95" s="2" t="str">
        <f t="shared" si="13"/>
        <v>--</v>
      </c>
      <c r="M95" s="2" t="str">
        <f>"否"</f>
        <v>否</v>
      </c>
      <c r="N95" s="2"/>
      <c r="O95" s="2"/>
      <c r="P95" s="2"/>
      <c r="Q95" s="2"/>
    </row>
    <row r="96" spans="1:17" x14ac:dyDescent="0.3">
      <c r="A96" s="2" t="str">
        <f>"1467"</f>
        <v>1467</v>
      </c>
      <c r="B96" s="2" t="s">
        <v>657</v>
      </c>
      <c r="C96" s="2" t="s">
        <v>658</v>
      </c>
      <c r="D96" s="2" t="s">
        <v>6000</v>
      </c>
      <c r="E96" s="2" t="s">
        <v>6054</v>
      </c>
      <c r="F96" s="2" t="s">
        <v>41</v>
      </c>
      <c r="G96" s="2" t="str">
        <f>"06-2792011"</f>
        <v>06-2792011</v>
      </c>
      <c r="H96" s="2" t="s">
        <v>659</v>
      </c>
      <c r="I96" s="2" t="str">
        <f>"02-25419977"</f>
        <v>02-25419977</v>
      </c>
      <c r="J96" s="2" t="str">
        <f t="shared" si="13"/>
        <v>--</v>
      </c>
      <c r="K96" s="2" t="str">
        <f t="shared" si="13"/>
        <v>--</v>
      </c>
      <c r="L96" s="2" t="str">
        <f t="shared" si="13"/>
        <v>--</v>
      </c>
      <c r="M96" s="2" t="str">
        <f>"--"</f>
        <v>--</v>
      </c>
      <c r="N96" s="2"/>
      <c r="O96" s="2"/>
      <c r="P96" s="2"/>
      <c r="Q96" s="2"/>
    </row>
    <row r="97" spans="1:17" x14ac:dyDescent="0.3">
      <c r="A97" s="2" t="str">
        <f>"1468"</f>
        <v>1468</v>
      </c>
      <c r="B97" s="2" t="s">
        <v>660</v>
      </c>
      <c r="C97" s="2" t="s">
        <v>661</v>
      </c>
      <c r="D97" s="2" t="s">
        <v>6015</v>
      </c>
      <c r="E97" s="2" t="s">
        <v>6055</v>
      </c>
      <c r="F97" s="2" t="s">
        <v>2</v>
      </c>
      <c r="G97" s="2" t="str">
        <f>"(02)2741-9299"</f>
        <v>(02)2741-9299</v>
      </c>
      <c r="H97" s="2" t="s">
        <v>451</v>
      </c>
      <c r="I97" s="2" t="str">
        <f>"(02)2389-2999"</f>
        <v>(02)2389-2999</v>
      </c>
      <c r="J97" s="2" t="str">
        <f t="shared" si="13"/>
        <v>--</v>
      </c>
      <c r="K97" s="2" t="str">
        <f t="shared" si="13"/>
        <v>--</v>
      </c>
      <c r="L97" s="2" t="str">
        <f t="shared" si="13"/>
        <v>--</v>
      </c>
      <c r="M97" s="2" t="str">
        <f>"否"</f>
        <v>否</v>
      </c>
      <c r="N97" s="2"/>
      <c r="O97" s="2"/>
      <c r="P97" s="2"/>
      <c r="Q97" s="2"/>
    </row>
    <row r="98" spans="1:17" x14ac:dyDescent="0.3">
      <c r="A98" s="2" t="str">
        <f>"1469"</f>
        <v>1469</v>
      </c>
      <c r="B98" s="2" t="s">
        <v>662</v>
      </c>
      <c r="C98" s="2" t="s">
        <v>663</v>
      </c>
      <c r="D98" s="2" t="s">
        <v>6007</v>
      </c>
      <c r="E98" s="2" t="s">
        <v>664</v>
      </c>
      <c r="F98" s="2" t="s">
        <v>41</v>
      </c>
      <c r="G98" s="2" t="str">
        <f>"(02)2514-0077"</f>
        <v>(02)2514-0077</v>
      </c>
      <c r="H98" s="2" t="s">
        <v>6006</v>
      </c>
      <c r="I98" s="2" t="str">
        <f>"02-2586-5859"</f>
        <v>02-2586-5859</v>
      </c>
      <c r="J98" s="2" t="str">
        <f t="shared" si="13"/>
        <v>--</v>
      </c>
      <c r="K98" s="2" t="str">
        <f t="shared" si="13"/>
        <v>--</v>
      </c>
      <c r="L98" s="2" t="str">
        <f t="shared" si="13"/>
        <v>--</v>
      </c>
      <c r="M98" s="2" t="str">
        <f>"否"</f>
        <v>否</v>
      </c>
      <c r="N98" s="2"/>
      <c r="O98" s="2"/>
      <c r="P98" s="2"/>
      <c r="Q98" s="2"/>
    </row>
    <row r="99" spans="1:17" x14ac:dyDescent="0.3">
      <c r="A99" s="2" t="str">
        <f>"1470"</f>
        <v>1470</v>
      </c>
      <c r="B99" s="2" t="s">
        <v>665</v>
      </c>
      <c r="C99" s="2" t="s">
        <v>666</v>
      </c>
      <c r="D99" s="2" t="s">
        <v>6014</v>
      </c>
      <c r="E99" s="2" t="s">
        <v>6056</v>
      </c>
      <c r="F99" s="2" t="s">
        <v>2</v>
      </c>
      <c r="G99" s="2" t="str">
        <f>"02-25503266"</f>
        <v>02-25503266</v>
      </c>
      <c r="H99" s="2" t="s">
        <v>667</v>
      </c>
      <c r="I99" s="2" t="str">
        <f>"02-23611300"</f>
        <v>02-23611300</v>
      </c>
      <c r="J99" s="2" t="str">
        <f t="shared" si="13"/>
        <v>--</v>
      </c>
      <c r="K99" s="2" t="str">
        <f t="shared" si="13"/>
        <v>--</v>
      </c>
      <c r="L99" s="2" t="str">
        <f t="shared" si="13"/>
        <v>--</v>
      </c>
      <c r="M99" s="2" t="str">
        <f>"--"</f>
        <v>--</v>
      </c>
      <c r="N99" s="2"/>
      <c r="O99" s="2"/>
      <c r="P99" s="2"/>
      <c r="Q99" s="2"/>
    </row>
    <row r="100" spans="1:17" x14ac:dyDescent="0.3">
      <c r="A100" s="2" t="str">
        <f>"1471"</f>
        <v>1471</v>
      </c>
      <c r="B100" s="2" t="s">
        <v>189</v>
      </c>
      <c r="C100" s="2" t="s">
        <v>668</v>
      </c>
      <c r="D100" s="2" t="s">
        <v>6042</v>
      </c>
      <c r="E100" s="2" t="s">
        <v>6057</v>
      </c>
      <c r="F100" s="2" t="s">
        <v>41</v>
      </c>
      <c r="G100" s="2" t="str">
        <f>"(02)2299-1907"</f>
        <v>(02)2299-1907</v>
      </c>
      <c r="H100" s="2" t="s">
        <v>556</v>
      </c>
      <c r="I100" s="2" t="str">
        <f>"(02)23711658"</f>
        <v>(02)23711658</v>
      </c>
      <c r="J100" s="2" t="str">
        <f>"自105年05月31日至105年06月27日止"</f>
        <v>自105年05月31日至105年06月27日止</v>
      </c>
      <c r="K100" s="2" t="str">
        <f>"台灣集中保管結算所股份有限公司"</f>
        <v>台灣集中保管結算所股份有限公司</v>
      </c>
      <c r="L100" s="2" t="str">
        <f>"http://www.stockvote.com.tw"</f>
        <v>http://www.stockvote.com.tw</v>
      </c>
      <c r="M100" s="2" t="str">
        <f>"--"</f>
        <v>--</v>
      </c>
      <c r="N100" s="2"/>
      <c r="O100" s="2"/>
      <c r="P100" s="2"/>
      <c r="Q100" s="2"/>
    </row>
    <row r="101" spans="1:17" x14ac:dyDescent="0.3">
      <c r="A101" s="2" t="str">
        <f>"1472"</f>
        <v>1472</v>
      </c>
      <c r="B101" s="2" t="s">
        <v>669</v>
      </c>
      <c r="C101" s="2" t="s">
        <v>670</v>
      </c>
      <c r="D101" s="2" t="s">
        <v>6015</v>
      </c>
      <c r="E101" s="2" t="s">
        <v>6058</v>
      </c>
      <c r="F101" s="2" t="s">
        <v>2</v>
      </c>
      <c r="G101" s="2" t="str">
        <f>"02-25525135"</f>
        <v>02-25525135</v>
      </c>
      <c r="H101" s="2" t="s">
        <v>671</v>
      </c>
      <c r="I101" s="2" t="str">
        <f>"23892999"</f>
        <v>23892999</v>
      </c>
      <c r="J101" s="2" t="str">
        <f t="shared" ref="J101:L104" si="14">"--"</f>
        <v>--</v>
      </c>
      <c r="K101" s="2" t="str">
        <f t="shared" si="14"/>
        <v>--</v>
      </c>
      <c r="L101" s="2" t="str">
        <f t="shared" si="14"/>
        <v>--</v>
      </c>
      <c r="M101" s="2" t="str">
        <f>"--"</f>
        <v>--</v>
      </c>
      <c r="N101" s="2"/>
      <c r="O101" s="2"/>
      <c r="P101" s="2"/>
      <c r="Q101" s="2"/>
    </row>
    <row r="102" spans="1:17" x14ac:dyDescent="0.3">
      <c r="A102" s="2" t="str">
        <f>"1473"</f>
        <v>1473</v>
      </c>
      <c r="B102" s="2" t="s">
        <v>672</v>
      </c>
      <c r="C102" s="2" t="s">
        <v>673</v>
      </c>
      <c r="D102" s="2" t="s">
        <v>6059</v>
      </c>
      <c r="E102" s="2" t="s">
        <v>674</v>
      </c>
      <c r="F102" s="2" t="s">
        <v>2</v>
      </c>
      <c r="G102" s="2" t="str">
        <f>"06-2307911"</f>
        <v>06-2307911</v>
      </c>
      <c r="H102" s="2" t="s">
        <v>582</v>
      </c>
      <c r="I102" s="2" t="str">
        <f>"02-25865859"</f>
        <v>02-25865859</v>
      </c>
      <c r="J102" s="2" t="str">
        <f t="shared" si="14"/>
        <v>--</v>
      </c>
      <c r="K102" s="2" t="str">
        <f t="shared" si="14"/>
        <v>--</v>
      </c>
      <c r="L102" s="2" t="str">
        <f t="shared" si="14"/>
        <v>--</v>
      </c>
      <c r="M102" s="2" t="str">
        <f>"否"</f>
        <v>否</v>
      </c>
      <c r="N102" s="2"/>
      <c r="O102" s="2"/>
      <c r="P102" s="2"/>
      <c r="Q102" s="2"/>
    </row>
    <row r="103" spans="1:17" x14ac:dyDescent="0.3">
      <c r="A103" s="2" t="str">
        <f>"1474"</f>
        <v>1474</v>
      </c>
      <c r="B103" s="2" t="s">
        <v>283</v>
      </c>
      <c r="C103" s="2" t="s">
        <v>676</v>
      </c>
      <c r="D103" s="2" t="s">
        <v>6000</v>
      </c>
      <c r="E103" s="2" t="s">
        <v>677</v>
      </c>
      <c r="F103" s="2" t="s">
        <v>2</v>
      </c>
      <c r="G103" s="2" t="str">
        <f>"04-7994888"</f>
        <v>04-7994888</v>
      </c>
      <c r="H103" s="2" t="s">
        <v>667</v>
      </c>
      <c r="I103" s="2" t="str">
        <f>"02-23810131"</f>
        <v>02-23810131</v>
      </c>
      <c r="J103" s="2" t="str">
        <f t="shared" si="14"/>
        <v>--</v>
      </c>
      <c r="K103" s="2" t="str">
        <f t="shared" si="14"/>
        <v>--</v>
      </c>
      <c r="L103" s="2" t="str">
        <f t="shared" si="14"/>
        <v>--</v>
      </c>
      <c r="M103" s="2" t="str">
        <f>"--"</f>
        <v>--</v>
      </c>
      <c r="N103" s="2"/>
      <c r="O103" s="2"/>
      <c r="P103" s="2"/>
      <c r="Q103" s="2"/>
    </row>
    <row r="104" spans="1:17" x14ac:dyDescent="0.3">
      <c r="A104" s="2" t="str">
        <f>"1475"</f>
        <v>1475</v>
      </c>
      <c r="B104" s="2" t="s">
        <v>678</v>
      </c>
      <c r="C104" s="2" t="s">
        <v>679</v>
      </c>
      <c r="D104" s="2" t="s">
        <v>6001</v>
      </c>
      <c r="E104" s="2" t="s">
        <v>680</v>
      </c>
      <c r="F104" s="2" t="s">
        <v>41</v>
      </c>
      <c r="G104" s="2" t="str">
        <f>"03-4690576"</f>
        <v>03-4690576</v>
      </c>
      <c r="H104" s="2" t="s">
        <v>451</v>
      </c>
      <c r="I104" s="2" t="str">
        <f>"02-2314-8800"</f>
        <v>02-2314-8800</v>
      </c>
      <c r="J104" s="2" t="str">
        <f t="shared" si="14"/>
        <v>--</v>
      </c>
      <c r="K104" s="2" t="str">
        <f t="shared" si="14"/>
        <v>--</v>
      </c>
      <c r="L104" s="2" t="str">
        <f t="shared" si="14"/>
        <v>--</v>
      </c>
      <c r="M104" s="2" t="str">
        <f>"--"</f>
        <v>--</v>
      </c>
      <c r="N104" s="2"/>
      <c r="O104" s="2"/>
      <c r="P104" s="2"/>
      <c r="Q104" s="2"/>
    </row>
    <row r="105" spans="1:17" x14ac:dyDescent="0.3">
      <c r="A105" s="2"/>
      <c r="B105" s="2"/>
      <c r="C105" s="2"/>
      <c r="D105" s="2"/>
      <c r="E105" s="2"/>
      <c r="F105" s="2"/>
      <c r="G105" s="2"/>
      <c r="H105" s="2"/>
      <c r="I105" s="2"/>
      <c r="J105" s="2"/>
      <c r="K105" s="2"/>
      <c r="L105" s="2"/>
      <c r="M105" s="2"/>
      <c r="N105" s="2"/>
      <c r="O105" s="2"/>
      <c r="P105" s="2"/>
      <c r="Q105" s="2"/>
    </row>
    <row r="106" spans="1:17" x14ac:dyDescent="0.3">
      <c r="A106" s="2" t="str">
        <f>"1476"</f>
        <v>1476</v>
      </c>
      <c r="B106" s="2" t="s">
        <v>681</v>
      </c>
      <c r="C106" s="2" t="s">
        <v>6060</v>
      </c>
      <c r="D106" s="2" t="s">
        <v>6000</v>
      </c>
      <c r="E106" s="2" t="s">
        <v>682</v>
      </c>
      <c r="F106" s="2" t="s">
        <v>2</v>
      </c>
      <c r="G106" s="2" t="str">
        <f>"(02)2299-6000"</f>
        <v>(02)2299-6000</v>
      </c>
      <c r="H106" s="2" t="s">
        <v>6006</v>
      </c>
      <c r="I106" s="2" t="str">
        <f>"(02)2586-5859"</f>
        <v>(02)2586-5859</v>
      </c>
      <c r="J106" s="2" t="str">
        <f>"自105年05月21日至105年06月18日止"</f>
        <v>自105年05月21日至105年06月18日止</v>
      </c>
      <c r="K106" s="2" t="str">
        <f>"台灣集中保管結算所股份有限公司"</f>
        <v>台灣集中保管結算所股份有限公司</v>
      </c>
      <c r="L106" s="2" t="str">
        <f>"http://www.stockvote.com.tw"</f>
        <v>http://www.stockvote.com.tw</v>
      </c>
      <c r="M106" s="2" t="str">
        <f>"--"</f>
        <v>--</v>
      </c>
      <c r="N106" s="2"/>
      <c r="O106" s="2"/>
      <c r="P106" s="2"/>
      <c r="Q106" s="2"/>
    </row>
    <row r="107" spans="1:17" x14ac:dyDescent="0.3">
      <c r="A107" s="2" t="str">
        <f>"1477"</f>
        <v>1477</v>
      </c>
      <c r="B107" s="2" t="s">
        <v>683</v>
      </c>
      <c r="C107" s="2" t="s">
        <v>684</v>
      </c>
      <c r="D107" s="2" t="s">
        <v>6028</v>
      </c>
      <c r="E107" s="2" t="s">
        <v>685</v>
      </c>
      <c r="F107" s="2" t="s">
        <v>2</v>
      </c>
      <c r="G107" s="2" t="str">
        <f>"25677801"</f>
        <v>25677801</v>
      </c>
      <c r="H107" s="2" t="s">
        <v>451</v>
      </c>
      <c r="I107" s="2" t="str">
        <f>"23892999"</f>
        <v>23892999</v>
      </c>
      <c r="J107" s="2" t="str">
        <f>"--"</f>
        <v>--</v>
      </c>
      <c r="K107" s="2" t="str">
        <f>"--"</f>
        <v>--</v>
      </c>
      <c r="L107" s="2" t="str">
        <f>"--"</f>
        <v>--</v>
      </c>
      <c r="M107" s="2" t="str">
        <f>"--"</f>
        <v>--</v>
      </c>
      <c r="N107" s="2"/>
      <c r="O107" s="2"/>
      <c r="P107" s="2"/>
      <c r="Q107" s="2"/>
    </row>
    <row r="108" spans="1:17" x14ac:dyDescent="0.3">
      <c r="A108" s="2" t="str">
        <f>"1503"</f>
        <v>1503</v>
      </c>
      <c r="B108" s="2" t="s">
        <v>686</v>
      </c>
      <c r="C108" s="2" t="s">
        <v>687</v>
      </c>
      <c r="D108" s="2" t="s">
        <v>6025</v>
      </c>
      <c r="E108" s="2" t="s">
        <v>6061</v>
      </c>
      <c r="F108" s="2" t="s">
        <v>2</v>
      </c>
      <c r="G108" s="2" t="str">
        <f>"02-2834-2662"</f>
        <v>02-2834-2662</v>
      </c>
      <c r="H108" s="2" t="s">
        <v>486</v>
      </c>
      <c r="I108" s="2" t="str">
        <f>"2834-2662#366"</f>
        <v>2834-2662#366</v>
      </c>
      <c r="J108" s="2" t="str">
        <f>"自105年05月09日至105年06月05日止"</f>
        <v>自105年05月09日至105年06月05日止</v>
      </c>
      <c r="K108" s="2" t="str">
        <f>"台灣集中保管結算所股份有限公司"</f>
        <v>台灣集中保管結算所股份有限公司</v>
      </c>
      <c r="L108" s="2" t="str">
        <f>"http://www.stockvote.com.tw"</f>
        <v>http://www.stockvote.com.tw</v>
      </c>
      <c r="M108" s="2" t="str">
        <f>"強制"</f>
        <v>強制</v>
      </c>
      <c r="N108" s="2"/>
      <c r="O108" s="2"/>
      <c r="P108" s="2"/>
      <c r="Q108" s="2"/>
    </row>
    <row r="109" spans="1:17" x14ac:dyDescent="0.3">
      <c r="A109" s="2" t="str">
        <f>"1504"</f>
        <v>1504</v>
      </c>
      <c r="B109" s="2" t="s">
        <v>688</v>
      </c>
      <c r="C109" s="2" t="s">
        <v>689</v>
      </c>
      <c r="D109" s="2" t="s">
        <v>6028</v>
      </c>
      <c r="E109" s="2" t="s">
        <v>6062</v>
      </c>
      <c r="F109" s="2" t="s">
        <v>41</v>
      </c>
      <c r="G109" s="2" t="str">
        <f>"2655-3333"</f>
        <v>2655-3333</v>
      </c>
      <c r="H109" s="2" t="s">
        <v>456</v>
      </c>
      <c r="I109" s="2" t="str">
        <f>"02-25048125"</f>
        <v>02-25048125</v>
      </c>
      <c r="J109" s="2" t="str">
        <f>"自105年05月17日至105年06月13日止"</f>
        <v>自105年05月17日至105年06月13日止</v>
      </c>
      <c r="K109" s="2" t="str">
        <f>"台灣集中保管結算所股份有限公司"</f>
        <v>台灣集中保管結算所股份有限公司</v>
      </c>
      <c r="L109" s="2" t="str">
        <f>"http://www.stockvote.com.tw"</f>
        <v>http://www.stockvote.com.tw</v>
      </c>
      <c r="M109" s="2" t="str">
        <f>"--"</f>
        <v>--</v>
      </c>
      <c r="N109" s="2"/>
      <c r="O109" s="2"/>
      <c r="P109" s="2"/>
      <c r="Q109" s="2"/>
    </row>
    <row r="110" spans="1:17" x14ac:dyDescent="0.3">
      <c r="A110" s="2" t="str">
        <f>"1506"</f>
        <v>1506</v>
      </c>
      <c r="B110" s="2" t="s">
        <v>134</v>
      </c>
      <c r="C110" s="2" t="s">
        <v>690</v>
      </c>
      <c r="D110" s="2" t="s">
        <v>6002</v>
      </c>
      <c r="E110" s="2" t="s">
        <v>691</v>
      </c>
      <c r="F110" s="2" t="s">
        <v>41</v>
      </c>
      <c r="G110" s="2" t="str">
        <f>"06-266 4101"</f>
        <v>06-266 4101</v>
      </c>
      <c r="H110" s="2" t="s">
        <v>6006</v>
      </c>
      <c r="I110" s="2" t="str">
        <f>"02-2586 5859"</f>
        <v>02-2586 5859</v>
      </c>
      <c r="J110" s="2" t="str">
        <f>"--"</f>
        <v>--</v>
      </c>
      <c r="K110" s="2" t="str">
        <f>"--"</f>
        <v>--</v>
      </c>
      <c r="L110" s="2" t="str">
        <f>"--"</f>
        <v>--</v>
      </c>
      <c r="M110" s="2" t="str">
        <f>"--"</f>
        <v>--</v>
      </c>
      <c r="N110" s="2"/>
      <c r="O110" s="2"/>
      <c r="P110" s="2"/>
      <c r="Q110" s="2"/>
    </row>
    <row r="111" spans="1:17" x14ac:dyDescent="0.3">
      <c r="A111" s="2" t="str">
        <f>"1507"</f>
        <v>1507</v>
      </c>
      <c r="B111" s="2" t="s">
        <v>692</v>
      </c>
      <c r="C111" s="2" t="s">
        <v>693</v>
      </c>
      <c r="D111" s="2" t="s">
        <v>6028</v>
      </c>
      <c r="E111" s="2" t="s">
        <v>6063</v>
      </c>
      <c r="F111" s="2" t="s">
        <v>2</v>
      </c>
      <c r="G111" s="2" t="str">
        <f>"02-2717-2217"</f>
        <v>02-2717-2217</v>
      </c>
      <c r="H111" s="2" t="s">
        <v>694</v>
      </c>
      <c r="I111" s="2" t="str">
        <f>"02-2717-2217"</f>
        <v>02-2717-2217</v>
      </c>
      <c r="J111" s="2" t="str">
        <f>"自105年05月17日至105年06月13日止"</f>
        <v>自105年05月17日至105年06月13日止</v>
      </c>
      <c r="K111" s="2" t="str">
        <f>"台灣集中保管結算所股份有限公司"</f>
        <v>台灣集中保管結算所股份有限公司</v>
      </c>
      <c r="L111" s="2" t="str">
        <f>"http://www.stockvote.com.tw"</f>
        <v>http://www.stockvote.com.tw</v>
      </c>
      <c r="M111" s="2" t="str">
        <f>"強制"</f>
        <v>強制</v>
      </c>
      <c r="N111" s="2"/>
      <c r="O111" s="2"/>
      <c r="P111" s="2"/>
      <c r="Q111" s="2"/>
    </row>
    <row r="112" spans="1:17" x14ac:dyDescent="0.3">
      <c r="A112" s="2" t="str">
        <f>"1512"</f>
        <v>1512</v>
      </c>
      <c r="B112" s="2" t="s">
        <v>358</v>
      </c>
      <c r="C112" s="2" t="s">
        <v>695</v>
      </c>
      <c r="D112" s="2" t="s">
        <v>6001</v>
      </c>
      <c r="E112" s="2" t="s">
        <v>696</v>
      </c>
      <c r="F112" s="2" t="s">
        <v>2</v>
      </c>
      <c r="G112" s="2" t="str">
        <f>"07-3438301"</f>
        <v>07-3438301</v>
      </c>
      <c r="H112" s="2" t="s">
        <v>404</v>
      </c>
      <c r="I112" s="2" t="str">
        <f>"02-6636-5566"</f>
        <v>02-6636-5566</v>
      </c>
      <c r="J112" s="2" t="str">
        <f>"--"</f>
        <v>--</v>
      </c>
      <c r="K112" s="2" t="str">
        <f>"--"</f>
        <v>--</v>
      </c>
      <c r="L112" s="2" t="str">
        <f>"--"</f>
        <v>--</v>
      </c>
      <c r="M112" s="2" t="str">
        <f>"--"</f>
        <v>--</v>
      </c>
      <c r="N112" s="2"/>
      <c r="O112" s="2"/>
      <c r="P112" s="2"/>
      <c r="Q112" s="2"/>
    </row>
    <row r="113" spans="1:17" x14ac:dyDescent="0.3">
      <c r="A113" s="2" t="str">
        <f>"1513"</f>
        <v>1513</v>
      </c>
      <c r="B113" s="2" t="s">
        <v>185</v>
      </c>
      <c r="C113" s="2" t="s">
        <v>6064</v>
      </c>
      <c r="D113" s="2" t="s">
        <v>6001</v>
      </c>
      <c r="E113" s="2" t="s">
        <v>6065</v>
      </c>
      <c r="F113" s="2" t="s">
        <v>2</v>
      </c>
      <c r="G113" s="2" t="str">
        <f>"(03)3284170"</f>
        <v>(03)3284170</v>
      </c>
      <c r="H113" s="2" t="s">
        <v>451</v>
      </c>
      <c r="I113" s="2" t="str">
        <f>"(02)2389-2999"</f>
        <v>(02)2389-2999</v>
      </c>
      <c r="J113" s="2" t="str">
        <f>"自105年05月27日至105年06月24日止"</f>
        <v>自105年05月27日至105年06月24日止</v>
      </c>
      <c r="K113" s="2" t="str">
        <f>"台灣集中保管結算所股份有限公司"</f>
        <v>台灣集中保管結算所股份有限公司</v>
      </c>
      <c r="L113" s="2" t="str">
        <f>"http://www.stockvote.com.tw"</f>
        <v>http://www.stockvote.com.tw</v>
      </c>
      <c r="M113" s="2" t="str">
        <f>"--"</f>
        <v>--</v>
      </c>
      <c r="N113" s="2"/>
      <c r="O113" s="2"/>
      <c r="P113" s="2"/>
      <c r="Q113" s="2"/>
    </row>
    <row r="114" spans="1:17" x14ac:dyDescent="0.3">
      <c r="A114" s="2" t="str">
        <f>"1514"</f>
        <v>1514</v>
      </c>
      <c r="B114" s="2" t="s">
        <v>697</v>
      </c>
      <c r="C114" s="2" t="s">
        <v>698</v>
      </c>
      <c r="D114" s="2" t="s">
        <v>5999</v>
      </c>
      <c r="E114" s="2" t="s">
        <v>699</v>
      </c>
      <c r="F114" s="2" t="s">
        <v>2</v>
      </c>
      <c r="G114" s="2" t="str">
        <f>"(02)2655-3456"</f>
        <v>(02)2655-3456</v>
      </c>
      <c r="H114" s="2" t="s">
        <v>6006</v>
      </c>
      <c r="I114" s="2" t="str">
        <f>"(02)2586-5859"</f>
        <v>(02)2586-5859</v>
      </c>
      <c r="J114" s="2" t="str">
        <f>"自105年05月21日至105年06月19日止"</f>
        <v>自105年05月21日至105年06月19日止</v>
      </c>
      <c r="K114" s="2" t="str">
        <f>"台灣集中保管結算所股份有限公司"</f>
        <v>台灣集中保管結算所股份有限公司</v>
      </c>
      <c r="L114" s="2" t="str">
        <f>"http://www.stockvote.com.tw"</f>
        <v>http://www.stockvote.com.tw</v>
      </c>
      <c r="M114" s="2" t="str">
        <f>"--"</f>
        <v>--</v>
      </c>
      <c r="N114" s="2"/>
      <c r="O114" s="2"/>
      <c r="P114" s="2"/>
      <c r="Q114" s="2"/>
    </row>
    <row r="115" spans="1:17" x14ac:dyDescent="0.3">
      <c r="A115" s="2" t="str">
        <f>"1515"</f>
        <v>1515</v>
      </c>
      <c r="B115" s="2" t="s">
        <v>700</v>
      </c>
      <c r="C115" s="2" t="s">
        <v>701</v>
      </c>
      <c r="D115" s="2" t="s">
        <v>6037</v>
      </c>
      <c r="E115" s="2" t="s">
        <v>702</v>
      </c>
      <c r="F115" s="2" t="s">
        <v>2</v>
      </c>
      <c r="G115" s="2" t="str">
        <f>"04-24914141"</f>
        <v>04-24914141</v>
      </c>
      <c r="H115" s="2" t="s">
        <v>404</v>
      </c>
      <c r="I115" s="2" t="str">
        <f>"(02)6636-5566"</f>
        <v>(02)6636-5566</v>
      </c>
      <c r="J115" s="2" t="str">
        <f t="shared" ref="J115:L116" si="15">"--"</f>
        <v>--</v>
      </c>
      <c r="K115" s="2" t="str">
        <f t="shared" si="15"/>
        <v>--</v>
      </c>
      <c r="L115" s="2" t="str">
        <f t="shared" si="15"/>
        <v>--</v>
      </c>
      <c r="M115" s="2" t="str">
        <f>"否"</f>
        <v>否</v>
      </c>
      <c r="N115" s="2"/>
      <c r="O115" s="2"/>
      <c r="P115" s="2"/>
      <c r="Q115" s="2"/>
    </row>
    <row r="116" spans="1:17" x14ac:dyDescent="0.3">
      <c r="A116" s="2" t="str">
        <f>"1516"</f>
        <v>1516</v>
      </c>
      <c r="B116" s="2" t="s">
        <v>703</v>
      </c>
      <c r="C116" s="2" t="s">
        <v>704</v>
      </c>
      <c r="D116" s="2" t="s">
        <v>6002</v>
      </c>
      <c r="E116" s="2" t="s">
        <v>705</v>
      </c>
      <c r="F116" s="2" t="s">
        <v>41</v>
      </c>
      <c r="G116" s="2" t="str">
        <f>"02-27200095"</f>
        <v>02-27200095</v>
      </c>
      <c r="H116" s="2" t="s">
        <v>706</v>
      </c>
      <c r="I116" s="2" t="str">
        <f>"02-25936666"</f>
        <v>02-25936666</v>
      </c>
      <c r="J116" s="2" t="str">
        <f t="shared" si="15"/>
        <v>--</v>
      </c>
      <c r="K116" s="2" t="str">
        <f t="shared" si="15"/>
        <v>--</v>
      </c>
      <c r="L116" s="2" t="str">
        <f t="shared" si="15"/>
        <v>--</v>
      </c>
      <c r="M116" s="2" t="str">
        <f>"--"</f>
        <v>--</v>
      </c>
      <c r="N116" s="2"/>
      <c r="O116" s="2"/>
      <c r="P116" s="2"/>
      <c r="Q116" s="2"/>
    </row>
    <row r="117" spans="1:17" x14ac:dyDescent="0.3">
      <c r="A117" s="2" t="str">
        <f>"1517"</f>
        <v>1517</v>
      </c>
      <c r="B117" s="2" t="s">
        <v>707</v>
      </c>
      <c r="C117" s="2" t="s">
        <v>708</v>
      </c>
      <c r="D117" s="2" t="s">
        <v>6000</v>
      </c>
      <c r="E117" s="2" t="s">
        <v>709</v>
      </c>
      <c r="F117" s="2" t="s">
        <v>2</v>
      </c>
      <c r="G117" s="2" t="str">
        <f>"04-7382121"</f>
        <v>04-7382121</v>
      </c>
      <c r="H117" s="2" t="s">
        <v>640</v>
      </c>
      <c r="I117" s="2" t="str">
        <f>"(02)2371-1658"</f>
        <v>(02)2371-1658</v>
      </c>
      <c r="J117" s="2" t="str">
        <f>"自105年05月21日至105年06月18日止"</f>
        <v>自105年05月21日至105年06月18日止</v>
      </c>
      <c r="K117" s="2" t="str">
        <f>"台灣集中保管結算所股份有限公司"</f>
        <v>台灣集中保管結算所股份有限公司</v>
      </c>
      <c r="L117" s="2" t="str">
        <f>"http://www.stockvote.com.tw"</f>
        <v>http://www.stockvote.com.tw</v>
      </c>
      <c r="M117" s="2" t="str">
        <f>"--"</f>
        <v>--</v>
      </c>
      <c r="N117" s="2"/>
      <c r="O117" s="2"/>
      <c r="P117" s="2"/>
      <c r="Q117" s="2"/>
    </row>
    <row r="118" spans="1:17" x14ac:dyDescent="0.3">
      <c r="A118" s="2" t="str">
        <f>"1519"</f>
        <v>1519</v>
      </c>
      <c r="B118" s="2" t="s">
        <v>710</v>
      </c>
      <c r="C118" s="2" t="s">
        <v>711</v>
      </c>
      <c r="D118" s="2" t="s">
        <v>6021</v>
      </c>
      <c r="E118" s="2" t="s">
        <v>6066</v>
      </c>
      <c r="F118" s="2" t="s">
        <v>2</v>
      </c>
      <c r="G118" s="2" t="str">
        <f>"02-27047001"</f>
        <v>02-27047001</v>
      </c>
      <c r="H118" s="2" t="s">
        <v>456</v>
      </c>
      <c r="I118" s="2" t="str">
        <f>"02-25048125"</f>
        <v>02-25048125</v>
      </c>
      <c r="J118" s="2" t="str">
        <f>"自105年05月14日至105年06月10日止"</f>
        <v>自105年05月14日至105年06月10日止</v>
      </c>
      <c r="K118" s="2" t="str">
        <f>"台灣集中保管結算所股份有限公司"</f>
        <v>台灣集中保管結算所股份有限公司</v>
      </c>
      <c r="L118" s="2" t="str">
        <f>"http://www.stockvote.com.tw"</f>
        <v>http://www.stockvote.com.tw</v>
      </c>
      <c r="M118" s="2" t="str">
        <f>"強制"</f>
        <v>強制</v>
      </c>
      <c r="N118" s="2"/>
      <c r="O118" s="2"/>
      <c r="P118" s="2"/>
      <c r="Q118" s="2"/>
    </row>
    <row r="119" spans="1:17" x14ac:dyDescent="0.3">
      <c r="A119" s="2" t="str">
        <f>"1521"</f>
        <v>1521</v>
      </c>
      <c r="B119" s="2" t="s">
        <v>712</v>
      </c>
      <c r="C119" s="2" t="s">
        <v>713</v>
      </c>
      <c r="D119" s="2" t="s">
        <v>6021</v>
      </c>
      <c r="E119" s="2" t="s">
        <v>714</v>
      </c>
      <c r="F119" s="2" t="s">
        <v>2</v>
      </c>
      <c r="G119" s="2" t="str">
        <f>"06-2615151"</f>
        <v>06-2615151</v>
      </c>
      <c r="H119" s="2" t="s">
        <v>404</v>
      </c>
      <c r="I119" s="2" t="str">
        <f>"02-66365566"</f>
        <v>02-66365566</v>
      </c>
      <c r="J119" s="2" t="str">
        <f>"--"</f>
        <v>--</v>
      </c>
      <c r="K119" s="2" t="str">
        <f>"--"</f>
        <v>--</v>
      </c>
      <c r="L119" s="2" t="str">
        <f>"--"</f>
        <v>--</v>
      </c>
      <c r="M119" s="2" t="str">
        <f>"否"</f>
        <v>否</v>
      </c>
      <c r="N119" s="2"/>
      <c r="O119" s="2"/>
      <c r="P119" s="2"/>
      <c r="Q119" s="2"/>
    </row>
    <row r="120" spans="1:17" x14ac:dyDescent="0.3">
      <c r="A120" s="2" t="str">
        <f>"1522"</f>
        <v>1522</v>
      </c>
      <c r="B120" s="2" t="s">
        <v>715</v>
      </c>
      <c r="C120" s="2" t="s">
        <v>716</v>
      </c>
      <c r="D120" s="2" t="s">
        <v>6004</v>
      </c>
      <c r="E120" s="2" t="s">
        <v>717</v>
      </c>
      <c r="F120" s="2" t="s">
        <v>2</v>
      </c>
      <c r="G120" s="2" t="str">
        <f>"06-2658781"</f>
        <v>06-2658781</v>
      </c>
      <c r="H120" s="2" t="s">
        <v>431</v>
      </c>
      <c r="I120" s="2" t="str">
        <f>"02-27023999"</f>
        <v>02-27023999</v>
      </c>
      <c r="J120" s="2" t="str">
        <f>"自105年05月18日至105年06月14日止"</f>
        <v>自105年05月18日至105年06月14日止</v>
      </c>
      <c r="K120" s="2" t="str">
        <f>"台灣集中保管結算所股份有限公司"</f>
        <v>台灣集中保管結算所股份有限公司</v>
      </c>
      <c r="L120" s="2" t="str">
        <f>"http://www.stockvote.com.tw"</f>
        <v>http://www.stockvote.com.tw</v>
      </c>
      <c r="M120" s="2" t="str">
        <f>"--"</f>
        <v>--</v>
      </c>
      <c r="N120" s="2"/>
      <c r="O120" s="2"/>
      <c r="P120" s="2"/>
      <c r="Q120" s="2"/>
    </row>
    <row r="121" spans="1:17" x14ac:dyDescent="0.3">
      <c r="A121" s="2" t="str">
        <f>"1524"</f>
        <v>1524</v>
      </c>
      <c r="B121" s="2" t="s">
        <v>718</v>
      </c>
      <c r="C121" s="2" t="s">
        <v>719</v>
      </c>
      <c r="D121" s="2" t="s">
        <v>6014</v>
      </c>
      <c r="E121" s="2" t="s">
        <v>720</v>
      </c>
      <c r="F121" s="2" t="s">
        <v>41</v>
      </c>
      <c r="G121" s="2" t="str">
        <f>"03-3244011"</f>
        <v>03-3244011</v>
      </c>
      <c r="H121" s="2" t="s">
        <v>431</v>
      </c>
      <c r="I121" s="2" t="str">
        <f>"02-27035000"</f>
        <v>02-27035000</v>
      </c>
      <c r="J121" s="2" t="str">
        <f>"--"</f>
        <v>--</v>
      </c>
      <c r="K121" s="2" t="str">
        <f>"--"</f>
        <v>--</v>
      </c>
      <c r="L121" s="2" t="str">
        <f>"--"</f>
        <v>--</v>
      </c>
      <c r="M121" s="2" t="str">
        <f>"--"</f>
        <v>--</v>
      </c>
      <c r="N121" s="2"/>
      <c r="O121" s="2"/>
      <c r="P121" s="2"/>
      <c r="Q121" s="2"/>
    </row>
    <row r="122" spans="1:17" x14ac:dyDescent="0.3">
      <c r="A122" s="2" t="str">
        <f>"1525"</f>
        <v>1525</v>
      </c>
      <c r="B122" s="2" t="s">
        <v>721</v>
      </c>
      <c r="C122" s="2" t="s">
        <v>722</v>
      </c>
      <c r="D122" s="2" t="s">
        <v>5999</v>
      </c>
      <c r="E122" s="2" t="s">
        <v>6067</v>
      </c>
      <c r="F122" s="2" t="s">
        <v>41</v>
      </c>
      <c r="G122" s="2" t="str">
        <f>"03-4783121"</f>
        <v>03-4783121</v>
      </c>
      <c r="H122" s="2" t="s">
        <v>723</v>
      </c>
      <c r="I122" s="2" t="str">
        <f>"02-2515-6421"</f>
        <v>02-2515-6421</v>
      </c>
      <c r="J122" s="2" t="str">
        <f>"自105年05月23日至105年06月19日止"</f>
        <v>自105年05月23日至105年06月19日止</v>
      </c>
      <c r="K122" s="2" t="str">
        <f>"台灣集中保管結算所股份有限公司"</f>
        <v>台灣集中保管結算所股份有限公司</v>
      </c>
      <c r="L122" s="2" t="str">
        <f>"http://www.stockvote.com.tw"</f>
        <v>http://www.stockvote.com.tw</v>
      </c>
      <c r="M122" s="2" t="str">
        <f>"--"</f>
        <v>--</v>
      </c>
      <c r="N122" s="2"/>
      <c r="O122" s="2"/>
      <c r="P122" s="2"/>
      <c r="Q122" s="2"/>
    </row>
    <row r="123" spans="1:17" x14ac:dyDescent="0.3">
      <c r="A123" s="2" t="str">
        <f>"1526"</f>
        <v>1526</v>
      </c>
      <c r="B123" s="2" t="s">
        <v>224</v>
      </c>
      <c r="C123" s="2" t="s">
        <v>6068</v>
      </c>
      <c r="D123" s="2" t="s">
        <v>6001</v>
      </c>
      <c r="E123" s="2" t="s">
        <v>6069</v>
      </c>
      <c r="F123" s="2" t="s">
        <v>2</v>
      </c>
      <c r="G123" s="2" t="str">
        <f>"(03)3543900"</f>
        <v>(03)3543900</v>
      </c>
      <c r="H123" s="2" t="s">
        <v>631</v>
      </c>
      <c r="I123" s="2" t="str">
        <f>"(02)2541-9977"</f>
        <v>(02)2541-9977</v>
      </c>
      <c r="J123" s="2" t="str">
        <f t="shared" ref="J123:L128" si="16">"--"</f>
        <v>--</v>
      </c>
      <c r="K123" s="2" t="str">
        <f t="shared" si="16"/>
        <v>--</v>
      </c>
      <c r="L123" s="2" t="str">
        <f t="shared" si="16"/>
        <v>--</v>
      </c>
      <c r="M123" s="2" t="str">
        <f>"--"</f>
        <v>--</v>
      </c>
      <c r="N123" s="2"/>
      <c r="O123" s="2"/>
      <c r="P123" s="2"/>
      <c r="Q123" s="2"/>
    </row>
    <row r="124" spans="1:17" x14ac:dyDescent="0.3">
      <c r="A124" s="2" t="str">
        <f>"1527"</f>
        <v>1527</v>
      </c>
      <c r="B124" s="2" t="s">
        <v>325</v>
      </c>
      <c r="C124" s="2" t="s">
        <v>724</v>
      </c>
      <c r="D124" s="2" t="s">
        <v>6001</v>
      </c>
      <c r="E124" s="2" t="s">
        <v>725</v>
      </c>
      <c r="F124" s="2" t="s">
        <v>2</v>
      </c>
      <c r="G124" s="2" t="str">
        <f>"(04)23598877"</f>
        <v>(04)23598877</v>
      </c>
      <c r="H124" s="2" t="s">
        <v>431</v>
      </c>
      <c r="I124" s="2" t="str">
        <f>"(02)27023999"</f>
        <v>(02)27023999</v>
      </c>
      <c r="J124" s="2" t="str">
        <f t="shared" si="16"/>
        <v>--</v>
      </c>
      <c r="K124" s="2" t="str">
        <f t="shared" si="16"/>
        <v>--</v>
      </c>
      <c r="L124" s="2" t="str">
        <f t="shared" si="16"/>
        <v>--</v>
      </c>
      <c r="M124" s="2" t="str">
        <f>"--"</f>
        <v>--</v>
      </c>
      <c r="N124" s="2"/>
      <c r="O124" s="2"/>
      <c r="P124" s="2"/>
      <c r="Q124" s="2"/>
    </row>
    <row r="125" spans="1:17" x14ac:dyDescent="0.3">
      <c r="A125" s="2" t="str">
        <f>"1528"</f>
        <v>1528</v>
      </c>
      <c r="B125" s="2" t="s">
        <v>356</v>
      </c>
      <c r="C125" s="2" t="s">
        <v>726</v>
      </c>
      <c r="D125" s="2" t="s">
        <v>6031</v>
      </c>
      <c r="E125" s="2" t="s">
        <v>727</v>
      </c>
      <c r="F125" s="2" t="s">
        <v>2</v>
      </c>
      <c r="G125" s="2" t="str">
        <f>"(02)28376866"</f>
        <v>(02)28376866</v>
      </c>
      <c r="H125" s="2" t="s">
        <v>671</v>
      </c>
      <c r="I125" s="2" t="str">
        <f>"(02)2389-2999"</f>
        <v>(02)2389-2999</v>
      </c>
      <c r="J125" s="2" t="str">
        <f t="shared" si="16"/>
        <v>--</v>
      </c>
      <c r="K125" s="2" t="str">
        <f t="shared" si="16"/>
        <v>--</v>
      </c>
      <c r="L125" s="2" t="str">
        <f t="shared" si="16"/>
        <v>--</v>
      </c>
      <c r="M125" s="2" t="str">
        <f>"否"</f>
        <v>否</v>
      </c>
      <c r="N125" s="2"/>
      <c r="O125" s="2"/>
      <c r="P125" s="2"/>
      <c r="Q125" s="2"/>
    </row>
    <row r="126" spans="1:17" x14ac:dyDescent="0.3">
      <c r="A126" s="2" t="str">
        <f>"1529"</f>
        <v>1529</v>
      </c>
      <c r="B126" s="2" t="s">
        <v>326</v>
      </c>
      <c r="C126" s="2" t="s">
        <v>6070</v>
      </c>
      <c r="D126" s="2" t="s">
        <v>6007</v>
      </c>
      <c r="E126" s="2" t="s">
        <v>6071</v>
      </c>
      <c r="F126" s="2" t="s">
        <v>2</v>
      </c>
      <c r="G126" s="2" t="str">
        <f>"(02)2559-1021"</f>
        <v>(02)2559-1021</v>
      </c>
      <c r="H126" s="2" t="s">
        <v>478</v>
      </c>
      <c r="I126" s="2" t="str">
        <f>"(02)2593-6666"</f>
        <v>(02)2593-6666</v>
      </c>
      <c r="J126" s="2" t="str">
        <f t="shared" si="16"/>
        <v>--</v>
      </c>
      <c r="K126" s="2" t="str">
        <f t="shared" si="16"/>
        <v>--</v>
      </c>
      <c r="L126" s="2" t="str">
        <f t="shared" si="16"/>
        <v>--</v>
      </c>
      <c r="M126" s="2" t="str">
        <f>"--"</f>
        <v>--</v>
      </c>
      <c r="N126" s="2"/>
      <c r="O126" s="2"/>
      <c r="P126" s="2"/>
      <c r="Q126" s="2"/>
    </row>
    <row r="127" spans="1:17" x14ac:dyDescent="0.3">
      <c r="A127" s="2" t="str">
        <f>"1530"</f>
        <v>1530</v>
      </c>
      <c r="B127" s="2" t="s">
        <v>728</v>
      </c>
      <c r="C127" s="2" t="s">
        <v>729</v>
      </c>
      <c r="D127" s="2" t="s">
        <v>6010</v>
      </c>
      <c r="E127" s="2" t="s">
        <v>730</v>
      </c>
      <c r="F127" s="2" t="s">
        <v>2</v>
      </c>
      <c r="G127" s="2" t="str">
        <f>"03-5885191"</f>
        <v>03-5885191</v>
      </c>
      <c r="H127" s="2" t="s">
        <v>456</v>
      </c>
      <c r="I127" s="2" t="str">
        <f>"02-25048125"</f>
        <v>02-25048125</v>
      </c>
      <c r="J127" s="2" t="str">
        <f t="shared" si="16"/>
        <v>--</v>
      </c>
      <c r="K127" s="2" t="str">
        <f t="shared" si="16"/>
        <v>--</v>
      </c>
      <c r="L127" s="2" t="str">
        <f t="shared" si="16"/>
        <v>--</v>
      </c>
      <c r="M127" s="2" t="str">
        <f>"--"</f>
        <v>--</v>
      </c>
      <c r="N127" s="2"/>
      <c r="O127" s="2"/>
      <c r="P127" s="2"/>
      <c r="Q127" s="2"/>
    </row>
    <row r="128" spans="1:17" x14ac:dyDescent="0.3">
      <c r="A128" s="2" t="str">
        <f>"1531"</f>
        <v>1531</v>
      </c>
      <c r="B128" s="2" t="s">
        <v>731</v>
      </c>
      <c r="C128" s="2" t="s">
        <v>732</v>
      </c>
      <c r="D128" s="2" t="s">
        <v>6007</v>
      </c>
      <c r="E128" s="2" t="s">
        <v>6072</v>
      </c>
      <c r="F128" s="2" t="s">
        <v>2</v>
      </c>
      <c r="G128" s="2" t="str">
        <f>"(02)27130232"</f>
        <v>(02)27130232</v>
      </c>
      <c r="H128" s="2" t="s">
        <v>733</v>
      </c>
      <c r="I128" s="2" t="str">
        <f>"(02)2718-6425"</f>
        <v>(02)2718-6425</v>
      </c>
      <c r="J128" s="2" t="str">
        <f t="shared" si="16"/>
        <v>--</v>
      </c>
      <c r="K128" s="2" t="str">
        <f t="shared" si="16"/>
        <v>--</v>
      </c>
      <c r="L128" s="2" t="str">
        <f t="shared" si="16"/>
        <v>--</v>
      </c>
      <c r="M128" s="2" t="str">
        <f>"--"</f>
        <v>--</v>
      </c>
      <c r="N128" s="2"/>
      <c r="O128" s="2"/>
      <c r="P128" s="2"/>
      <c r="Q128" s="2"/>
    </row>
    <row r="129" spans="1:17" x14ac:dyDescent="0.3">
      <c r="A129" s="2" t="str">
        <f>"1532"</f>
        <v>1532</v>
      </c>
      <c r="B129" s="2" t="s">
        <v>734</v>
      </c>
      <c r="C129" s="2" t="s">
        <v>735</v>
      </c>
      <c r="D129" s="2" t="s">
        <v>6020</v>
      </c>
      <c r="E129" s="2" t="s">
        <v>736</v>
      </c>
      <c r="F129" s="2" t="s">
        <v>2</v>
      </c>
      <c r="G129" s="2" t="str">
        <f>"02-27112831"</f>
        <v>02-27112831</v>
      </c>
      <c r="H129" s="2" t="s">
        <v>451</v>
      </c>
      <c r="I129" s="2" t="str">
        <f>"02-23892999"</f>
        <v>02-23892999</v>
      </c>
      <c r="J129" s="2" t="str">
        <f>"自105年05月20日至105年06月17日止"</f>
        <v>自105年05月20日至105年06月17日止</v>
      </c>
      <c r="K129" s="2" t="str">
        <f>"台灣集中保管結算所股份有限公司"</f>
        <v>台灣集中保管結算所股份有限公司</v>
      </c>
      <c r="L129" s="2" t="str">
        <f>"http://www.stockvote.com.tw"</f>
        <v>http://www.stockvote.com.tw</v>
      </c>
      <c r="M129" s="2" t="str">
        <f>"--"</f>
        <v>--</v>
      </c>
      <c r="N129" s="2"/>
      <c r="O129" s="2"/>
      <c r="P129" s="2"/>
      <c r="Q129" s="2"/>
    </row>
    <row r="130" spans="1:17" x14ac:dyDescent="0.3">
      <c r="A130" s="2" t="str">
        <f>"1533"</f>
        <v>1533</v>
      </c>
      <c r="B130" s="2" t="s">
        <v>737</v>
      </c>
      <c r="C130" s="2" t="s">
        <v>738</v>
      </c>
      <c r="D130" s="2" t="s">
        <v>6002</v>
      </c>
      <c r="E130" s="2" t="s">
        <v>739</v>
      </c>
      <c r="F130" s="2" t="s">
        <v>2</v>
      </c>
      <c r="G130" s="2" t="str">
        <f>"04-25683366"</f>
        <v>04-25683366</v>
      </c>
      <c r="H130" s="2" t="s">
        <v>451</v>
      </c>
      <c r="I130" s="2" t="str">
        <f>"02-23892999"</f>
        <v>02-23892999</v>
      </c>
      <c r="J130" s="2" t="str">
        <f>"--"</f>
        <v>--</v>
      </c>
      <c r="K130" s="2" t="str">
        <f>"--"</f>
        <v>--</v>
      </c>
      <c r="L130" s="2" t="str">
        <f>"--"</f>
        <v>--</v>
      </c>
      <c r="M130" s="2" t="str">
        <f>"--"</f>
        <v>--</v>
      </c>
      <c r="N130" s="2"/>
      <c r="O130" s="2"/>
      <c r="P130" s="2"/>
      <c r="Q130" s="2"/>
    </row>
    <row r="131" spans="1:17" x14ac:dyDescent="0.3">
      <c r="A131" s="2" t="str">
        <f>"1535"</f>
        <v>1535</v>
      </c>
      <c r="B131" s="2" t="s">
        <v>740</v>
      </c>
      <c r="C131" s="2" t="s">
        <v>741</v>
      </c>
      <c r="D131" s="2" t="s">
        <v>5999</v>
      </c>
      <c r="E131" s="2" t="s">
        <v>6073</v>
      </c>
      <c r="F131" s="2" t="s">
        <v>2</v>
      </c>
      <c r="G131" s="2" t="str">
        <f>"07-3306138"</f>
        <v>07-3306138</v>
      </c>
      <c r="H131" s="2" t="s">
        <v>469</v>
      </c>
      <c r="I131" s="2" t="str">
        <f>"02-2746-3797"</f>
        <v>02-2746-3797</v>
      </c>
      <c r="J131" s="2" t="str">
        <f>"自105年05月21日至105年06月19日止"</f>
        <v>自105年05月21日至105年06月19日止</v>
      </c>
      <c r="K131" s="2" t="str">
        <f>"台灣集中保管結算所股份有限公司"</f>
        <v>台灣集中保管結算所股份有限公司</v>
      </c>
      <c r="L131" s="2" t="str">
        <f>"http://www.stockvote.com.tw"</f>
        <v>http://www.stockvote.com.tw</v>
      </c>
      <c r="M131" s="2" t="str">
        <f>"&lt;b&gt;&lt;font color='red'&gt;自願&lt;/font&gt;&lt;/b&gt;"</f>
        <v>&lt;b&gt;&lt;font color='red'&gt;自願&lt;/font&gt;&lt;/b&gt;</v>
      </c>
      <c r="N131" s="2"/>
      <c r="O131" s="2"/>
      <c r="P131" s="2"/>
      <c r="Q131" s="2"/>
    </row>
    <row r="132" spans="1:17" x14ac:dyDescent="0.3">
      <c r="A132" s="2" t="str">
        <f>"1536"</f>
        <v>1536</v>
      </c>
      <c r="B132" s="2" t="s">
        <v>742</v>
      </c>
      <c r="C132" s="2" t="s">
        <v>743</v>
      </c>
      <c r="D132" s="2" t="s">
        <v>6015</v>
      </c>
      <c r="E132" s="2" t="s">
        <v>744</v>
      </c>
      <c r="F132" s="2" t="s">
        <v>2</v>
      </c>
      <c r="G132" s="2" t="str">
        <f>"04-25692299"</f>
        <v>04-25692299</v>
      </c>
      <c r="H132" s="2" t="s">
        <v>745</v>
      </c>
      <c r="I132" s="2" t="str">
        <f>"02-27686668"</f>
        <v>02-27686668</v>
      </c>
      <c r="J132" s="2" t="str">
        <f>"自105年05月24日至105年06月20日止"</f>
        <v>自105年05月24日至105年06月20日止</v>
      </c>
      <c r="K132" s="2" t="str">
        <f>"台灣集中保管結算所股份有限公司"</f>
        <v>台灣集中保管結算所股份有限公司</v>
      </c>
      <c r="L132" s="2" t="str">
        <f>"http://www.stockvote.com.tw"</f>
        <v>http://www.stockvote.com.tw</v>
      </c>
      <c r="M132" s="2" t="str">
        <f>"強制"</f>
        <v>強制</v>
      </c>
      <c r="N132" s="2"/>
      <c r="O132" s="2"/>
      <c r="P132" s="2"/>
      <c r="Q132" s="2"/>
    </row>
    <row r="133" spans="1:17" x14ac:dyDescent="0.3">
      <c r="A133" s="2" t="str">
        <f>"1537"</f>
        <v>1537</v>
      </c>
      <c r="B133" s="2" t="s">
        <v>746</v>
      </c>
      <c r="C133" s="2" t="s">
        <v>747</v>
      </c>
      <c r="D133" s="2" t="s">
        <v>6021</v>
      </c>
      <c r="E133" s="2" t="s">
        <v>748</v>
      </c>
      <c r="F133" s="2" t="s">
        <v>2</v>
      </c>
      <c r="G133" s="2" t="str">
        <f>"049-2254777"</f>
        <v>049-2254777</v>
      </c>
      <c r="H133" s="2" t="s">
        <v>415</v>
      </c>
      <c r="I133" s="2" t="str">
        <f>"02-23892999"</f>
        <v>02-23892999</v>
      </c>
      <c r="J133" s="2" t="str">
        <f t="shared" ref="J133:L144" si="17">"--"</f>
        <v>--</v>
      </c>
      <c r="K133" s="2" t="str">
        <f t="shared" si="17"/>
        <v>--</v>
      </c>
      <c r="L133" s="2" t="str">
        <f t="shared" si="17"/>
        <v>--</v>
      </c>
      <c r="M133" s="2" t="str">
        <f>"否"</f>
        <v>否</v>
      </c>
      <c r="N133" s="2"/>
      <c r="O133" s="2"/>
      <c r="P133" s="2"/>
      <c r="Q133" s="2"/>
    </row>
    <row r="134" spans="1:17" x14ac:dyDescent="0.3">
      <c r="A134" s="2" t="str">
        <f>"1538"</f>
        <v>1538</v>
      </c>
      <c r="B134" s="2" t="s">
        <v>172</v>
      </c>
      <c r="C134" s="2" t="s">
        <v>749</v>
      </c>
      <c r="D134" s="2" t="s">
        <v>6002</v>
      </c>
      <c r="E134" s="2" t="s">
        <v>6074</v>
      </c>
      <c r="F134" s="2" t="s">
        <v>41</v>
      </c>
      <c r="G134" s="2" t="str">
        <f>"(03)490-4111"</f>
        <v>(03)490-4111</v>
      </c>
      <c r="H134" s="2" t="s">
        <v>582</v>
      </c>
      <c r="I134" s="2" t="str">
        <f>"02-25865859"</f>
        <v>02-25865859</v>
      </c>
      <c r="J134" s="2" t="str">
        <f t="shared" si="17"/>
        <v>--</v>
      </c>
      <c r="K134" s="2" t="str">
        <f t="shared" si="17"/>
        <v>--</v>
      </c>
      <c r="L134" s="2" t="str">
        <f t="shared" si="17"/>
        <v>--</v>
      </c>
      <c r="M134" s="2" t="str">
        <f>"否"</f>
        <v>否</v>
      </c>
      <c r="N134" s="2"/>
      <c r="O134" s="2"/>
      <c r="P134" s="2"/>
      <c r="Q134" s="2"/>
    </row>
    <row r="135" spans="1:17" x14ac:dyDescent="0.3">
      <c r="A135" s="2" t="str">
        <f>"1539"</f>
        <v>1539</v>
      </c>
      <c r="B135" s="2" t="s">
        <v>750</v>
      </c>
      <c r="C135" s="2" t="s">
        <v>751</v>
      </c>
      <c r="D135" s="2" t="s">
        <v>6000</v>
      </c>
      <c r="E135" s="2" t="s">
        <v>752</v>
      </c>
      <c r="F135" s="2" t="s">
        <v>2</v>
      </c>
      <c r="G135" s="2" t="str">
        <f>"(04)2270-0258"</f>
        <v>(04)2270-0258</v>
      </c>
      <c r="H135" s="2" t="s">
        <v>753</v>
      </c>
      <c r="I135" s="2" t="str">
        <f>"(02)2702-3999"</f>
        <v>(02)2702-3999</v>
      </c>
      <c r="J135" s="2" t="str">
        <f t="shared" si="17"/>
        <v>--</v>
      </c>
      <c r="K135" s="2" t="str">
        <f t="shared" si="17"/>
        <v>--</v>
      </c>
      <c r="L135" s="2" t="str">
        <f t="shared" si="17"/>
        <v>--</v>
      </c>
      <c r="M135" s="2" t="str">
        <f>"--"</f>
        <v>--</v>
      </c>
      <c r="N135" s="2"/>
      <c r="O135" s="2"/>
      <c r="P135" s="2"/>
      <c r="Q135" s="2"/>
    </row>
    <row r="136" spans="1:17" x14ac:dyDescent="0.3">
      <c r="A136" s="2" t="str">
        <f>"1540"</f>
        <v>1540</v>
      </c>
      <c r="B136" s="2" t="s">
        <v>754</v>
      </c>
      <c r="C136" s="2" t="s">
        <v>755</v>
      </c>
      <c r="D136" s="2" t="s">
        <v>6042</v>
      </c>
      <c r="E136" s="2" t="s">
        <v>6075</v>
      </c>
      <c r="F136" s="2" t="s">
        <v>2</v>
      </c>
      <c r="G136" s="2" t="str">
        <f>"(04)25624721"</f>
        <v>(04)25624721</v>
      </c>
      <c r="H136" s="2" t="s">
        <v>469</v>
      </c>
      <c r="I136" s="2" t="str">
        <f>"(02)27463797"</f>
        <v>(02)27463797</v>
      </c>
      <c r="J136" s="2" t="str">
        <f t="shared" si="17"/>
        <v>--</v>
      </c>
      <c r="K136" s="2" t="str">
        <f t="shared" si="17"/>
        <v>--</v>
      </c>
      <c r="L136" s="2" t="str">
        <f t="shared" si="17"/>
        <v>--</v>
      </c>
      <c r="M136" s="2" t="str">
        <f>"--"</f>
        <v>--</v>
      </c>
      <c r="N136" s="2"/>
      <c r="O136" s="2"/>
      <c r="P136" s="2"/>
      <c r="Q136" s="2"/>
    </row>
    <row r="137" spans="1:17" x14ac:dyDescent="0.3">
      <c r="A137" s="2" t="str">
        <f>"1541"</f>
        <v>1541</v>
      </c>
      <c r="B137" s="2" t="s">
        <v>756</v>
      </c>
      <c r="C137" s="2" t="s">
        <v>757</v>
      </c>
      <c r="D137" s="2" t="s">
        <v>6007</v>
      </c>
      <c r="E137" s="2" t="s">
        <v>758</v>
      </c>
      <c r="F137" s="2" t="s">
        <v>41</v>
      </c>
      <c r="G137" s="2" t="str">
        <f>"04-25580669"</f>
        <v>04-25580669</v>
      </c>
      <c r="H137" s="2" t="s">
        <v>456</v>
      </c>
      <c r="I137" s="2" t="str">
        <f>"02-25048125"</f>
        <v>02-25048125</v>
      </c>
      <c r="J137" s="2" t="str">
        <f t="shared" si="17"/>
        <v>--</v>
      </c>
      <c r="K137" s="2" t="str">
        <f t="shared" si="17"/>
        <v>--</v>
      </c>
      <c r="L137" s="2" t="str">
        <f t="shared" si="17"/>
        <v>--</v>
      </c>
      <c r="M137" s="2" t="str">
        <f>"--"</f>
        <v>--</v>
      </c>
      <c r="N137" s="2"/>
      <c r="O137" s="2"/>
      <c r="P137" s="2"/>
      <c r="Q137" s="2"/>
    </row>
    <row r="138" spans="1:17" x14ac:dyDescent="0.3">
      <c r="A138" s="2" t="str">
        <f>"1558"</f>
        <v>1558</v>
      </c>
      <c r="B138" s="2" t="s">
        <v>58</v>
      </c>
      <c r="C138" s="2" t="s">
        <v>759</v>
      </c>
      <c r="D138" s="2" t="s">
        <v>6002</v>
      </c>
      <c r="E138" s="2" t="s">
        <v>759</v>
      </c>
      <c r="F138" s="2" t="s">
        <v>2</v>
      </c>
      <c r="G138" s="2" t="str">
        <f>"(04)22785177"</f>
        <v>(04)22785177</v>
      </c>
      <c r="H138" s="2" t="s">
        <v>465</v>
      </c>
      <c r="I138" s="2" t="str">
        <f>"(02)23816288"</f>
        <v>(02)23816288</v>
      </c>
      <c r="J138" s="2" t="str">
        <f t="shared" si="17"/>
        <v>--</v>
      </c>
      <c r="K138" s="2" t="str">
        <f t="shared" si="17"/>
        <v>--</v>
      </c>
      <c r="L138" s="2" t="str">
        <f t="shared" si="17"/>
        <v>--</v>
      </c>
      <c r="M138" s="2" t="str">
        <f>"--"</f>
        <v>--</v>
      </c>
      <c r="N138" s="2"/>
      <c r="O138" s="2"/>
      <c r="P138" s="2"/>
      <c r="Q138" s="2"/>
    </row>
    <row r="139" spans="1:17" x14ac:dyDescent="0.3">
      <c r="A139" s="2" t="str">
        <f>"1560"</f>
        <v>1560</v>
      </c>
      <c r="B139" s="2" t="s">
        <v>760</v>
      </c>
      <c r="C139" s="2" t="s">
        <v>761</v>
      </c>
      <c r="D139" s="2" t="s">
        <v>6002</v>
      </c>
      <c r="E139" s="2" t="s">
        <v>762</v>
      </c>
      <c r="F139" s="2" t="s">
        <v>2</v>
      </c>
      <c r="G139" s="2" t="str">
        <f>"02-23711131"</f>
        <v>02-23711131</v>
      </c>
      <c r="H139" s="2" t="s">
        <v>451</v>
      </c>
      <c r="I139" s="2" t="str">
        <f>"02-23892999"</f>
        <v>02-23892999</v>
      </c>
      <c r="J139" s="2" t="str">
        <f t="shared" si="17"/>
        <v>--</v>
      </c>
      <c r="K139" s="2" t="str">
        <f t="shared" si="17"/>
        <v>--</v>
      </c>
      <c r="L139" s="2" t="str">
        <f t="shared" si="17"/>
        <v>--</v>
      </c>
      <c r="M139" s="2" t="str">
        <f>"否"</f>
        <v>否</v>
      </c>
      <c r="N139" s="2"/>
      <c r="O139" s="2"/>
      <c r="P139" s="2"/>
      <c r="Q139" s="2"/>
    </row>
    <row r="140" spans="1:17" x14ac:dyDescent="0.3">
      <c r="A140" s="2" t="str">
        <f>"1568"</f>
        <v>1568</v>
      </c>
      <c r="B140" s="2" t="s">
        <v>763</v>
      </c>
      <c r="C140" s="2" t="s">
        <v>764</v>
      </c>
      <c r="D140" s="2" t="s">
        <v>6024</v>
      </c>
      <c r="E140" s="2" t="s">
        <v>6076</v>
      </c>
      <c r="F140" s="2" t="s">
        <v>2</v>
      </c>
      <c r="G140" s="2" t="str">
        <f>"05-2200888"</f>
        <v>05-2200888</v>
      </c>
      <c r="H140" s="2" t="s">
        <v>451</v>
      </c>
      <c r="I140" s="2" t="str">
        <f>"02-23892999"</f>
        <v>02-23892999</v>
      </c>
      <c r="J140" s="2" t="str">
        <f t="shared" si="17"/>
        <v>--</v>
      </c>
      <c r="K140" s="2" t="str">
        <f t="shared" si="17"/>
        <v>--</v>
      </c>
      <c r="L140" s="2" t="str">
        <f t="shared" si="17"/>
        <v>--</v>
      </c>
      <c r="M140" s="2" t="str">
        <f>"否"</f>
        <v>否</v>
      </c>
      <c r="N140" s="2"/>
      <c r="O140" s="2"/>
      <c r="P140" s="2"/>
      <c r="Q140" s="2"/>
    </row>
    <row r="141" spans="1:17" x14ac:dyDescent="0.3">
      <c r="A141" s="2" t="str">
        <f>"1582"</f>
        <v>1582</v>
      </c>
      <c r="B141" s="2" t="s">
        <v>765</v>
      </c>
      <c r="C141" s="2" t="s">
        <v>766</v>
      </c>
      <c r="D141" s="2" t="s">
        <v>6025</v>
      </c>
      <c r="E141" s="2" t="s">
        <v>6077</v>
      </c>
      <c r="F141" s="2" t="s">
        <v>41</v>
      </c>
      <c r="G141" s="2" t="str">
        <f>"02-66215888"</f>
        <v>02-66215888</v>
      </c>
      <c r="H141" s="2" t="s">
        <v>404</v>
      </c>
      <c r="I141" s="2" t="str">
        <f>"02-66365566"</f>
        <v>02-66365566</v>
      </c>
      <c r="J141" s="2" t="str">
        <f t="shared" si="17"/>
        <v>--</v>
      </c>
      <c r="K141" s="2" t="str">
        <f t="shared" si="17"/>
        <v>--</v>
      </c>
      <c r="L141" s="2" t="str">
        <f t="shared" si="17"/>
        <v>--</v>
      </c>
      <c r="M141" s="2" t="str">
        <f>"否"</f>
        <v>否</v>
      </c>
      <c r="N141" s="2"/>
      <c r="O141" s="2"/>
      <c r="P141" s="2"/>
      <c r="Q141" s="2"/>
    </row>
    <row r="142" spans="1:17" x14ac:dyDescent="0.3">
      <c r="A142" s="2" t="str">
        <f>"1583"</f>
        <v>1583</v>
      </c>
      <c r="B142" s="2" t="s">
        <v>767</v>
      </c>
      <c r="C142" s="2" t="s">
        <v>768</v>
      </c>
      <c r="D142" s="2" t="s">
        <v>6007</v>
      </c>
      <c r="E142" s="2" t="s">
        <v>769</v>
      </c>
      <c r="F142" s="2" t="s">
        <v>2</v>
      </c>
      <c r="G142" s="2" t="str">
        <f>"(04)2463-6000"</f>
        <v>(04)2463-6000</v>
      </c>
      <c r="H142" s="2" t="s">
        <v>456</v>
      </c>
      <c r="I142" s="2" t="str">
        <f>"02-25048125"</f>
        <v>02-25048125</v>
      </c>
      <c r="J142" s="2" t="str">
        <f t="shared" si="17"/>
        <v>--</v>
      </c>
      <c r="K142" s="2" t="str">
        <f t="shared" si="17"/>
        <v>--</v>
      </c>
      <c r="L142" s="2" t="str">
        <f t="shared" si="17"/>
        <v>--</v>
      </c>
      <c r="M142" s="2" t="str">
        <f>"--"</f>
        <v>--</v>
      </c>
      <c r="N142" s="2"/>
      <c r="O142" s="2"/>
      <c r="P142" s="2"/>
      <c r="Q142" s="2"/>
    </row>
    <row r="143" spans="1:17" x14ac:dyDescent="0.3">
      <c r="A143" s="2" t="str">
        <f>"1589"</f>
        <v>1589</v>
      </c>
      <c r="B143" s="2" t="s">
        <v>770</v>
      </c>
      <c r="C143" s="2" t="s">
        <v>6078</v>
      </c>
      <c r="D143" s="2" t="s">
        <v>6024</v>
      </c>
      <c r="E143" s="2" t="s">
        <v>6079</v>
      </c>
      <c r="F143" s="2" t="s">
        <v>41</v>
      </c>
      <c r="G143" s="2" t="str">
        <f>"(02)2791-7198"</f>
        <v>(02)2791-7198</v>
      </c>
      <c r="H143" s="2" t="s">
        <v>411</v>
      </c>
      <c r="I143" s="2" t="str">
        <f>"(02)2702-3999"</f>
        <v>(02)2702-3999</v>
      </c>
      <c r="J143" s="2" t="str">
        <f t="shared" si="17"/>
        <v>--</v>
      </c>
      <c r="K143" s="2" t="str">
        <f t="shared" si="17"/>
        <v>--</v>
      </c>
      <c r="L143" s="2" t="str">
        <f t="shared" si="17"/>
        <v>--</v>
      </c>
      <c r="M143" s="2" t="str">
        <f>"--"</f>
        <v>--</v>
      </c>
      <c r="N143" s="2"/>
      <c r="O143" s="2"/>
      <c r="P143" s="2"/>
      <c r="Q143" s="2"/>
    </row>
    <row r="144" spans="1:17" x14ac:dyDescent="0.3">
      <c r="A144" s="2" t="str">
        <f>"1590"</f>
        <v>1590</v>
      </c>
      <c r="B144" s="2" t="s">
        <v>771</v>
      </c>
      <c r="C144" s="2" t="s">
        <v>772</v>
      </c>
      <c r="D144" s="2" t="s">
        <v>6080</v>
      </c>
      <c r="E144" s="2" t="s">
        <v>773</v>
      </c>
      <c r="F144" s="2" t="s">
        <v>41</v>
      </c>
      <c r="G144" s="2" t="str">
        <f>"(02)27197538"</f>
        <v>(02)27197538</v>
      </c>
      <c r="H144" s="2" t="s">
        <v>404</v>
      </c>
      <c r="I144" s="2" t="str">
        <f>"(02)6636-5566"</f>
        <v>(02)6636-5566</v>
      </c>
      <c r="J144" s="2" t="str">
        <f t="shared" si="17"/>
        <v>--</v>
      </c>
      <c r="K144" s="2" t="str">
        <f t="shared" si="17"/>
        <v>--</v>
      </c>
      <c r="L144" s="2" t="str">
        <f t="shared" si="17"/>
        <v>--</v>
      </c>
      <c r="M144" s="2" t="str">
        <f>"否"</f>
        <v>否</v>
      </c>
      <c r="N144" s="2"/>
      <c r="O144" s="2"/>
      <c r="P144" s="2"/>
      <c r="Q144" s="2"/>
    </row>
    <row r="145" spans="1:17" x14ac:dyDescent="0.3">
      <c r="A145" s="2" t="str">
        <f>"1592"</f>
        <v>1592</v>
      </c>
      <c r="B145" s="2" t="s">
        <v>774</v>
      </c>
      <c r="C145" s="2" t="s">
        <v>775</v>
      </c>
      <c r="D145" s="2" t="s">
        <v>6034</v>
      </c>
      <c r="E145" s="2" t="s">
        <v>6081</v>
      </c>
      <c r="F145" s="2" t="s">
        <v>2</v>
      </c>
      <c r="G145" s="2" t="str">
        <f>"06-2931556"</f>
        <v>06-2931556</v>
      </c>
      <c r="H145" s="2" t="s">
        <v>505</v>
      </c>
      <c r="I145" s="2" t="str">
        <f>"02 2381-6288"</f>
        <v>02 2381-6288</v>
      </c>
      <c r="J145" s="2" t="str">
        <f>"自105年04月27日至105年05月24日止"</f>
        <v>自105年04月27日至105年05月24日止</v>
      </c>
      <c r="K145" s="2" t="str">
        <f t="shared" ref="K145:K153" si="18">"台灣集中保管結算所股份有限公司"</f>
        <v>台灣集中保管結算所股份有限公司</v>
      </c>
      <c r="L145" s="2" t="str">
        <f t="shared" ref="L145:L153" si="19">"http://www.stockvote.com.tw"</f>
        <v>http://www.stockvote.com.tw</v>
      </c>
      <c r="M145" s="2" t="str">
        <f>"&lt;b&gt;&lt;font color='red'&gt;自願&lt;/font&gt;&lt;/b&gt;"</f>
        <v>&lt;b&gt;&lt;font color='red'&gt;自願&lt;/font&gt;&lt;/b&gt;</v>
      </c>
      <c r="N145" s="2"/>
      <c r="O145" s="2"/>
      <c r="P145" s="2"/>
      <c r="Q145" s="2"/>
    </row>
    <row r="146" spans="1:17" x14ac:dyDescent="0.3">
      <c r="A146" s="2" t="str">
        <f>"1603"</f>
        <v>1603</v>
      </c>
      <c r="B146" s="2" t="s">
        <v>776</v>
      </c>
      <c r="C146" s="2" t="s">
        <v>777</v>
      </c>
      <c r="D146" s="2" t="s">
        <v>6001</v>
      </c>
      <c r="E146" s="2" t="s">
        <v>778</v>
      </c>
      <c r="F146" s="2" t="s">
        <v>2</v>
      </c>
      <c r="G146" s="2" t="str">
        <f>"2599-3456"</f>
        <v>2599-3456</v>
      </c>
      <c r="H146" s="2" t="s">
        <v>631</v>
      </c>
      <c r="I146" s="2" t="str">
        <f>"2541-9977"</f>
        <v>2541-9977</v>
      </c>
      <c r="J146" s="2" t="str">
        <f>"自105年05月28日至105年06月24日止"</f>
        <v>自105年05月28日至105年06月24日止</v>
      </c>
      <c r="K146" s="2" t="str">
        <f t="shared" si="18"/>
        <v>台灣集中保管結算所股份有限公司</v>
      </c>
      <c r="L146" s="2" t="str">
        <f t="shared" si="19"/>
        <v>http://www.stockvote.com.tw</v>
      </c>
      <c r="M146" s="2" t="str">
        <f>"強制"</f>
        <v>強制</v>
      </c>
      <c r="N146" s="2"/>
      <c r="O146" s="2"/>
      <c r="P146" s="2"/>
      <c r="Q146" s="2"/>
    </row>
    <row r="147" spans="1:17" x14ac:dyDescent="0.3">
      <c r="A147" s="2" t="str">
        <f>"1604"</f>
        <v>1604</v>
      </c>
      <c r="B147" s="2" t="s">
        <v>118</v>
      </c>
      <c r="C147" s="2" t="s">
        <v>779</v>
      </c>
      <c r="D147" s="2" t="s">
        <v>6002</v>
      </c>
      <c r="E147" s="2" t="s">
        <v>780</v>
      </c>
      <c r="F147" s="2" t="s">
        <v>2</v>
      </c>
      <c r="G147" s="2" t="str">
        <f>"03-3975151"</f>
        <v>03-3975151</v>
      </c>
      <c r="H147" s="2" t="s">
        <v>6006</v>
      </c>
      <c r="I147" s="2" t="str">
        <f>"02-25865859"</f>
        <v>02-25865859</v>
      </c>
      <c r="J147" s="2" t="str">
        <f>"自105年05月14日至105年06月12日止"</f>
        <v>自105年05月14日至105年06月12日止</v>
      </c>
      <c r="K147" s="2" t="str">
        <f t="shared" si="18"/>
        <v>台灣集中保管結算所股份有限公司</v>
      </c>
      <c r="L147" s="2" t="str">
        <f t="shared" si="19"/>
        <v>http://www.stockvote.com.tw</v>
      </c>
      <c r="M147" s="2" t="str">
        <f>"&lt;b&gt;&lt;font color='red'&gt;自願&lt;/font&gt;&lt;/b&gt;"</f>
        <v>&lt;b&gt;&lt;font color='red'&gt;自願&lt;/font&gt;&lt;/b&gt;</v>
      </c>
      <c r="N147" s="2"/>
      <c r="O147" s="2"/>
      <c r="P147" s="2"/>
      <c r="Q147" s="2"/>
    </row>
    <row r="148" spans="1:17" x14ac:dyDescent="0.3">
      <c r="A148" s="2" t="str">
        <f>"1605"</f>
        <v>1605</v>
      </c>
      <c r="B148" s="2" t="s">
        <v>781</v>
      </c>
      <c r="C148" s="2" t="s">
        <v>782</v>
      </c>
      <c r="D148" s="2" t="s">
        <v>6082</v>
      </c>
      <c r="E148" s="2" t="s">
        <v>6083</v>
      </c>
      <c r="F148" s="2" t="s">
        <v>41</v>
      </c>
      <c r="G148" s="2" t="str">
        <f>"(02)8726-2211"</f>
        <v>(02)8726-2211</v>
      </c>
      <c r="H148" s="2" t="s">
        <v>514</v>
      </c>
      <c r="I148" s="2" t="str">
        <f>"(02)2790-5885"</f>
        <v>(02)2790-5885</v>
      </c>
      <c r="J148" s="2" t="str">
        <f>"自105年04月25日至105年05月22日止"</f>
        <v>自105年04月25日至105年05月22日止</v>
      </c>
      <c r="K148" s="2" t="str">
        <f t="shared" si="18"/>
        <v>台灣集中保管結算所股份有限公司</v>
      </c>
      <c r="L148" s="2" t="str">
        <f t="shared" si="19"/>
        <v>http://www.stockvote.com.tw</v>
      </c>
      <c r="M148" s="2" t="str">
        <f>"強制"</f>
        <v>強制</v>
      </c>
      <c r="N148" s="2"/>
      <c r="O148" s="2"/>
      <c r="P148" s="2"/>
      <c r="Q148" s="2"/>
    </row>
    <row r="149" spans="1:17" x14ac:dyDescent="0.3">
      <c r="A149" s="2" t="str">
        <f>"1608"</f>
        <v>1608</v>
      </c>
      <c r="B149" s="2" t="s">
        <v>783</v>
      </c>
      <c r="C149" s="2" t="s">
        <v>784</v>
      </c>
      <c r="D149" s="2" t="s">
        <v>6028</v>
      </c>
      <c r="E149" s="2" t="s">
        <v>785</v>
      </c>
      <c r="F149" s="2" t="s">
        <v>2</v>
      </c>
      <c r="G149" s="2" t="str">
        <f>"07-2814161"</f>
        <v>07-2814161</v>
      </c>
      <c r="H149" s="2" t="s">
        <v>786</v>
      </c>
      <c r="I149" s="2" t="str">
        <f>"02-27717611"</f>
        <v>02-27717611</v>
      </c>
      <c r="J149" s="2" t="str">
        <f>"自105年05月17日至105年06月13日止"</f>
        <v>自105年05月17日至105年06月13日止</v>
      </c>
      <c r="K149" s="2" t="str">
        <f t="shared" si="18"/>
        <v>台灣集中保管結算所股份有限公司</v>
      </c>
      <c r="L149" s="2" t="str">
        <f t="shared" si="19"/>
        <v>http://www.stockvote.com.tw</v>
      </c>
      <c r="M149" s="2" t="str">
        <f>"強制"</f>
        <v>強制</v>
      </c>
      <c r="N149" s="2"/>
      <c r="O149" s="2"/>
      <c r="P149" s="2"/>
      <c r="Q149" s="2"/>
    </row>
    <row r="150" spans="1:17" x14ac:dyDescent="0.3">
      <c r="A150" s="2" t="str">
        <f>"1609"</f>
        <v>1609</v>
      </c>
      <c r="B150" s="2" t="s">
        <v>787</v>
      </c>
      <c r="C150" s="2" t="s">
        <v>788</v>
      </c>
      <c r="D150" s="2" t="s">
        <v>6025</v>
      </c>
      <c r="E150" s="2" t="s">
        <v>789</v>
      </c>
      <c r="F150" s="2" t="s">
        <v>2</v>
      </c>
      <c r="G150" s="2" t="str">
        <f>"06-5953131"</f>
        <v>06-5953131</v>
      </c>
      <c r="H150" s="2" t="s">
        <v>451</v>
      </c>
      <c r="I150" s="2" t="str">
        <f>"02-23892999"</f>
        <v>02-23892999</v>
      </c>
      <c r="J150" s="2" t="str">
        <f>"自105年05月09日至105年06月05日止"</f>
        <v>自105年05月09日至105年06月05日止</v>
      </c>
      <c r="K150" s="2" t="str">
        <f t="shared" si="18"/>
        <v>台灣集中保管結算所股份有限公司</v>
      </c>
      <c r="L150" s="2" t="str">
        <f t="shared" si="19"/>
        <v>http://www.stockvote.com.tw</v>
      </c>
      <c r="M150" s="2" t="str">
        <f>"強制"</f>
        <v>強制</v>
      </c>
      <c r="N150" s="2"/>
      <c r="O150" s="2"/>
      <c r="P150" s="2"/>
      <c r="Q150" s="2"/>
    </row>
    <row r="151" spans="1:17" x14ac:dyDescent="0.3">
      <c r="A151" s="2" t="str">
        <f>"1611"</f>
        <v>1611</v>
      </c>
      <c r="B151" s="2" t="s">
        <v>236</v>
      </c>
      <c r="C151" s="2" t="s">
        <v>790</v>
      </c>
      <c r="D151" s="2" t="s">
        <v>6015</v>
      </c>
      <c r="E151" s="2" t="s">
        <v>6084</v>
      </c>
      <c r="F151" s="2" t="s">
        <v>2</v>
      </c>
      <c r="G151" s="2" t="str">
        <f>"(02)23914311"</f>
        <v>(02)23914311</v>
      </c>
      <c r="H151" s="2" t="s">
        <v>431</v>
      </c>
      <c r="I151" s="2" t="str">
        <f>"02-2702-3999"</f>
        <v>02-2702-3999</v>
      </c>
      <c r="J151" s="2" t="str">
        <f>"自105年05月24日至105年06月20日止"</f>
        <v>自105年05月24日至105年06月20日止</v>
      </c>
      <c r="K151" s="2" t="str">
        <f t="shared" si="18"/>
        <v>台灣集中保管結算所股份有限公司</v>
      </c>
      <c r="L151" s="2" t="str">
        <f t="shared" si="19"/>
        <v>http://www.stockvote.com.tw</v>
      </c>
      <c r="M151" s="2" t="str">
        <f>"--"</f>
        <v>--</v>
      </c>
      <c r="N151" s="2"/>
      <c r="O151" s="2"/>
      <c r="P151" s="2"/>
      <c r="Q151" s="2"/>
    </row>
    <row r="152" spans="1:17" x14ac:dyDescent="0.3">
      <c r="A152" s="2" t="str">
        <f>"1612"</f>
        <v>1612</v>
      </c>
      <c r="B152" s="2" t="s">
        <v>216</v>
      </c>
      <c r="C152" s="2" t="s">
        <v>6085</v>
      </c>
      <c r="D152" s="2" t="s">
        <v>6000</v>
      </c>
      <c r="E152" s="2" t="s">
        <v>6086</v>
      </c>
      <c r="F152" s="2" t="s">
        <v>41</v>
      </c>
      <c r="G152" s="2" t="str">
        <f>"(02)27011000"</f>
        <v>(02)27011000</v>
      </c>
      <c r="H152" s="2" t="s">
        <v>791</v>
      </c>
      <c r="I152" s="2" t="str">
        <f>"(02)2371-1658"</f>
        <v>(02)2371-1658</v>
      </c>
      <c r="J152" s="2" t="str">
        <f>"自105年05月21日至105年06月18日止"</f>
        <v>自105年05月21日至105年06月18日止</v>
      </c>
      <c r="K152" s="2" t="str">
        <f t="shared" si="18"/>
        <v>台灣集中保管結算所股份有限公司</v>
      </c>
      <c r="L152" s="2" t="str">
        <f t="shared" si="19"/>
        <v>http://www.stockvote.com.tw</v>
      </c>
      <c r="M152" s="2" t="str">
        <f>"--"</f>
        <v>--</v>
      </c>
      <c r="N152" s="2"/>
      <c r="O152" s="2"/>
      <c r="P152" s="2"/>
      <c r="Q152" s="2"/>
    </row>
    <row r="153" spans="1:17" x14ac:dyDescent="0.3">
      <c r="A153" s="2" t="str">
        <f>"1613"</f>
        <v>1613</v>
      </c>
      <c r="B153" s="2" t="s">
        <v>19</v>
      </c>
      <c r="C153" s="2" t="s">
        <v>792</v>
      </c>
      <c r="D153" s="2" t="s">
        <v>6007</v>
      </c>
      <c r="E153" s="2" t="s">
        <v>6087</v>
      </c>
      <c r="F153" s="2" t="s">
        <v>41</v>
      </c>
      <c r="G153" s="2" t="str">
        <f>"02-27187333"</f>
        <v>02-27187333</v>
      </c>
      <c r="H153" s="2" t="s">
        <v>793</v>
      </c>
      <c r="I153" s="2" t="str">
        <f>"02-27186425"</f>
        <v>02-27186425</v>
      </c>
      <c r="J153" s="2" t="str">
        <f>"自105年05月28日至105年06月25日止"</f>
        <v>自105年05月28日至105年06月25日止</v>
      </c>
      <c r="K153" s="2" t="str">
        <f t="shared" si="18"/>
        <v>台灣集中保管結算所股份有限公司</v>
      </c>
      <c r="L153" s="2" t="str">
        <f t="shared" si="19"/>
        <v>http://www.stockvote.com.tw</v>
      </c>
      <c r="M153" s="2" t="str">
        <f>"強制"</f>
        <v>強制</v>
      </c>
      <c r="N153" s="2"/>
      <c r="O153" s="2"/>
      <c r="P153" s="2"/>
      <c r="Q153" s="2"/>
    </row>
    <row r="154" spans="1:17" x14ac:dyDescent="0.3">
      <c r="A154" s="2" t="str">
        <f>"1614"</f>
        <v>1614</v>
      </c>
      <c r="B154" s="2" t="s">
        <v>794</v>
      </c>
      <c r="C154" s="2" t="s">
        <v>795</v>
      </c>
      <c r="D154" s="2" t="s">
        <v>6016</v>
      </c>
      <c r="E154" s="2" t="s">
        <v>796</v>
      </c>
      <c r="F154" s="2" t="s">
        <v>2</v>
      </c>
      <c r="G154" s="2" t="str">
        <f>"(02)25210251"</f>
        <v>(02)25210251</v>
      </c>
      <c r="H154" s="2" t="s">
        <v>574</v>
      </c>
      <c r="I154" s="2" t="str">
        <f>"(02)2718-6425"</f>
        <v>(02)2718-6425</v>
      </c>
      <c r="J154" s="2" t="str">
        <f>"--"</f>
        <v>--</v>
      </c>
      <c r="K154" s="2" t="str">
        <f>"--"</f>
        <v>--</v>
      </c>
      <c r="L154" s="2" t="str">
        <f>"--"</f>
        <v>--</v>
      </c>
      <c r="M154" s="2" t="str">
        <f>"--"</f>
        <v>--</v>
      </c>
      <c r="N154" s="2"/>
      <c r="O154" s="2"/>
      <c r="P154" s="2"/>
      <c r="Q154" s="2"/>
    </row>
    <row r="155" spans="1:17" x14ac:dyDescent="0.3">
      <c r="A155" s="2" t="str">
        <f>"1615"</f>
        <v>1615</v>
      </c>
      <c r="B155" s="2" t="s">
        <v>797</v>
      </c>
      <c r="C155" s="2" t="s">
        <v>798</v>
      </c>
      <c r="D155" s="2" t="s">
        <v>6051</v>
      </c>
      <c r="E155" s="2" t="s">
        <v>799</v>
      </c>
      <c r="F155" s="2" t="s">
        <v>41</v>
      </c>
      <c r="G155" s="2" t="str">
        <f>"05-5222331"</f>
        <v>05-5222331</v>
      </c>
      <c r="H155" s="2" t="s">
        <v>451</v>
      </c>
      <c r="I155" s="2" t="str">
        <f>"02-23892999"</f>
        <v>02-23892999</v>
      </c>
      <c r="J155" s="2" t="str">
        <f t="shared" ref="J155:L157" si="20">"--"</f>
        <v>--</v>
      </c>
      <c r="K155" s="2" t="str">
        <f t="shared" si="20"/>
        <v>--</v>
      </c>
      <c r="L155" s="2" t="str">
        <f t="shared" si="20"/>
        <v>--</v>
      </c>
      <c r="M155" s="2" t="str">
        <f>"否"</f>
        <v>否</v>
      </c>
      <c r="N155" s="2"/>
      <c r="O155" s="2"/>
      <c r="P155" s="2"/>
      <c r="Q155" s="2"/>
    </row>
    <row r="156" spans="1:17" x14ac:dyDescent="0.3">
      <c r="A156" s="2" t="str">
        <f>"1616"</f>
        <v>1616</v>
      </c>
      <c r="B156" s="2" t="s">
        <v>800</v>
      </c>
      <c r="C156" s="2" t="s">
        <v>801</v>
      </c>
      <c r="D156" s="2" t="s">
        <v>6024</v>
      </c>
      <c r="E156" s="2" t="s">
        <v>6088</v>
      </c>
      <c r="F156" s="2" t="s">
        <v>41</v>
      </c>
      <c r="G156" s="2" t="str">
        <f>"02-2321-8855"</f>
        <v>02-2321-8855</v>
      </c>
      <c r="H156" s="2" t="s">
        <v>653</v>
      </c>
      <c r="I156" s="2" t="str">
        <f>"02-2768-6668"</f>
        <v>02-2768-6668</v>
      </c>
      <c r="J156" s="2" t="str">
        <f t="shared" si="20"/>
        <v>--</v>
      </c>
      <c r="K156" s="2" t="str">
        <f t="shared" si="20"/>
        <v>--</v>
      </c>
      <c r="L156" s="2" t="str">
        <f t="shared" si="20"/>
        <v>--</v>
      </c>
      <c r="M156" s="2" t="str">
        <f>"否"</f>
        <v>否</v>
      </c>
      <c r="N156" s="2"/>
      <c r="O156" s="2"/>
      <c r="P156" s="2"/>
      <c r="Q156" s="2"/>
    </row>
    <row r="157" spans="1:17" x14ac:dyDescent="0.3">
      <c r="A157" s="2" t="str">
        <f>"1617"</f>
        <v>1617</v>
      </c>
      <c r="B157" s="2" t="s">
        <v>802</v>
      </c>
      <c r="C157" s="2" t="s">
        <v>803</v>
      </c>
      <c r="D157" s="2" t="s">
        <v>6016</v>
      </c>
      <c r="E157" s="2" t="s">
        <v>6089</v>
      </c>
      <c r="F157" s="2" t="s">
        <v>41</v>
      </c>
      <c r="G157" s="2" t="str">
        <f>"06-2705211"</f>
        <v>06-2705211</v>
      </c>
      <c r="H157" s="2" t="s">
        <v>404</v>
      </c>
      <c r="I157" s="2" t="str">
        <f>"02-66365566"</f>
        <v>02-66365566</v>
      </c>
      <c r="J157" s="2" t="str">
        <f t="shared" si="20"/>
        <v>--</v>
      </c>
      <c r="K157" s="2" t="str">
        <f t="shared" si="20"/>
        <v>--</v>
      </c>
      <c r="L157" s="2" t="str">
        <f t="shared" si="20"/>
        <v>--</v>
      </c>
      <c r="M157" s="2" t="str">
        <f>"否"</f>
        <v>否</v>
      </c>
      <c r="N157" s="2"/>
      <c r="O157" s="2"/>
      <c r="P157" s="2"/>
      <c r="Q157" s="2"/>
    </row>
    <row r="158" spans="1:17" x14ac:dyDescent="0.3">
      <c r="A158" s="2" t="str">
        <f>"1618"</f>
        <v>1618</v>
      </c>
      <c r="B158" s="2" t="s">
        <v>804</v>
      </c>
      <c r="C158" s="2" t="s">
        <v>805</v>
      </c>
      <c r="D158" s="2" t="s">
        <v>6001</v>
      </c>
      <c r="E158" s="2" t="s">
        <v>1927</v>
      </c>
      <c r="F158" s="2" t="s">
        <v>41</v>
      </c>
      <c r="G158" s="2" t="str">
        <f>"02-23956603"</f>
        <v>02-23956603</v>
      </c>
      <c r="H158" s="2" t="s">
        <v>806</v>
      </c>
      <c r="I158" s="2" t="str">
        <f>"02-87871888"</f>
        <v>02-87871888</v>
      </c>
      <c r="J158" s="2" t="str">
        <f>"自105年05月28日至105年06月24日止"</f>
        <v>自105年05月28日至105年06月24日止</v>
      </c>
      <c r="K158" s="2" t="str">
        <f>"台灣集中保管結算所股份有限公司"</f>
        <v>台灣集中保管結算所股份有限公司</v>
      </c>
      <c r="L158" s="2" t="str">
        <f>"http://www.stockvote.com.tw"</f>
        <v>http://www.stockvote.com.tw</v>
      </c>
      <c r="M158" s="2" t="str">
        <f>"強制"</f>
        <v>強制</v>
      </c>
      <c r="N158" s="2"/>
      <c r="O158" s="2"/>
      <c r="P158" s="2"/>
      <c r="Q158" s="2"/>
    </row>
    <row r="159" spans="1:17" x14ac:dyDescent="0.3">
      <c r="A159" s="2" t="str">
        <f>"1626"</f>
        <v>1626</v>
      </c>
      <c r="B159" s="2" t="s">
        <v>807</v>
      </c>
      <c r="C159" s="2" t="s">
        <v>808</v>
      </c>
      <c r="D159" s="2" t="s">
        <v>6031</v>
      </c>
      <c r="E159" s="2" t="s">
        <v>809</v>
      </c>
      <c r="F159" s="2" t="s">
        <v>2</v>
      </c>
      <c r="G159" s="2" t="str">
        <f>"8675527655988"</f>
        <v>8675527655988</v>
      </c>
      <c r="H159" s="2" t="s">
        <v>404</v>
      </c>
      <c r="I159" s="2" t="str">
        <f>"02- 6636 5566"</f>
        <v>02- 6636 5566</v>
      </c>
      <c r="J159" s="2" t="str">
        <f>"--"</f>
        <v>--</v>
      </c>
      <c r="K159" s="2" t="str">
        <f>"--"</f>
        <v>--</v>
      </c>
      <c r="L159" s="2" t="str">
        <f>"--"</f>
        <v>--</v>
      </c>
      <c r="M159" s="2" t="str">
        <f>"否"</f>
        <v>否</v>
      </c>
      <c r="N159" s="2"/>
      <c r="O159" s="2"/>
      <c r="P159" s="2"/>
      <c r="Q159" s="2"/>
    </row>
    <row r="160" spans="1:17" x14ac:dyDescent="0.3">
      <c r="A160" s="2" t="str">
        <f>"1701"</f>
        <v>1701</v>
      </c>
      <c r="B160" s="2" t="s">
        <v>43</v>
      </c>
      <c r="C160" s="2" t="s">
        <v>810</v>
      </c>
      <c r="D160" s="2" t="s">
        <v>6034</v>
      </c>
      <c r="E160" s="2" t="s">
        <v>811</v>
      </c>
      <c r="F160" s="2" t="s">
        <v>41</v>
      </c>
      <c r="G160" s="2" t="str">
        <f>"02-23124200"</f>
        <v>02-23124200</v>
      </c>
      <c r="H160" s="2" t="s">
        <v>415</v>
      </c>
      <c r="I160" s="2" t="str">
        <f>"02-23892999"</f>
        <v>02-23892999</v>
      </c>
      <c r="J160" s="2" t="str">
        <f>"自105年04月27日至105年05月24日止"</f>
        <v>自105年04月27日至105年05月24日止</v>
      </c>
      <c r="K160" s="2" t="str">
        <f>"台灣集中保管結算所股份有限公司"</f>
        <v>台灣集中保管結算所股份有限公司</v>
      </c>
      <c r="L160" s="2" t="str">
        <f>"http://www.stockvote.com.tw"</f>
        <v>http://www.stockvote.com.tw</v>
      </c>
      <c r="M160" s="2" t="str">
        <f>"強制"</f>
        <v>強制</v>
      </c>
      <c r="N160" s="2"/>
      <c r="O160" s="2"/>
      <c r="P160" s="2"/>
      <c r="Q160" s="2"/>
    </row>
    <row r="161" spans="1:17" x14ac:dyDescent="0.3">
      <c r="A161" s="2" t="str">
        <f>"1702"</f>
        <v>1702</v>
      </c>
      <c r="B161" s="2" t="s">
        <v>812</v>
      </c>
      <c r="C161" s="2" t="s">
        <v>813</v>
      </c>
      <c r="D161" s="2" t="s">
        <v>6025</v>
      </c>
      <c r="E161" s="2" t="s">
        <v>814</v>
      </c>
      <c r="F161" s="2" t="s">
        <v>41</v>
      </c>
      <c r="G161" s="2" t="str">
        <f>"(02)2535-1251"</f>
        <v>(02)2535-1251</v>
      </c>
      <c r="H161" s="2" t="s">
        <v>404</v>
      </c>
      <c r="I161" s="2" t="str">
        <f>"(02)6636-5566"</f>
        <v>(02)6636-5566</v>
      </c>
      <c r="J161" s="2" t="str">
        <f>"自105年05月09日至105年06月05日止"</f>
        <v>自105年05月09日至105年06月05日止</v>
      </c>
      <c r="K161" s="2" t="str">
        <f>"台灣集中保管結算所股份有限公司"</f>
        <v>台灣集中保管結算所股份有限公司</v>
      </c>
      <c r="L161" s="2" t="str">
        <f>"http://www.stockvote.com.tw"</f>
        <v>http://www.stockvote.com.tw</v>
      </c>
      <c r="M161" s="2" t="str">
        <f>"強制"</f>
        <v>強制</v>
      </c>
      <c r="N161" s="2"/>
      <c r="O161" s="2"/>
      <c r="P161" s="2"/>
      <c r="Q161" s="2"/>
    </row>
    <row r="162" spans="1:17" x14ac:dyDescent="0.3">
      <c r="A162" s="2" t="str">
        <f>"1704"</f>
        <v>1704</v>
      </c>
      <c r="B162" s="2" t="s">
        <v>815</v>
      </c>
      <c r="C162" s="2" t="s">
        <v>816</v>
      </c>
      <c r="D162" s="2" t="s">
        <v>6000</v>
      </c>
      <c r="E162" s="2" t="s">
        <v>6090</v>
      </c>
      <c r="F162" s="2" t="s">
        <v>41</v>
      </c>
      <c r="G162" s="2" t="str">
        <f>"(02)2763-1611"</f>
        <v>(02)2763-1611</v>
      </c>
      <c r="H162" s="2" t="s">
        <v>817</v>
      </c>
      <c r="I162" s="2" t="str">
        <f>"(02)6636-5566"</f>
        <v>(02)6636-5566</v>
      </c>
      <c r="J162" s="2" t="str">
        <f>"自105年05月22日至105年06月18日止"</f>
        <v>自105年05月22日至105年06月18日止</v>
      </c>
      <c r="K162" s="2" t="str">
        <f>"台灣集中保管結算所股份有限公司"</f>
        <v>台灣集中保管結算所股份有限公司</v>
      </c>
      <c r="L162" s="2" t="str">
        <f>"http://www.stockvote.com.tw"</f>
        <v>http://www.stockvote.com.tw</v>
      </c>
      <c r="M162" s="2" t="str">
        <f>"--"</f>
        <v>--</v>
      </c>
      <c r="N162" s="2"/>
      <c r="O162" s="2"/>
      <c r="P162" s="2"/>
      <c r="Q162" s="2"/>
    </row>
    <row r="163" spans="1:17" x14ac:dyDescent="0.3">
      <c r="A163" s="2" t="str">
        <f>"1707"</f>
        <v>1707</v>
      </c>
      <c r="B163" s="2" t="s">
        <v>273</v>
      </c>
      <c r="C163" s="2" t="s">
        <v>818</v>
      </c>
      <c r="D163" s="2" t="s">
        <v>6028</v>
      </c>
      <c r="E163" s="2" t="s">
        <v>819</v>
      </c>
      <c r="F163" s="2" t="s">
        <v>2</v>
      </c>
      <c r="G163" s="2" t="str">
        <f>"03-4572121"</f>
        <v>03-4572121</v>
      </c>
      <c r="H163" s="2" t="s">
        <v>431</v>
      </c>
      <c r="I163" s="2" t="str">
        <f>"02-27023999"</f>
        <v>02-27023999</v>
      </c>
      <c r="J163" s="2" t="str">
        <f t="shared" ref="J163:L164" si="21">"--"</f>
        <v>--</v>
      </c>
      <c r="K163" s="2" t="str">
        <f t="shared" si="21"/>
        <v>--</v>
      </c>
      <c r="L163" s="2" t="str">
        <f t="shared" si="21"/>
        <v>--</v>
      </c>
      <c r="M163" s="2" t="str">
        <f>"--"</f>
        <v>--</v>
      </c>
      <c r="N163" s="2"/>
      <c r="O163" s="2"/>
      <c r="P163" s="2"/>
      <c r="Q163" s="2"/>
    </row>
    <row r="164" spans="1:17" x14ac:dyDescent="0.3">
      <c r="A164" s="2" t="str">
        <f>"1708"</f>
        <v>1708</v>
      </c>
      <c r="B164" s="2" t="s">
        <v>0</v>
      </c>
      <c r="C164" s="2" t="s">
        <v>820</v>
      </c>
      <c r="D164" s="2" t="s">
        <v>6091</v>
      </c>
      <c r="E164" s="2" t="s">
        <v>821</v>
      </c>
      <c r="F164" s="2" t="s">
        <v>2</v>
      </c>
      <c r="G164" s="2" t="str">
        <f>"27047272"</f>
        <v>27047272</v>
      </c>
      <c r="H164" s="2" t="s">
        <v>404</v>
      </c>
      <c r="I164" s="2" t="str">
        <f>"(02)6636-5566"</f>
        <v>(02)6636-5566</v>
      </c>
      <c r="J164" s="2" t="str">
        <f t="shared" si="21"/>
        <v>--</v>
      </c>
      <c r="K164" s="2" t="str">
        <f t="shared" si="21"/>
        <v>--</v>
      </c>
      <c r="L164" s="2" t="str">
        <f t="shared" si="21"/>
        <v>--</v>
      </c>
      <c r="M164" s="2" t="str">
        <f>"否"</f>
        <v>否</v>
      </c>
      <c r="N164" s="2"/>
      <c r="O164" s="2"/>
      <c r="P164" s="2"/>
      <c r="Q164" s="2"/>
    </row>
    <row r="165" spans="1:17" x14ac:dyDescent="0.3">
      <c r="A165" s="2" t="str">
        <f>"1709"</f>
        <v>1709</v>
      </c>
      <c r="B165" s="2" t="s">
        <v>822</v>
      </c>
      <c r="C165" s="2" t="s">
        <v>823</v>
      </c>
      <c r="D165" s="2" t="s">
        <v>6002</v>
      </c>
      <c r="E165" s="2" t="s">
        <v>824</v>
      </c>
      <c r="F165" s="2" t="s">
        <v>2</v>
      </c>
      <c r="G165" s="2" t="str">
        <f>"02-25071234"</f>
        <v>02-25071234</v>
      </c>
      <c r="H165" s="2" t="s">
        <v>825</v>
      </c>
      <c r="I165" s="2" t="str">
        <f>"02-25071234"</f>
        <v>02-25071234</v>
      </c>
      <c r="J165" s="2" t="str">
        <f>"自105年05月16日至105年06月12日止"</f>
        <v>自105年05月16日至105年06月12日止</v>
      </c>
      <c r="K165" s="2" t="str">
        <f>"台灣集中保管結算所股份有限公司"</f>
        <v>台灣集中保管結算所股份有限公司</v>
      </c>
      <c r="L165" s="2" t="str">
        <f>"http://www.stockvote.com.tw"</f>
        <v>http://www.stockvote.com.tw</v>
      </c>
      <c r="M165" s="2" t="str">
        <f>"--"</f>
        <v>--</v>
      </c>
      <c r="N165" s="2"/>
      <c r="O165" s="2"/>
      <c r="P165" s="2"/>
      <c r="Q165" s="2"/>
    </row>
    <row r="166" spans="1:17" x14ac:dyDescent="0.3">
      <c r="A166" s="2" t="str">
        <f>"1710"</f>
        <v>1710</v>
      </c>
      <c r="B166" s="2" t="s">
        <v>826</v>
      </c>
      <c r="C166" s="2" t="s">
        <v>827</v>
      </c>
      <c r="D166" s="2" t="s">
        <v>6024</v>
      </c>
      <c r="E166" s="2" t="s">
        <v>550</v>
      </c>
      <c r="F166" s="2" t="s">
        <v>2</v>
      </c>
      <c r="G166" s="2" t="str">
        <f>"27193333"</f>
        <v>27193333</v>
      </c>
      <c r="H166" s="2" t="s">
        <v>828</v>
      </c>
      <c r="I166" s="2" t="str">
        <f>"2361-8608"</f>
        <v>2361-8608</v>
      </c>
      <c r="J166" s="2" t="str">
        <f>"--"</f>
        <v>--</v>
      </c>
      <c r="K166" s="2" t="str">
        <f>"--"</f>
        <v>--</v>
      </c>
      <c r="L166" s="2" t="str">
        <f>"--"</f>
        <v>--</v>
      </c>
      <c r="M166" s="2" t="str">
        <f>"--"</f>
        <v>--</v>
      </c>
      <c r="N166" s="2"/>
      <c r="O166" s="2"/>
      <c r="P166" s="2"/>
      <c r="Q166" s="2"/>
    </row>
    <row r="167" spans="1:17" x14ac:dyDescent="0.3">
      <c r="A167" s="2" t="str">
        <f>"1711"</f>
        <v>1711</v>
      </c>
      <c r="B167" s="2" t="s">
        <v>829</v>
      </c>
      <c r="C167" s="2" t="s">
        <v>830</v>
      </c>
      <c r="D167" s="2" t="s">
        <v>6002</v>
      </c>
      <c r="E167" s="2" t="s">
        <v>6092</v>
      </c>
      <c r="F167" s="2" t="s">
        <v>2</v>
      </c>
      <c r="G167" s="2" t="str">
        <f>"(02)27066006"</f>
        <v>(02)27066006</v>
      </c>
      <c r="H167" s="2" t="s">
        <v>831</v>
      </c>
      <c r="I167" s="2" t="str">
        <f>"02-33930898"</f>
        <v>02-33930898</v>
      </c>
      <c r="J167" s="2" t="str">
        <f>"自105年05月16日至105年06月12日止"</f>
        <v>自105年05月16日至105年06月12日止</v>
      </c>
      <c r="K167" s="2" t="str">
        <f>"台灣集中保管結算所股份有限公司"</f>
        <v>台灣集中保管結算所股份有限公司</v>
      </c>
      <c r="L167" s="2" t="str">
        <f>"http://www.stockvote.com.tw"</f>
        <v>http://www.stockvote.com.tw</v>
      </c>
      <c r="M167" s="2" t="str">
        <f>"強制"</f>
        <v>強制</v>
      </c>
      <c r="N167" s="2"/>
      <c r="O167" s="2"/>
      <c r="P167" s="2"/>
      <c r="Q167" s="2"/>
    </row>
    <row r="168" spans="1:17" x14ac:dyDescent="0.3">
      <c r="A168" s="2" t="str">
        <f>"1712"</f>
        <v>1712</v>
      </c>
      <c r="B168" s="2" t="s">
        <v>188</v>
      </c>
      <c r="C168" s="2" t="s">
        <v>832</v>
      </c>
      <c r="D168" s="2" t="s">
        <v>6004</v>
      </c>
      <c r="E168" s="2" t="s">
        <v>833</v>
      </c>
      <c r="F168" s="2" t="s">
        <v>2</v>
      </c>
      <c r="G168" s="2" t="str">
        <f>"04-26933841"</f>
        <v>04-26933841</v>
      </c>
      <c r="H168" s="2" t="s">
        <v>431</v>
      </c>
      <c r="I168" s="2" t="str">
        <f>"02-27023999"</f>
        <v>02-27023999</v>
      </c>
      <c r="J168" s="2" t="str">
        <f>"自105年05月18日至105年06月14日止"</f>
        <v>自105年05月18日至105年06月14日止</v>
      </c>
      <c r="K168" s="2" t="str">
        <f>"台灣集中保管結算所股份有限公司"</f>
        <v>台灣集中保管結算所股份有限公司</v>
      </c>
      <c r="L168" s="2" t="str">
        <f>"http://www.stockvote.com.tw"</f>
        <v>http://www.stockvote.com.tw</v>
      </c>
      <c r="M168" s="2" t="str">
        <f>"--"</f>
        <v>--</v>
      </c>
      <c r="N168" s="2"/>
      <c r="O168" s="2"/>
      <c r="P168" s="2"/>
      <c r="Q168" s="2"/>
    </row>
    <row r="169" spans="1:17" x14ac:dyDescent="0.3">
      <c r="A169" s="2" t="str">
        <f>"1713"</f>
        <v>1713</v>
      </c>
      <c r="B169" s="2" t="s">
        <v>834</v>
      </c>
      <c r="C169" s="2" t="s">
        <v>835</v>
      </c>
      <c r="D169" s="2" t="s">
        <v>5999</v>
      </c>
      <c r="E169" s="2" t="s">
        <v>836</v>
      </c>
      <c r="F169" s="2" t="s">
        <v>2</v>
      </c>
      <c r="G169" s="2" t="str">
        <f>"(02)27811161"</f>
        <v>(02)27811161</v>
      </c>
      <c r="H169" s="2" t="s">
        <v>524</v>
      </c>
      <c r="I169" s="2" t="str">
        <f>"(02)23892999"</f>
        <v>(02)23892999</v>
      </c>
      <c r="J169" s="2" t="str">
        <f>"--"</f>
        <v>--</v>
      </c>
      <c r="K169" s="2" t="str">
        <f>"--"</f>
        <v>--</v>
      </c>
      <c r="L169" s="2" t="str">
        <f>"--"</f>
        <v>--</v>
      </c>
      <c r="M169" s="2" t="str">
        <f>"否"</f>
        <v>否</v>
      </c>
      <c r="N169" s="2"/>
      <c r="O169" s="2"/>
      <c r="P169" s="2"/>
      <c r="Q169" s="2"/>
    </row>
    <row r="170" spans="1:17" x14ac:dyDescent="0.3">
      <c r="A170" s="2" t="str">
        <f>"1714"</f>
        <v>1714</v>
      </c>
      <c r="B170" s="2" t="s">
        <v>837</v>
      </c>
      <c r="C170" s="2" t="s">
        <v>838</v>
      </c>
      <c r="D170" s="2" t="s">
        <v>6000</v>
      </c>
      <c r="E170" s="2" t="s">
        <v>839</v>
      </c>
      <c r="F170" s="2" t="s">
        <v>41</v>
      </c>
      <c r="G170" s="2" t="str">
        <f>"89769268"</f>
        <v>89769268</v>
      </c>
      <c r="H170" s="2" t="s">
        <v>840</v>
      </c>
      <c r="I170" s="2" t="str">
        <f>"89769289"</f>
        <v>89769289</v>
      </c>
      <c r="J170" s="2" t="str">
        <f>"自105年05月22日至105年06月18日止"</f>
        <v>自105年05月22日至105年06月18日止</v>
      </c>
      <c r="K170" s="2" t="str">
        <f>"台灣集中保管結算所股份有限公司"</f>
        <v>台灣集中保管結算所股份有限公司</v>
      </c>
      <c r="L170" s="2" t="str">
        <f>"http://www.stockvote.com.tw"</f>
        <v>http://www.stockvote.com.tw</v>
      </c>
      <c r="M170" s="2" t="str">
        <f>"強制"</f>
        <v>強制</v>
      </c>
      <c r="N170" s="2"/>
      <c r="O170" s="2"/>
      <c r="P170" s="2"/>
      <c r="Q170" s="2"/>
    </row>
    <row r="171" spans="1:17" x14ac:dyDescent="0.3">
      <c r="A171" s="2" t="str">
        <f>"1715"</f>
        <v>1715</v>
      </c>
      <c r="B171" s="2" t="s">
        <v>841</v>
      </c>
      <c r="C171" s="2" t="s">
        <v>6093</v>
      </c>
      <c r="D171" s="2" t="s">
        <v>6015</v>
      </c>
      <c r="E171" s="2" t="s">
        <v>6094</v>
      </c>
      <c r="F171" s="2" t="s">
        <v>2</v>
      </c>
      <c r="G171" s="2" t="str">
        <f>"02-81706199"</f>
        <v>02-81706199</v>
      </c>
      <c r="H171" s="2" t="s">
        <v>640</v>
      </c>
      <c r="I171" s="2" t="str">
        <f>"02-23711658"</f>
        <v>02-23711658</v>
      </c>
      <c r="J171" s="2" t="str">
        <f>"自105年05月24日至105年06月20日止"</f>
        <v>自105年05月24日至105年06月20日止</v>
      </c>
      <c r="K171" s="2" t="str">
        <f>"台灣集中保管結算所股份有限公司"</f>
        <v>台灣集中保管結算所股份有限公司</v>
      </c>
      <c r="L171" s="2" t="str">
        <f>"http://www.stockvote.com.tw"</f>
        <v>http://www.stockvote.com.tw</v>
      </c>
      <c r="M171" s="2" t="str">
        <f>"--"</f>
        <v>--</v>
      </c>
      <c r="N171" s="2"/>
      <c r="O171" s="2"/>
      <c r="P171" s="2"/>
      <c r="Q171" s="2"/>
    </row>
    <row r="172" spans="1:17" x14ac:dyDescent="0.3">
      <c r="A172" s="2" t="str">
        <f>"1717"</f>
        <v>1717</v>
      </c>
      <c r="B172" s="2" t="s">
        <v>842</v>
      </c>
      <c r="C172" s="2" t="s">
        <v>843</v>
      </c>
      <c r="D172" s="2" t="s">
        <v>6002</v>
      </c>
      <c r="E172" s="2" t="s">
        <v>6095</v>
      </c>
      <c r="F172" s="2" t="s">
        <v>41</v>
      </c>
      <c r="G172" s="2" t="str">
        <f>"07-3838181"</f>
        <v>07-3838181</v>
      </c>
      <c r="H172" s="2" t="s">
        <v>469</v>
      </c>
      <c r="I172" s="2" t="str">
        <f>"02-27478266"</f>
        <v>02-27478266</v>
      </c>
      <c r="J172" s="2" t="str">
        <f>"自105年05月14日至105年06月12日止"</f>
        <v>自105年05月14日至105年06月12日止</v>
      </c>
      <c r="K172" s="2" t="str">
        <f>"台灣集中保管結算所股份有限公司"</f>
        <v>台灣集中保管結算所股份有限公司</v>
      </c>
      <c r="L172" s="2" t="str">
        <f>"http://www.stockvote.com.tw"</f>
        <v>http://www.stockvote.com.tw</v>
      </c>
      <c r="M172" s="2" t="str">
        <f>"--"</f>
        <v>--</v>
      </c>
      <c r="N172" s="2"/>
      <c r="O172" s="2"/>
      <c r="P172" s="2"/>
      <c r="Q172" s="2"/>
    </row>
    <row r="173" spans="1:17" x14ac:dyDescent="0.3">
      <c r="A173" s="2" t="str">
        <f>"1718"</f>
        <v>1718</v>
      </c>
      <c r="B173" s="2" t="s">
        <v>68</v>
      </c>
      <c r="C173" s="2" t="s">
        <v>844</v>
      </c>
      <c r="D173" s="2" t="s">
        <v>6025</v>
      </c>
      <c r="E173" s="2" t="s">
        <v>845</v>
      </c>
      <c r="F173" s="2" t="s">
        <v>41</v>
      </c>
      <c r="G173" s="2" t="str">
        <f>"02-23937111"</f>
        <v>02-23937111</v>
      </c>
      <c r="H173" s="2" t="s">
        <v>514</v>
      </c>
      <c r="I173" s="2" t="str">
        <f>"02-23937111"</f>
        <v>02-23937111</v>
      </c>
      <c r="J173" s="2" t="str">
        <f>"自105年05月07日至105年06月05日止"</f>
        <v>自105年05月07日至105年06月05日止</v>
      </c>
      <c r="K173" s="2" t="str">
        <f>"台灣集中保管結算所股份有限公司"</f>
        <v>台灣集中保管結算所股份有限公司</v>
      </c>
      <c r="L173" s="2" t="str">
        <f>"http://www.stockvote.com.tw"</f>
        <v>http://www.stockvote.com.tw</v>
      </c>
      <c r="M173" s="2" t="str">
        <f>"強制"</f>
        <v>強制</v>
      </c>
      <c r="N173" s="2"/>
      <c r="O173" s="2"/>
      <c r="P173" s="2"/>
      <c r="Q173" s="2"/>
    </row>
    <row r="174" spans="1:17" x14ac:dyDescent="0.3">
      <c r="A174" s="2" t="str">
        <f>"1720"</f>
        <v>1720</v>
      </c>
      <c r="B174" s="2" t="s">
        <v>846</v>
      </c>
      <c r="C174" s="2" t="s">
        <v>847</v>
      </c>
      <c r="D174" s="2" t="s">
        <v>6004</v>
      </c>
      <c r="E174" s="2" t="s">
        <v>848</v>
      </c>
      <c r="F174" s="2" t="s">
        <v>2</v>
      </c>
      <c r="G174" s="2" t="str">
        <f>"(06)636-1516"</f>
        <v>(06)636-1516</v>
      </c>
      <c r="H174" s="2" t="s">
        <v>653</v>
      </c>
      <c r="I174" s="2" t="str">
        <f>"0227686668"</f>
        <v>0227686668</v>
      </c>
      <c r="J174" s="2" t="str">
        <f>"--"</f>
        <v>--</v>
      </c>
      <c r="K174" s="2" t="str">
        <f>"--"</f>
        <v>--</v>
      </c>
      <c r="L174" s="2" t="str">
        <f>"--"</f>
        <v>--</v>
      </c>
      <c r="M174" s="2" t="str">
        <f>"--"</f>
        <v>--</v>
      </c>
      <c r="N174" s="2"/>
      <c r="O174" s="2"/>
      <c r="P174" s="2"/>
      <c r="Q174" s="2"/>
    </row>
    <row r="175" spans="1:17" x14ac:dyDescent="0.3">
      <c r="A175" s="2" t="str">
        <f>"1721"</f>
        <v>1721</v>
      </c>
      <c r="B175" s="2" t="s">
        <v>5</v>
      </c>
      <c r="C175" s="2" t="s">
        <v>849</v>
      </c>
      <c r="D175" s="2" t="s">
        <v>6051</v>
      </c>
      <c r="E175" s="2" t="s">
        <v>850</v>
      </c>
      <c r="F175" s="2" t="s">
        <v>2</v>
      </c>
      <c r="G175" s="2" t="str">
        <f>"(04)24952389"</f>
        <v>(04)24952389</v>
      </c>
      <c r="H175" s="2" t="s">
        <v>465</v>
      </c>
      <c r="I175" s="2" t="str">
        <f>"02-23816288"</f>
        <v>02-23816288</v>
      </c>
      <c r="J175" s="2" t="str">
        <f>"自105年05月04日至105年05月31日止"</f>
        <v>自105年05月04日至105年05月31日止</v>
      </c>
      <c r="K175" s="2" t="str">
        <f>"台灣集中保管結算所股份有限公司"</f>
        <v>台灣集中保管結算所股份有限公司</v>
      </c>
      <c r="L175" s="2" t="str">
        <f>"http://www.stockvote.com.tw"</f>
        <v>http://www.stockvote.com.tw</v>
      </c>
      <c r="M175" s="2" t="str">
        <f>"強制"</f>
        <v>強制</v>
      </c>
      <c r="N175" s="2"/>
      <c r="O175" s="2"/>
      <c r="P175" s="2"/>
      <c r="Q175" s="2"/>
    </row>
    <row r="176" spans="1:17" x14ac:dyDescent="0.3">
      <c r="A176" s="2"/>
      <c r="B176" s="2"/>
      <c r="C176" s="2"/>
      <c r="D176" s="2"/>
      <c r="E176" s="2"/>
      <c r="F176" s="2"/>
      <c r="G176" s="2"/>
      <c r="H176" s="2"/>
      <c r="I176" s="2"/>
      <c r="J176" s="2"/>
      <c r="K176" s="2"/>
      <c r="L176" s="2"/>
      <c r="M176" s="2"/>
      <c r="N176" s="2"/>
      <c r="O176" s="2"/>
      <c r="P176" s="2"/>
      <c r="Q176" s="2"/>
    </row>
    <row r="177" spans="1:17" x14ac:dyDescent="0.3">
      <c r="A177" s="2" t="str">
        <f>"1722"</f>
        <v>1722</v>
      </c>
      <c r="B177" s="2" t="s">
        <v>241</v>
      </c>
      <c r="C177" s="2" t="s">
        <v>851</v>
      </c>
      <c r="D177" s="2" t="s">
        <v>6014</v>
      </c>
      <c r="E177" s="2" t="s">
        <v>6096</v>
      </c>
      <c r="F177" s="2" t="s">
        <v>2</v>
      </c>
      <c r="G177" s="2" t="str">
        <f>"25422231"</f>
        <v>25422231</v>
      </c>
      <c r="H177" s="2" t="s">
        <v>852</v>
      </c>
      <c r="I177" s="2" t="str">
        <f>"25422231"</f>
        <v>25422231</v>
      </c>
      <c r="J177" s="2" t="str">
        <f>"自105年05月30日至105年06月26日止"</f>
        <v>自105年05月30日至105年06月26日止</v>
      </c>
      <c r="K177" s="2" t="str">
        <f>"台灣集中保管結算所股份有限公司"</f>
        <v>台灣集中保管結算所股份有限公司</v>
      </c>
      <c r="L177" s="2" t="str">
        <f>"http://www.stockvote.com.tw"</f>
        <v>http://www.stockvote.com.tw</v>
      </c>
      <c r="M177" s="2" t="str">
        <f>"--"</f>
        <v>--</v>
      </c>
      <c r="N177" s="2"/>
      <c r="O177" s="2"/>
      <c r="P177" s="2"/>
      <c r="Q177" s="2"/>
    </row>
    <row r="178" spans="1:17" x14ac:dyDescent="0.3">
      <c r="A178" s="2" t="str">
        <f>"1723"</f>
        <v>1723</v>
      </c>
      <c r="B178" s="2" t="s">
        <v>853</v>
      </c>
      <c r="C178" s="2" t="s">
        <v>854</v>
      </c>
      <c r="D178" s="2" t="s">
        <v>6028</v>
      </c>
      <c r="E178" s="2" t="s">
        <v>6097</v>
      </c>
      <c r="F178" s="2" t="s">
        <v>41</v>
      </c>
      <c r="G178" s="2" t="str">
        <f>"(07)3383515"</f>
        <v>(07)3383515</v>
      </c>
      <c r="H178" s="2" t="s">
        <v>431</v>
      </c>
      <c r="I178" s="2" t="str">
        <f>"(02)2703-5000"</f>
        <v>(02)2703-5000</v>
      </c>
      <c r="J178" s="2" t="str">
        <f>"自105年05月17日至105年06月13日止"</f>
        <v>自105年05月17日至105年06月13日止</v>
      </c>
      <c r="K178" s="2" t="str">
        <f>"台灣集中保管結算所股份有限公司"</f>
        <v>台灣集中保管結算所股份有限公司</v>
      </c>
      <c r="L178" s="2" t="str">
        <f>"http://www.stockvote.com.tw"</f>
        <v>http://www.stockvote.com.tw</v>
      </c>
      <c r="M178" s="2" t="str">
        <f>"強制"</f>
        <v>強制</v>
      </c>
      <c r="N178" s="2"/>
      <c r="O178" s="2"/>
      <c r="P178" s="2"/>
      <c r="Q178" s="2"/>
    </row>
    <row r="179" spans="1:17" x14ac:dyDescent="0.3">
      <c r="A179" s="2" t="str">
        <f>"1724"</f>
        <v>1724</v>
      </c>
      <c r="B179" s="2" t="s">
        <v>855</v>
      </c>
      <c r="C179" s="2" t="s">
        <v>856</v>
      </c>
      <c r="D179" s="2" t="s">
        <v>6028</v>
      </c>
      <c r="E179" s="2" t="s">
        <v>6098</v>
      </c>
      <c r="F179" s="2" t="s">
        <v>41</v>
      </c>
      <c r="G179" s="2" t="str">
        <f>"(03)356-6289"</f>
        <v>(03)356-6289</v>
      </c>
      <c r="H179" s="2" t="s">
        <v>6006</v>
      </c>
      <c r="I179" s="2" t="str">
        <f>"(02)25865859"</f>
        <v>(02)25865859</v>
      </c>
      <c r="J179" s="2" t="str">
        <f>"--"</f>
        <v>--</v>
      </c>
      <c r="K179" s="2" t="str">
        <f>"--"</f>
        <v>--</v>
      </c>
      <c r="L179" s="2" t="str">
        <f>"--"</f>
        <v>--</v>
      </c>
      <c r="M179" s="2" t="str">
        <f>"--"</f>
        <v>--</v>
      </c>
      <c r="N179" s="2"/>
      <c r="O179" s="2"/>
      <c r="P179" s="2"/>
      <c r="Q179" s="2"/>
    </row>
    <row r="180" spans="1:17" x14ac:dyDescent="0.3">
      <c r="A180" s="2" t="str">
        <f>"1725"</f>
        <v>1725</v>
      </c>
      <c r="B180" s="2" t="s">
        <v>857</v>
      </c>
      <c r="C180" s="2" t="s">
        <v>858</v>
      </c>
      <c r="D180" s="2" t="s">
        <v>6025</v>
      </c>
      <c r="E180" s="2" t="s">
        <v>6099</v>
      </c>
      <c r="F180" s="2" t="s">
        <v>2</v>
      </c>
      <c r="G180" s="2" t="str">
        <f>"(02)27172222"</f>
        <v>(02)27172222</v>
      </c>
      <c r="H180" s="2" t="s">
        <v>859</v>
      </c>
      <c r="I180" s="2" t="str">
        <f>"02-27186425"</f>
        <v>02-27186425</v>
      </c>
      <c r="J180" s="2" t="str">
        <f t="shared" ref="J180:L190" si="22">"--"</f>
        <v>--</v>
      </c>
      <c r="K180" s="2" t="str">
        <f t="shared" si="22"/>
        <v>--</v>
      </c>
      <c r="L180" s="2" t="str">
        <f t="shared" si="22"/>
        <v>--</v>
      </c>
      <c r="M180" s="2" t="str">
        <f>"否"</f>
        <v>否</v>
      </c>
      <c r="N180" s="2"/>
      <c r="O180" s="2"/>
      <c r="P180" s="2"/>
      <c r="Q180" s="2"/>
    </row>
    <row r="181" spans="1:17" x14ac:dyDescent="0.3">
      <c r="A181" s="2" t="str">
        <f>"1726"</f>
        <v>1726</v>
      </c>
      <c r="B181" s="2" t="s">
        <v>860</v>
      </c>
      <c r="C181" s="2" t="s">
        <v>861</v>
      </c>
      <c r="D181" s="2" t="s">
        <v>6042</v>
      </c>
      <c r="E181" s="2" t="s">
        <v>862</v>
      </c>
      <c r="F181" s="2" t="s">
        <v>2</v>
      </c>
      <c r="G181" s="2" t="str">
        <f>"07-8713181"</f>
        <v>07-8713181</v>
      </c>
      <c r="H181" s="2" t="s">
        <v>431</v>
      </c>
      <c r="I181" s="2" t="str">
        <f>"02-27023999"</f>
        <v>02-27023999</v>
      </c>
      <c r="J181" s="2" t="str">
        <f t="shared" si="22"/>
        <v>--</v>
      </c>
      <c r="K181" s="2" t="str">
        <f t="shared" si="22"/>
        <v>--</v>
      </c>
      <c r="L181" s="2" t="str">
        <f t="shared" si="22"/>
        <v>--</v>
      </c>
      <c r="M181" s="2" t="str">
        <f>"--"</f>
        <v>--</v>
      </c>
      <c r="N181" s="2"/>
      <c r="O181" s="2"/>
      <c r="P181" s="2"/>
      <c r="Q181" s="2"/>
    </row>
    <row r="182" spans="1:17" x14ac:dyDescent="0.3">
      <c r="A182" s="2" t="str">
        <f>"1727"</f>
        <v>1727</v>
      </c>
      <c r="B182" s="2" t="s">
        <v>863</v>
      </c>
      <c r="C182" s="2" t="s">
        <v>6100</v>
      </c>
      <c r="D182" s="2" t="s">
        <v>6000</v>
      </c>
      <c r="E182" s="2" t="s">
        <v>6100</v>
      </c>
      <c r="F182" s="2" t="s">
        <v>2</v>
      </c>
      <c r="G182" s="2" t="str">
        <f>"03-4761266"</f>
        <v>03-4761266</v>
      </c>
      <c r="H182" s="2" t="s">
        <v>465</v>
      </c>
      <c r="I182" s="2" t="str">
        <f>"02-23816288"</f>
        <v>02-23816288</v>
      </c>
      <c r="J182" s="2" t="str">
        <f t="shared" si="22"/>
        <v>--</v>
      </c>
      <c r="K182" s="2" t="str">
        <f t="shared" si="22"/>
        <v>--</v>
      </c>
      <c r="L182" s="2" t="str">
        <f t="shared" si="22"/>
        <v>--</v>
      </c>
      <c r="M182" s="2" t="str">
        <f>"--"</f>
        <v>--</v>
      </c>
      <c r="N182" s="2"/>
      <c r="O182" s="2"/>
      <c r="P182" s="2"/>
      <c r="Q182" s="2"/>
    </row>
    <row r="183" spans="1:17" x14ac:dyDescent="0.3">
      <c r="A183" s="2" t="str">
        <f>"1729"</f>
        <v>1729</v>
      </c>
      <c r="B183" s="2" t="s">
        <v>864</v>
      </c>
      <c r="C183" s="2" t="s">
        <v>865</v>
      </c>
      <c r="D183" s="2" t="s">
        <v>6051</v>
      </c>
      <c r="E183" s="2" t="s">
        <v>866</v>
      </c>
      <c r="F183" s="2" t="s">
        <v>2</v>
      </c>
      <c r="G183" s="2" t="str">
        <f>"(03)5688585"</f>
        <v>(03)5688585</v>
      </c>
      <c r="H183" s="2" t="s">
        <v>469</v>
      </c>
      <c r="I183" s="2" t="str">
        <f>"(02)27463797"</f>
        <v>(02)27463797</v>
      </c>
      <c r="J183" s="2" t="str">
        <f t="shared" si="22"/>
        <v>--</v>
      </c>
      <c r="K183" s="2" t="str">
        <f t="shared" si="22"/>
        <v>--</v>
      </c>
      <c r="L183" s="2" t="str">
        <f t="shared" si="22"/>
        <v>--</v>
      </c>
      <c r="M183" s="2" t="str">
        <f t="shared" ref="M183:M188" si="23">"否"</f>
        <v>否</v>
      </c>
      <c r="N183" s="2"/>
      <c r="O183" s="2"/>
      <c r="P183" s="2"/>
      <c r="Q183" s="2"/>
    </row>
    <row r="184" spans="1:17" x14ac:dyDescent="0.3">
      <c r="A184" s="2" t="str">
        <f>"1730"</f>
        <v>1730</v>
      </c>
      <c r="B184" s="2" t="s">
        <v>867</v>
      </c>
      <c r="C184" s="2" t="s">
        <v>868</v>
      </c>
      <c r="D184" s="2" t="s">
        <v>6002</v>
      </c>
      <c r="E184" s="2" t="s">
        <v>869</v>
      </c>
      <c r="F184" s="2" t="s">
        <v>2</v>
      </c>
      <c r="G184" s="2" t="str">
        <f>"2592-2860"</f>
        <v>2592-2860</v>
      </c>
      <c r="H184" s="2" t="s">
        <v>817</v>
      </c>
      <c r="I184" s="2" t="str">
        <f>"(02)66365566"</f>
        <v>(02)66365566</v>
      </c>
      <c r="J184" s="2" t="str">
        <f t="shared" si="22"/>
        <v>--</v>
      </c>
      <c r="K184" s="2" t="str">
        <f t="shared" si="22"/>
        <v>--</v>
      </c>
      <c r="L184" s="2" t="str">
        <f t="shared" si="22"/>
        <v>--</v>
      </c>
      <c r="M184" s="2" t="str">
        <f t="shared" si="23"/>
        <v>否</v>
      </c>
      <c r="N184" s="2"/>
      <c r="O184" s="2"/>
      <c r="P184" s="2"/>
      <c r="Q184" s="2"/>
    </row>
    <row r="185" spans="1:17" x14ac:dyDescent="0.3">
      <c r="A185" s="2" t="str">
        <f>"1731"</f>
        <v>1731</v>
      </c>
      <c r="B185" s="2" t="s">
        <v>13</v>
      </c>
      <c r="C185" s="2" t="s">
        <v>870</v>
      </c>
      <c r="D185" s="2" t="s">
        <v>6037</v>
      </c>
      <c r="E185" s="2" t="s">
        <v>871</v>
      </c>
      <c r="F185" s="2" t="s">
        <v>2</v>
      </c>
      <c r="G185" s="2" t="str">
        <f>"02-2713-6621"</f>
        <v>02-2713-6621</v>
      </c>
      <c r="H185" s="2" t="s">
        <v>640</v>
      </c>
      <c r="I185" s="2" t="str">
        <f>"02-2371-1658"</f>
        <v>02-2371-1658</v>
      </c>
      <c r="J185" s="2" t="str">
        <f t="shared" si="22"/>
        <v>--</v>
      </c>
      <c r="K185" s="2" t="str">
        <f t="shared" si="22"/>
        <v>--</v>
      </c>
      <c r="L185" s="2" t="str">
        <f t="shared" si="22"/>
        <v>--</v>
      </c>
      <c r="M185" s="2" t="str">
        <f t="shared" si="23"/>
        <v>否</v>
      </c>
      <c r="N185" s="2"/>
      <c r="O185" s="2"/>
      <c r="P185" s="2"/>
      <c r="Q185" s="2"/>
    </row>
    <row r="186" spans="1:17" x14ac:dyDescent="0.3">
      <c r="A186" s="2" t="str">
        <f>"1732"</f>
        <v>1732</v>
      </c>
      <c r="B186" s="2" t="s">
        <v>872</v>
      </c>
      <c r="C186" s="2" t="s">
        <v>873</v>
      </c>
      <c r="D186" s="2" t="s">
        <v>6004</v>
      </c>
      <c r="E186" s="2" t="s">
        <v>6101</v>
      </c>
      <c r="F186" s="2" t="s">
        <v>2</v>
      </c>
      <c r="G186" s="2" t="str">
        <f>"(02)8976-2277"</f>
        <v>(02)8976-2277</v>
      </c>
      <c r="H186" s="2" t="s">
        <v>404</v>
      </c>
      <c r="I186" s="2" t="str">
        <f>"(02)6636-5566"</f>
        <v>(02)6636-5566</v>
      </c>
      <c r="J186" s="2" t="str">
        <f t="shared" si="22"/>
        <v>--</v>
      </c>
      <c r="K186" s="2" t="str">
        <f t="shared" si="22"/>
        <v>--</v>
      </c>
      <c r="L186" s="2" t="str">
        <f t="shared" si="22"/>
        <v>--</v>
      </c>
      <c r="M186" s="2" t="str">
        <f t="shared" si="23"/>
        <v>否</v>
      </c>
      <c r="N186" s="2"/>
      <c r="O186" s="2"/>
      <c r="P186" s="2"/>
      <c r="Q186" s="2"/>
    </row>
    <row r="187" spans="1:17" x14ac:dyDescent="0.3">
      <c r="A187" s="2" t="str">
        <f>"1733"</f>
        <v>1733</v>
      </c>
      <c r="B187" s="2" t="s">
        <v>198</v>
      </c>
      <c r="C187" s="2" t="s">
        <v>874</v>
      </c>
      <c r="D187" s="2" t="s">
        <v>6037</v>
      </c>
      <c r="E187" s="2" t="s">
        <v>875</v>
      </c>
      <c r="F187" s="2" t="s">
        <v>2</v>
      </c>
      <c r="G187" s="2" t="str">
        <f>"03564-1952"</f>
        <v>03564-1952</v>
      </c>
      <c r="H187" s="2" t="s">
        <v>456</v>
      </c>
      <c r="I187" s="2" t="str">
        <f>"02-25048125"</f>
        <v>02-25048125</v>
      </c>
      <c r="J187" s="2" t="str">
        <f t="shared" si="22"/>
        <v>--</v>
      </c>
      <c r="K187" s="2" t="str">
        <f t="shared" si="22"/>
        <v>--</v>
      </c>
      <c r="L187" s="2" t="str">
        <f t="shared" si="22"/>
        <v>--</v>
      </c>
      <c r="M187" s="2" t="str">
        <f t="shared" si="23"/>
        <v>否</v>
      </c>
      <c r="N187" s="2"/>
      <c r="O187" s="2"/>
      <c r="P187" s="2"/>
      <c r="Q187" s="2"/>
    </row>
    <row r="188" spans="1:17" x14ac:dyDescent="0.3">
      <c r="A188" s="2" t="str">
        <f>"1734"</f>
        <v>1734</v>
      </c>
      <c r="B188" s="2" t="s">
        <v>876</v>
      </c>
      <c r="C188" s="2" t="s">
        <v>877</v>
      </c>
      <c r="D188" s="2" t="s">
        <v>6000</v>
      </c>
      <c r="E188" s="2" t="s">
        <v>878</v>
      </c>
      <c r="F188" s="2" t="s">
        <v>2</v>
      </c>
      <c r="G188" s="2" t="str">
        <f>"(03)958-1101"</f>
        <v>(03)958-1101</v>
      </c>
      <c r="H188" s="2" t="s">
        <v>505</v>
      </c>
      <c r="I188" s="2" t="str">
        <f>"(02)2381-6288"</f>
        <v>(02)2381-6288</v>
      </c>
      <c r="J188" s="2" t="str">
        <f t="shared" si="22"/>
        <v>--</v>
      </c>
      <c r="K188" s="2" t="str">
        <f t="shared" si="22"/>
        <v>--</v>
      </c>
      <c r="L188" s="2" t="str">
        <f t="shared" si="22"/>
        <v>--</v>
      </c>
      <c r="M188" s="2" t="str">
        <f t="shared" si="23"/>
        <v>否</v>
      </c>
      <c r="N188" s="2"/>
      <c r="O188" s="2"/>
      <c r="P188" s="2"/>
      <c r="Q188" s="2"/>
    </row>
    <row r="189" spans="1:17" x14ac:dyDescent="0.3">
      <c r="A189" s="2" t="str">
        <f>"1735"</f>
        <v>1735</v>
      </c>
      <c r="B189" s="2" t="s">
        <v>879</v>
      </c>
      <c r="C189" s="2" t="s">
        <v>880</v>
      </c>
      <c r="D189" s="2" t="s">
        <v>6015</v>
      </c>
      <c r="E189" s="2" t="s">
        <v>881</v>
      </c>
      <c r="F189" s="2" t="s">
        <v>2</v>
      </c>
      <c r="G189" s="2" t="str">
        <f>"049-2255357"</f>
        <v>049-2255357</v>
      </c>
      <c r="H189" s="2" t="s">
        <v>451</v>
      </c>
      <c r="I189" s="2" t="str">
        <f>"02-23148800"</f>
        <v>02-23148800</v>
      </c>
      <c r="J189" s="2" t="str">
        <f t="shared" si="22"/>
        <v>--</v>
      </c>
      <c r="K189" s="2" t="str">
        <f t="shared" si="22"/>
        <v>--</v>
      </c>
      <c r="L189" s="2" t="str">
        <f t="shared" si="22"/>
        <v>--</v>
      </c>
      <c r="M189" s="2" t="str">
        <f>"--"</f>
        <v>--</v>
      </c>
      <c r="N189" s="2"/>
      <c r="O189" s="2"/>
      <c r="P189" s="2"/>
      <c r="Q189" s="2"/>
    </row>
    <row r="190" spans="1:17" x14ac:dyDescent="0.3">
      <c r="A190" s="2" t="str">
        <f>"1736"</f>
        <v>1736</v>
      </c>
      <c r="B190" s="2" t="s">
        <v>882</v>
      </c>
      <c r="C190" s="2" t="s">
        <v>883</v>
      </c>
      <c r="D190" s="2" t="s">
        <v>6007</v>
      </c>
      <c r="E190" s="2" t="s">
        <v>884</v>
      </c>
      <c r="F190" s="2" t="s">
        <v>2</v>
      </c>
      <c r="G190" s="2" t="str">
        <f>"04-25667100"</f>
        <v>04-25667100</v>
      </c>
      <c r="H190" s="2" t="s">
        <v>456</v>
      </c>
      <c r="I190" s="2" t="str">
        <f>"02-25048125"</f>
        <v>02-25048125</v>
      </c>
      <c r="J190" s="2" t="str">
        <f t="shared" si="22"/>
        <v>--</v>
      </c>
      <c r="K190" s="2" t="str">
        <f t="shared" si="22"/>
        <v>--</v>
      </c>
      <c r="L190" s="2" t="str">
        <f t="shared" si="22"/>
        <v>--</v>
      </c>
      <c r="M190" s="2" t="str">
        <f>"--"</f>
        <v>--</v>
      </c>
      <c r="N190" s="2"/>
      <c r="O190" s="2"/>
      <c r="P190" s="2"/>
      <c r="Q190" s="2"/>
    </row>
    <row r="191" spans="1:17" x14ac:dyDescent="0.3">
      <c r="A191" s="2" t="str">
        <f>"1737"</f>
        <v>1737</v>
      </c>
      <c r="B191" s="2" t="s">
        <v>885</v>
      </c>
      <c r="C191" s="2" t="s">
        <v>886</v>
      </c>
      <c r="D191" s="2" t="s">
        <v>6020</v>
      </c>
      <c r="E191" s="2" t="s">
        <v>887</v>
      </c>
      <c r="F191" s="2" t="s">
        <v>41</v>
      </c>
      <c r="G191" s="2" t="str">
        <f>"06-2160688"</f>
        <v>06-2160688</v>
      </c>
      <c r="H191" s="2" t="s">
        <v>404</v>
      </c>
      <c r="I191" s="2" t="str">
        <f>"02-66365566"</f>
        <v>02-66365566</v>
      </c>
      <c r="J191" s="2" t="str">
        <f>"自105年05月21日至105年06月17日止"</f>
        <v>自105年05月21日至105年06月17日止</v>
      </c>
      <c r="K191" s="2" t="str">
        <f>"台灣集中保管結算所股份有限公司"</f>
        <v>台灣集中保管結算所股份有限公司</v>
      </c>
      <c r="L191" s="2" t="str">
        <f>"http://www.stockvote.com.tw"</f>
        <v>http://www.stockvote.com.tw</v>
      </c>
      <c r="M191" s="2" t="str">
        <f>"--"</f>
        <v>--</v>
      </c>
      <c r="N191" s="2"/>
      <c r="O191" s="2"/>
      <c r="P191" s="2"/>
      <c r="Q191" s="2"/>
    </row>
    <row r="192" spans="1:17" x14ac:dyDescent="0.3">
      <c r="A192" s="2" t="str">
        <f>"1762"</f>
        <v>1762</v>
      </c>
      <c r="B192" s="2" t="s">
        <v>87</v>
      </c>
      <c r="C192" s="2" t="s">
        <v>888</v>
      </c>
      <c r="D192" s="2" t="s">
        <v>6037</v>
      </c>
      <c r="E192" s="2" t="s">
        <v>889</v>
      </c>
      <c r="F192" s="2" t="s">
        <v>41</v>
      </c>
      <c r="G192" s="2" t="str">
        <f>"86843318"</f>
        <v>86843318</v>
      </c>
      <c r="H192" s="2" t="s">
        <v>644</v>
      </c>
      <c r="I192" s="2" t="str">
        <f>"23611300"</f>
        <v>23611300</v>
      </c>
      <c r="J192" s="2" t="str">
        <f>"自105年04月30日至105年05月28日止"</f>
        <v>自105年04月30日至105年05月28日止</v>
      </c>
      <c r="K192" s="2" t="str">
        <f>"台灣集中保管結算所股份有限公司"</f>
        <v>台灣集中保管結算所股份有限公司</v>
      </c>
      <c r="L192" s="2" t="str">
        <f>"http://www.stockvote.com.tw"</f>
        <v>http://www.stockvote.com.tw</v>
      </c>
      <c r="M192" s="2" t="str">
        <f>"&lt;b&gt;&lt;font color='red'&gt;自願&lt;/font&gt;&lt;/b&gt;"</f>
        <v>&lt;b&gt;&lt;font color='red'&gt;自願&lt;/font&gt;&lt;/b&gt;</v>
      </c>
      <c r="N192" s="2"/>
      <c r="O192" s="2"/>
      <c r="P192" s="2"/>
      <c r="Q192" s="2"/>
    </row>
    <row r="193" spans="1:17" x14ac:dyDescent="0.3">
      <c r="A193" s="2" t="str">
        <f>"1773"</f>
        <v>1773</v>
      </c>
      <c r="B193" s="2" t="s">
        <v>890</v>
      </c>
      <c r="C193" s="2" t="s">
        <v>891</v>
      </c>
      <c r="D193" s="2" t="s">
        <v>6080</v>
      </c>
      <c r="E193" s="2" t="s">
        <v>892</v>
      </c>
      <c r="F193" s="2" t="s">
        <v>2</v>
      </c>
      <c r="G193" s="2" t="str">
        <f>"07-8619171"</f>
        <v>07-8619171</v>
      </c>
      <c r="H193" s="2" t="s">
        <v>456</v>
      </c>
      <c r="I193" s="2" t="str">
        <f>"02-2504-8125"</f>
        <v>02-2504-8125</v>
      </c>
      <c r="J193" s="2" t="str">
        <f t="shared" ref="J193:L195" si="24">"--"</f>
        <v>--</v>
      </c>
      <c r="K193" s="2" t="str">
        <f t="shared" si="24"/>
        <v>--</v>
      </c>
      <c r="L193" s="2" t="str">
        <f t="shared" si="24"/>
        <v>--</v>
      </c>
      <c r="M193" s="2" t="str">
        <f>"否"</f>
        <v>否</v>
      </c>
      <c r="N193" s="2"/>
      <c r="O193" s="2"/>
      <c r="P193" s="2"/>
      <c r="Q193" s="2"/>
    </row>
    <row r="194" spans="1:17" x14ac:dyDescent="0.3">
      <c r="A194" s="2" t="str">
        <f>"1783"</f>
        <v>1783</v>
      </c>
      <c r="B194" s="2" t="s">
        <v>893</v>
      </c>
      <c r="C194" s="2" t="s">
        <v>894</v>
      </c>
      <c r="D194" s="2" t="s">
        <v>6010</v>
      </c>
      <c r="E194" s="2" t="s">
        <v>895</v>
      </c>
      <c r="F194" s="2" t="s">
        <v>2</v>
      </c>
      <c r="G194" s="2" t="str">
        <f>"02-22982345"</f>
        <v>02-22982345</v>
      </c>
      <c r="H194" s="2" t="s">
        <v>896</v>
      </c>
      <c r="I194" s="2" t="str">
        <f>"02-25635711"</f>
        <v>02-25635711</v>
      </c>
      <c r="J194" s="2" t="str">
        <f t="shared" si="24"/>
        <v>--</v>
      </c>
      <c r="K194" s="2" t="str">
        <f t="shared" si="24"/>
        <v>--</v>
      </c>
      <c r="L194" s="2" t="str">
        <f t="shared" si="24"/>
        <v>--</v>
      </c>
      <c r="M194" s="2" t="str">
        <f>"--"</f>
        <v>--</v>
      </c>
      <c r="N194" s="2"/>
      <c r="O194" s="2"/>
      <c r="P194" s="2"/>
      <c r="Q194" s="2"/>
    </row>
    <row r="195" spans="1:17" x14ac:dyDescent="0.3">
      <c r="A195" s="2" t="str">
        <f>"1786"</f>
        <v>1786</v>
      </c>
      <c r="B195" s="2" t="s">
        <v>52</v>
      </c>
      <c r="C195" s="2" t="s">
        <v>897</v>
      </c>
      <c r="D195" s="2" t="s">
        <v>6028</v>
      </c>
      <c r="E195" s="2" t="s">
        <v>898</v>
      </c>
      <c r="F195" s="2" t="s">
        <v>2</v>
      </c>
      <c r="G195" s="2" t="str">
        <f>"07-8232258"</f>
        <v>07-8232258</v>
      </c>
      <c r="H195" s="2" t="s">
        <v>631</v>
      </c>
      <c r="I195" s="2" t="str">
        <f>"02-25419977"</f>
        <v>02-25419977</v>
      </c>
      <c r="J195" s="2" t="str">
        <f t="shared" si="24"/>
        <v>--</v>
      </c>
      <c r="K195" s="2" t="str">
        <f t="shared" si="24"/>
        <v>--</v>
      </c>
      <c r="L195" s="2" t="str">
        <f t="shared" si="24"/>
        <v>--</v>
      </c>
      <c r="M195" s="2" t="str">
        <f>"否"</f>
        <v>否</v>
      </c>
      <c r="N195" s="2"/>
      <c r="O195" s="2"/>
      <c r="P195" s="2"/>
      <c r="Q195" s="2"/>
    </row>
    <row r="196" spans="1:17" x14ac:dyDescent="0.3">
      <c r="A196" s="2" t="str">
        <f>"1789"</f>
        <v>1789</v>
      </c>
      <c r="B196" s="2" t="s">
        <v>899</v>
      </c>
      <c r="C196" s="2" t="s">
        <v>900</v>
      </c>
      <c r="D196" s="2" t="s">
        <v>6001</v>
      </c>
      <c r="E196" s="2" t="s">
        <v>6102</v>
      </c>
      <c r="F196" s="2" t="s">
        <v>2</v>
      </c>
      <c r="G196" s="2" t="str">
        <f>"06-5052888"</f>
        <v>06-5052888</v>
      </c>
      <c r="H196" s="2" t="s">
        <v>469</v>
      </c>
      <c r="I196" s="2" t="str">
        <f>"02-27463797"</f>
        <v>02-27463797</v>
      </c>
      <c r="J196" s="2" t="str">
        <f>"自105年05月28日至105年06月24日止"</f>
        <v>自105年05月28日至105年06月24日止</v>
      </c>
      <c r="K196" s="2" t="str">
        <f>"台灣集中保管結算所股份有限公司"</f>
        <v>台灣集中保管結算所股份有限公司</v>
      </c>
      <c r="L196" s="2" t="str">
        <f>"http://www.stockvote.com.tw"</f>
        <v>http://www.stockvote.com.tw</v>
      </c>
      <c r="M196" s="2" t="str">
        <f>"--"</f>
        <v>--</v>
      </c>
      <c r="N196" s="2"/>
      <c r="O196" s="2"/>
      <c r="P196" s="2"/>
      <c r="Q196" s="2"/>
    </row>
    <row r="197" spans="1:17" x14ac:dyDescent="0.3">
      <c r="A197" s="2" t="str">
        <f>"1802"</f>
        <v>1802</v>
      </c>
      <c r="B197" s="2" t="s">
        <v>901</v>
      </c>
      <c r="C197" s="2" t="s">
        <v>902</v>
      </c>
      <c r="D197" s="2" t="s">
        <v>6004</v>
      </c>
      <c r="E197" s="2" t="s">
        <v>6103</v>
      </c>
      <c r="F197" s="2" t="s">
        <v>2</v>
      </c>
      <c r="G197" s="2" t="str">
        <f>"(02)2713-0333"</f>
        <v>(02)2713-0333</v>
      </c>
      <c r="H197" s="2" t="s">
        <v>903</v>
      </c>
      <c r="I197" s="2" t="str">
        <f>"27130333#1326"</f>
        <v>27130333#1326</v>
      </c>
      <c r="J197" s="2" t="str">
        <f>"自105年05月18日至105年06月14日止"</f>
        <v>自105年05月18日至105年06月14日止</v>
      </c>
      <c r="K197" s="2" t="str">
        <f>"台灣集中保管結算所股份有限公司"</f>
        <v>台灣集中保管結算所股份有限公司</v>
      </c>
      <c r="L197" s="2" t="str">
        <f>"http://www.stockvote.com.tw"</f>
        <v>http://www.stockvote.com.tw</v>
      </c>
      <c r="M197" s="2" t="str">
        <f>"強制"</f>
        <v>強制</v>
      </c>
      <c r="N197" s="2"/>
      <c r="O197" s="2"/>
      <c r="P197" s="2"/>
      <c r="Q197" s="2"/>
    </row>
    <row r="198" spans="1:17" x14ac:dyDescent="0.3">
      <c r="A198" s="2" t="str">
        <f>"1805"</f>
        <v>1805</v>
      </c>
      <c r="B198" s="2" t="s">
        <v>904</v>
      </c>
      <c r="C198" s="2" t="s">
        <v>905</v>
      </c>
      <c r="D198" s="2" t="s">
        <v>6000</v>
      </c>
      <c r="E198" s="2" t="s">
        <v>906</v>
      </c>
      <c r="F198" s="2" t="s">
        <v>2</v>
      </c>
      <c r="G198" s="2" t="str">
        <f>"02-77076288"</f>
        <v>02-77076288</v>
      </c>
      <c r="H198" s="2" t="s">
        <v>456</v>
      </c>
      <c r="I198" s="2" t="str">
        <f>"02-25048125"</f>
        <v>02-25048125</v>
      </c>
      <c r="J198" s="2" t="str">
        <f>"--"</f>
        <v>--</v>
      </c>
      <c r="K198" s="2" t="str">
        <f>"--"</f>
        <v>--</v>
      </c>
      <c r="L198" s="2" t="str">
        <f>"--"</f>
        <v>--</v>
      </c>
      <c r="M198" s="2" t="str">
        <f>"--"</f>
        <v>--</v>
      </c>
      <c r="N198" s="2"/>
      <c r="O198" s="2"/>
      <c r="P198" s="2"/>
      <c r="Q198" s="2"/>
    </row>
    <row r="199" spans="1:17" x14ac:dyDescent="0.3">
      <c r="A199" s="2" t="str">
        <f>"1806"</f>
        <v>1806</v>
      </c>
      <c r="B199" s="2" t="s">
        <v>217</v>
      </c>
      <c r="C199" s="2" t="s">
        <v>907</v>
      </c>
      <c r="D199" s="2" t="s">
        <v>6007</v>
      </c>
      <c r="E199" s="2" t="s">
        <v>908</v>
      </c>
      <c r="F199" s="2" t="s">
        <v>2</v>
      </c>
      <c r="G199" s="2" t="str">
        <f>"037-583775"</f>
        <v>037-583775</v>
      </c>
      <c r="H199" s="2" t="s">
        <v>505</v>
      </c>
      <c r="I199" s="2" t="str">
        <f>"02-23816288"</f>
        <v>02-23816288</v>
      </c>
      <c r="J199" s="2" t="str">
        <f>"自105年05月28日至105年06月25日止"</f>
        <v>自105年05月28日至105年06月25日止</v>
      </c>
      <c r="K199" s="2" t="str">
        <f>"台灣集中保管結算所股份有限公司"</f>
        <v>台灣集中保管結算所股份有限公司</v>
      </c>
      <c r="L199" s="2" t="str">
        <f>"http://www.stockvote.com.tw"</f>
        <v>http://www.stockvote.com.tw</v>
      </c>
      <c r="M199" s="2" t="str">
        <f>"--"</f>
        <v>--</v>
      </c>
      <c r="N199" s="2"/>
      <c r="O199" s="2"/>
      <c r="P199" s="2"/>
      <c r="Q199" s="2"/>
    </row>
    <row r="200" spans="1:17" x14ac:dyDescent="0.3">
      <c r="A200" s="2" t="str">
        <f>"1808"</f>
        <v>1808</v>
      </c>
      <c r="B200" s="2" t="s">
        <v>909</v>
      </c>
      <c r="C200" s="2" t="s">
        <v>910</v>
      </c>
      <c r="D200" s="2" t="s">
        <v>6021</v>
      </c>
      <c r="E200" s="2" t="s">
        <v>911</v>
      </c>
      <c r="F200" s="2" t="s">
        <v>41</v>
      </c>
      <c r="G200" s="2" t="str">
        <f>"02-8501-5696"</f>
        <v>02-8501-5696</v>
      </c>
      <c r="H200" s="2" t="s">
        <v>411</v>
      </c>
      <c r="I200" s="2" t="str">
        <f>"02-2702-3999"</f>
        <v>02-2702-3999</v>
      </c>
      <c r="J200" s="2" t="str">
        <f>"自105年05月14日至105年06月10日止"</f>
        <v>自105年05月14日至105年06月10日止</v>
      </c>
      <c r="K200" s="2" t="str">
        <f>"台灣集中保管結算所股份有限公司"</f>
        <v>台灣集中保管結算所股份有限公司</v>
      </c>
      <c r="L200" s="2" t="str">
        <f>"http://www.stockvote.com.tw"</f>
        <v>http://www.stockvote.com.tw</v>
      </c>
      <c r="M200" s="2" t="str">
        <f>"強制"</f>
        <v>強制</v>
      </c>
      <c r="N200" s="2"/>
      <c r="O200" s="2"/>
      <c r="P200" s="2"/>
      <c r="Q200" s="2"/>
    </row>
    <row r="201" spans="1:17" x14ac:dyDescent="0.3">
      <c r="A201" s="2" t="str">
        <f>"1809"</f>
        <v>1809</v>
      </c>
      <c r="B201" s="2" t="s">
        <v>912</v>
      </c>
      <c r="C201" s="2" t="s">
        <v>913</v>
      </c>
      <c r="D201" s="2" t="s">
        <v>5999</v>
      </c>
      <c r="E201" s="2" t="s">
        <v>914</v>
      </c>
      <c r="F201" s="2" t="s">
        <v>2</v>
      </c>
      <c r="G201" s="2" t="str">
        <f>"(03)582-4128"</f>
        <v>(03)582-4128</v>
      </c>
      <c r="H201" s="2" t="s">
        <v>640</v>
      </c>
      <c r="I201" s="2" t="str">
        <f>"(02)23711658"</f>
        <v>(02)23711658</v>
      </c>
      <c r="J201" s="2" t="str">
        <f>"--"</f>
        <v>--</v>
      </c>
      <c r="K201" s="2" t="str">
        <f>"--"</f>
        <v>--</v>
      </c>
      <c r="L201" s="2" t="str">
        <f>"--"</f>
        <v>--</v>
      </c>
      <c r="M201" s="2" t="str">
        <f>"否"</f>
        <v>否</v>
      </c>
      <c r="N201" s="2"/>
      <c r="O201" s="2"/>
      <c r="P201" s="2"/>
      <c r="Q201" s="2"/>
    </row>
    <row r="202" spans="1:17" x14ac:dyDescent="0.3">
      <c r="A202" s="2" t="str">
        <f>"1810"</f>
        <v>1810</v>
      </c>
      <c r="B202" s="2" t="s">
        <v>915</v>
      </c>
      <c r="C202" s="2" t="s">
        <v>916</v>
      </c>
      <c r="D202" s="2" t="s">
        <v>6014</v>
      </c>
      <c r="E202" s="2" t="s">
        <v>6104</v>
      </c>
      <c r="F202" s="2" t="s">
        <v>2</v>
      </c>
      <c r="G202" s="2" t="str">
        <f>"(02)27925511"</f>
        <v>(02)27925511</v>
      </c>
      <c r="H202" s="2" t="s">
        <v>431</v>
      </c>
      <c r="I202" s="2" t="str">
        <f>"02-27023999"</f>
        <v>02-27023999</v>
      </c>
      <c r="J202" s="2" t="str">
        <f>"自105年05月30日至105年06月26日止"</f>
        <v>自105年05月30日至105年06月26日止</v>
      </c>
      <c r="K202" s="2" t="str">
        <f>"台灣集中保管結算所股份有限公司"</f>
        <v>台灣集中保管結算所股份有限公司</v>
      </c>
      <c r="L202" s="2" t="str">
        <f>"http://www.stockvote.com.tw"</f>
        <v>http://www.stockvote.com.tw</v>
      </c>
      <c r="M202" s="2" t="str">
        <f>"強制"</f>
        <v>強制</v>
      </c>
      <c r="N202" s="2"/>
      <c r="O202" s="2"/>
      <c r="P202" s="2"/>
      <c r="Q202" s="2"/>
    </row>
    <row r="203" spans="1:17" x14ac:dyDescent="0.3">
      <c r="A203" s="2" t="str">
        <f>"1817"</f>
        <v>1817</v>
      </c>
      <c r="B203" s="2" t="s">
        <v>917</v>
      </c>
      <c r="C203" s="2" t="s">
        <v>6105</v>
      </c>
      <c r="D203" s="2" t="s">
        <v>6004</v>
      </c>
      <c r="E203" s="2" t="s">
        <v>918</v>
      </c>
      <c r="F203" s="2" t="s">
        <v>2</v>
      </c>
      <c r="G203" s="2" t="str">
        <f>"02-8512-3712"</f>
        <v>02-8512-3712</v>
      </c>
      <c r="H203" s="2" t="s">
        <v>404</v>
      </c>
      <c r="I203" s="2" t="str">
        <f>"02-6636-5566"</f>
        <v>02-6636-5566</v>
      </c>
      <c r="J203" s="2" t="str">
        <f>"--"</f>
        <v>--</v>
      </c>
      <c r="K203" s="2" t="str">
        <f>"--"</f>
        <v>--</v>
      </c>
      <c r="L203" s="2" t="str">
        <f>"--"</f>
        <v>--</v>
      </c>
      <c r="M203" s="2" t="str">
        <f>"否"</f>
        <v>否</v>
      </c>
      <c r="N203" s="2"/>
      <c r="O203" s="2"/>
      <c r="P203" s="2"/>
      <c r="Q203" s="2"/>
    </row>
    <row r="204" spans="1:17" x14ac:dyDescent="0.3">
      <c r="A204" s="2" t="str">
        <f>"1902"</f>
        <v>1902</v>
      </c>
      <c r="B204" s="2" t="s">
        <v>919</v>
      </c>
      <c r="C204" s="2" t="s">
        <v>920</v>
      </c>
      <c r="D204" s="2" t="s">
        <v>6024</v>
      </c>
      <c r="E204" s="2" t="s">
        <v>6106</v>
      </c>
      <c r="F204" s="2" t="s">
        <v>2</v>
      </c>
      <c r="G204" s="2" t="str">
        <f>"(02)2515-3969"</f>
        <v>(02)2515-3969</v>
      </c>
      <c r="H204" s="2" t="s">
        <v>404</v>
      </c>
      <c r="I204" s="2" t="str">
        <f>"(02)6636-5566"</f>
        <v>(02)6636-5566</v>
      </c>
      <c r="J204" s="2" t="str">
        <f>"自105年05月07日至105年06月04日止"</f>
        <v>自105年05月07日至105年06月04日止</v>
      </c>
      <c r="K204" s="2" t="str">
        <f t="shared" ref="K204:K225" si="25">"台灣集中保管結算所股份有限公司"</f>
        <v>台灣集中保管結算所股份有限公司</v>
      </c>
      <c r="L204" s="2" t="str">
        <f t="shared" ref="L204:L225" si="26">"http://www.stockvote.com.tw"</f>
        <v>http://www.stockvote.com.tw</v>
      </c>
      <c r="M204" s="2" t="str">
        <f>"強制"</f>
        <v>強制</v>
      </c>
      <c r="N204" s="2"/>
      <c r="O204" s="2"/>
      <c r="P204" s="2"/>
      <c r="Q204" s="2"/>
    </row>
    <row r="205" spans="1:17" x14ac:dyDescent="0.3">
      <c r="A205" s="2" t="str">
        <f>"1903"</f>
        <v>1903</v>
      </c>
      <c r="B205" s="2" t="s">
        <v>61</v>
      </c>
      <c r="C205" s="2" t="s">
        <v>62</v>
      </c>
      <c r="D205" s="2" t="s">
        <v>6025</v>
      </c>
      <c r="E205" s="2" t="s">
        <v>921</v>
      </c>
      <c r="F205" s="2" t="s">
        <v>41</v>
      </c>
      <c r="G205" s="2" t="str">
        <f>"(02)28811111"</f>
        <v>(02)28811111</v>
      </c>
      <c r="H205" s="2" t="s">
        <v>415</v>
      </c>
      <c r="I205" s="2" t="str">
        <f>"(02)23892999"</f>
        <v>(02)23892999</v>
      </c>
      <c r="J205" s="2" t="str">
        <f>"自105年05月07日至105年06月05日止"</f>
        <v>自105年05月07日至105年06月05日止</v>
      </c>
      <c r="K205" s="2" t="str">
        <f t="shared" si="25"/>
        <v>台灣集中保管結算所股份有限公司</v>
      </c>
      <c r="L205" s="2" t="str">
        <f t="shared" si="26"/>
        <v>http://www.stockvote.com.tw</v>
      </c>
      <c r="M205" s="2" t="str">
        <f>"強制"</f>
        <v>強制</v>
      </c>
      <c r="N205" s="2"/>
      <c r="O205" s="2"/>
      <c r="P205" s="2"/>
      <c r="Q205" s="2"/>
    </row>
    <row r="206" spans="1:17" x14ac:dyDescent="0.3">
      <c r="A206" s="2" t="str">
        <f>"1904"</f>
        <v>1904</v>
      </c>
      <c r="B206" s="2" t="s">
        <v>90</v>
      </c>
      <c r="C206" s="2" t="s">
        <v>922</v>
      </c>
      <c r="D206" s="2" t="s">
        <v>6031</v>
      </c>
      <c r="E206" s="2" t="s">
        <v>923</v>
      </c>
      <c r="F206" s="2" t="s">
        <v>41</v>
      </c>
      <c r="G206" s="2" t="str">
        <f>"02-22225131"</f>
        <v>02-22225131</v>
      </c>
      <c r="H206" s="2" t="s">
        <v>924</v>
      </c>
      <c r="I206" s="2" t="str">
        <f>"02-22225131"</f>
        <v>02-22225131</v>
      </c>
      <c r="J206" s="2" t="str">
        <f>"自105年05月07日至105年06月03日止"</f>
        <v>自105年05月07日至105年06月03日止</v>
      </c>
      <c r="K206" s="2" t="str">
        <f t="shared" si="25"/>
        <v>台灣集中保管結算所股份有限公司</v>
      </c>
      <c r="L206" s="2" t="str">
        <f t="shared" si="26"/>
        <v>http://www.stockvote.com.tw</v>
      </c>
      <c r="M206" s="2" t="str">
        <f>"強制"</f>
        <v>強制</v>
      </c>
      <c r="N206" s="2"/>
      <c r="O206" s="2"/>
      <c r="P206" s="2"/>
      <c r="Q206" s="2"/>
    </row>
    <row r="207" spans="1:17" x14ac:dyDescent="0.3">
      <c r="A207" s="2" t="str">
        <f>"1905"</f>
        <v>1905</v>
      </c>
      <c r="B207" s="2" t="s">
        <v>925</v>
      </c>
      <c r="C207" s="2" t="s">
        <v>926</v>
      </c>
      <c r="D207" s="2" t="s">
        <v>6010</v>
      </c>
      <c r="E207" s="2" t="s">
        <v>6107</v>
      </c>
      <c r="F207" s="2" t="s">
        <v>41</v>
      </c>
      <c r="G207" s="2" t="str">
        <f>"(02)2396-2998"</f>
        <v>(02)2396-2998</v>
      </c>
      <c r="H207" s="2" t="s">
        <v>505</v>
      </c>
      <c r="I207" s="2" t="str">
        <f>"(02)23816288"</f>
        <v>(02)23816288</v>
      </c>
      <c r="J207" s="2" t="str">
        <f>"自105年05月25日至105年06月21日止"</f>
        <v>自105年05月25日至105年06月21日止</v>
      </c>
      <c r="K207" s="2" t="str">
        <f t="shared" si="25"/>
        <v>台灣集中保管結算所股份有限公司</v>
      </c>
      <c r="L207" s="2" t="str">
        <f t="shared" si="26"/>
        <v>http://www.stockvote.com.tw</v>
      </c>
      <c r="M207" s="2" t="str">
        <f>"--"</f>
        <v>--</v>
      </c>
      <c r="N207" s="2"/>
      <c r="O207" s="2"/>
      <c r="P207" s="2"/>
      <c r="Q207" s="2"/>
    </row>
    <row r="208" spans="1:17" x14ac:dyDescent="0.3">
      <c r="A208" s="2" t="str">
        <f>"1906"</f>
        <v>1906</v>
      </c>
      <c r="B208" s="2" t="s">
        <v>927</v>
      </c>
      <c r="C208" s="2" t="s">
        <v>928</v>
      </c>
      <c r="D208" s="2" t="s">
        <v>6002</v>
      </c>
      <c r="E208" s="2" t="s">
        <v>929</v>
      </c>
      <c r="F208" s="2" t="s">
        <v>41</v>
      </c>
      <c r="G208" s="2" t="str">
        <f>"02-5581-1777"</f>
        <v>02-5581-1777</v>
      </c>
      <c r="H208" s="2" t="s">
        <v>6006</v>
      </c>
      <c r="I208" s="2" t="str">
        <f>"02-2586-5859"</f>
        <v>02-2586-5859</v>
      </c>
      <c r="J208" s="2" t="str">
        <f>"自105年05月14日至105年06月12日止"</f>
        <v>自105年05月14日至105年06月12日止</v>
      </c>
      <c r="K208" s="2" t="str">
        <f t="shared" si="25"/>
        <v>台灣集中保管結算所股份有限公司</v>
      </c>
      <c r="L208" s="2" t="str">
        <f t="shared" si="26"/>
        <v>http://www.stockvote.com.tw</v>
      </c>
      <c r="M208" s="2" t="str">
        <f>"--"</f>
        <v>--</v>
      </c>
      <c r="N208" s="2"/>
      <c r="O208" s="2"/>
      <c r="P208" s="2"/>
      <c r="Q208" s="2"/>
    </row>
    <row r="209" spans="1:17" x14ac:dyDescent="0.3">
      <c r="A209" s="2" t="str">
        <f>"1907"</f>
        <v>1907</v>
      </c>
      <c r="B209" s="2" t="s">
        <v>271</v>
      </c>
      <c r="C209" s="2" t="s">
        <v>930</v>
      </c>
      <c r="D209" s="2" t="s">
        <v>6002</v>
      </c>
      <c r="E209" s="2" t="s">
        <v>6108</v>
      </c>
      <c r="F209" s="2" t="s">
        <v>2</v>
      </c>
      <c r="G209" s="2" t="str">
        <f>"02-23961166"</f>
        <v>02-23961166</v>
      </c>
      <c r="H209" s="2" t="s">
        <v>505</v>
      </c>
      <c r="I209" s="2" t="str">
        <f>"(02)2381-6288"</f>
        <v>(02)2381-6288</v>
      </c>
      <c r="J209" s="2" t="str">
        <f>"自105年05月14日至105年06月12日止"</f>
        <v>自105年05月14日至105年06月12日止</v>
      </c>
      <c r="K209" s="2" t="str">
        <f t="shared" si="25"/>
        <v>台灣集中保管結算所股份有限公司</v>
      </c>
      <c r="L209" s="2" t="str">
        <f t="shared" si="26"/>
        <v>http://www.stockvote.com.tw</v>
      </c>
      <c r="M209" s="2" t="str">
        <f>"--"</f>
        <v>--</v>
      </c>
      <c r="N209" s="2"/>
      <c r="O209" s="2"/>
      <c r="P209" s="2"/>
      <c r="Q209" s="2"/>
    </row>
    <row r="210" spans="1:17" x14ac:dyDescent="0.3">
      <c r="A210" s="2" t="str">
        <f>"1909"</f>
        <v>1909</v>
      </c>
      <c r="B210" s="2" t="s">
        <v>113</v>
      </c>
      <c r="C210" s="2" t="s">
        <v>931</v>
      </c>
      <c r="D210" s="2" t="s">
        <v>6024</v>
      </c>
      <c r="E210" s="2" t="s">
        <v>932</v>
      </c>
      <c r="F210" s="2" t="s">
        <v>2</v>
      </c>
      <c r="G210" s="2" t="str">
        <f>"02-5581-1777"</f>
        <v>02-5581-1777</v>
      </c>
      <c r="H210" s="2" t="s">
        <v>6006</v>
      </c>
      <c r="I210" s="2" t="str">
        <f>"02-2586-5859"</f>
        <v>02-2586-5859</v>
      </c>
      <c r="J210" s="2" t="str">
        <f>"自105年05月07日至105年06月04日止"</f>
        <v>自105年05月07日至105年06月04日止</v>
      </c>
      <c r="K210" s="2" t="str">
        <f t="shared" si="25"/>
        <v>台灣集中保管結算所股份有限公司</v>
      </c>
      <c r="L210" s="2" t="str">
        <f t="shared" si="26"/>
        <v>http://www.stockvote.com.tw</v>
      </c>
      <c r="M210" s="2" t="str">
        <f>"強制"</f>
        <v>強制</v>
      </c>
      <c r="N210" s="2"/>
      <c r="O210" s="2"/>
      <c r="P210" s="2"/>
      <c r="Q210" s="2"/>
    </row>
    <row r="211" spans="1:17" x14ac:dyDescent="0.3">
      <c r="A211" s="2" t="str">
        <f>"2002"</f>
        <v>2002</v>
      </c>
      <c r="B211" s="2" t="s">
        <v>268</v>
      </c>
      <c r="C211" s="2" t="s">
        <v>933</v>
      </c>
      <c r="D211" s="2" t="s">
        <v>6015</v>
      </c>
      <c r="E211" s="2" t="s">
        <v>934</v>
      </c>
      <c r="F211" s="2" t="s">
        <v>41</v>
      </c>
      <c r="G211" s="2" t="str">
        <f>"07-8021111"</f>
        <v>07-8021111</v>
      </c>
      <c r="H211" s="2" t="s">
        <v>451</v>
      </c>
      <c r="I211" s="2" t="str">
        <f>"02-23892999"</f>
        <v>02-23892999</v>
      </c>
      <c r="J211" s="2" t="str">
        <f>"自105年05月24日至105年06月20日止"</f>
        <v>自105年05月24日至105年06月20日止</v>
      </c>
      <c r="K211" s="2" t="str">
        <f t="shared" si="25"/>
        <v>台灣集中保管結算所股份有限公司</v>
      </c>
      <c r="L211" s="2" t="str">
        <f t="shared" si="26"/>
        <v>http://www.stockvote.com.tw</v>
      </c>
      <c r="M211" s="2" t="str">
        <f>"強制"</f>
        <v>強制</v>
      </c>
      <c r="N211" s="2"/>
      <c r="O211" s="2"/>
      <c r="P211" s="2"/>
      <c r="Q211" s="2"/>
    </row>
    <row r="212" spans="1:17" x14ac:dyDescent="0.3">
      <c r="A212" s="2" t="str">
        <f>"2006"</f>
        <v>2006</v>
      </c>
      <c r="B212" s="2" t="s">
        <v>935</v>
      </c>
      <c r="C212" s="2" t="s">
        <v>936</v>
      </c>
      <c r="D212" s="2" t="s">
        <v>6000</v>
      </c>
      <c r="E212" s="2" t="s">
        <v>937</v>
      </c>
      <c r="F212" s="2" t="s">
        <v>2</v>
      </c>
      <c r="G212" s="2" t="str">
        <f>"(02)2551-1100"</f>
        <v>(02)2551-1100</v>
      </c>
      <c r="H212" s="2" t="s">
        <v>582</v>
      </c>
      <c r="I212" s="2" t="str">
        <f>"(02)2586-5859"</f>
        <v>(02)2586-5859</v>
      </c>
      <c r="J212" s="2" t="str">
        <f>"自105年05月21日至105年06月18日止"</f>
        <v>自105年05月21日至105年06月18日止</v>
      </c>
      <c r="K212" s="2" t="str">
        <f t="shared" si="25"/>
        <v>台灣集中保管結算所股份有限公司</v>
      </c>
      <c r="L212" s="2" t="str">
        <f t="shared" si="26"/>
        <v>http://www.stockvote.com.tw</v>
      </c>
      <c r="M212" s="2" t="str">
        <f>"--"</f>
        <v>--</v>
      </c>
      <c r="N212" s="2"/>
      <c r="O212" s="2"/>
      <c r="P212" s="2"/>
      <c r="Q212" s="2"/>
    </row>
    <row r="213" spans="1:17" x14ac:dyDescent="0.3">
      <c r="A213" s="2" t="str">
        <f>"2007"</f>
        <v>2007</v>
      </c>
      <c r="B213" s="2" t="s">
        <v>938</v>
      </c>
      <c r="C213" s="2" t="s">
        <v>939</v>
      </c>
      <c r="D213" s="2" t="s">
        <v>6016</v>
      </c>
      <c r="E213" s="2" t="s">
        <v>6109</v>
      </c>
      <c r="F213" s="2" t="s">
        <v>2</v>
      </c>
      <c r="G213" s="2" t="str">
        <f>"(07)6111111"</f>
        <v>(07)6111111</v>
      </c>
      <c r="H213" s="2" t="s">
        <v>941</v>
      </c>
      <c r="I213" s="2" t="str">
        <f>"(02)2395-6780"</f>
        <v>(02)2395-6780</v>
      </c>
      <c r="J213" s="2" t="str">
        <f>"自105年05月15日至105年06月11日止"</f>
        <v>自105年05月15日至105年06月11日止</v>
      </c>
      <c r="K213" s="2" t="str">
        <f t="shared" si="25"/>
        <v>台灣集中保管結算所股份有限公司</v>
      </c>
      <c r="L213" s="2" t="str">
        <f t="shared" si="26"/>
        <v>http://www.stockvote.com.tw</v>
      </c>
      <c r="M213" s="2" t="str">
        <f>"--"</f>
        <v>--</v>
      </c>
      <c r="N213" s="2"/>
      <c r="O213" s="2"/>
      <c r="P213" s="2"/>
      <c r="Q213" s="2"/>
    </row>
    <row r="214" spans="1:17" x14ac:dyDescent="0.3">
      <c r="A214" s="2" t="str">
        <f>"2008"</f>
        <v>2008</v>
      </c>
      <c r="B214" s="2" t="s">
        <v>942</v>
      </c>
      <c r="C214" s="2" t="s">
        <v>943</v>
      </c>
      <c r="D214" s="2" t="s">
        <v>6004</v>
      </c>
      <c r="E214" s="2" t="s">
        <v>944</v>
      </c>
      <c r="F214" s="2" t="s">
        <v>2</v>
      </c>
      <c r="G214" s="2" t="str">
        <f>"07-5556111"</f>
        <v>07-5556111</v>
      </c>
      <c r="H214" s="2" t="s">
        <v>945</v>
      </c>
      <c r="I214" s="2" t="str">
        <f>"02-25536052"</f>
        <v>02-25536052</v>
      </c>
      <c r="J214" s="2" t="str">
        <f>"自105年05月18日至105年06月14日止"</f>
        <v>自105年05月18日至105年06月14日止</v>
      </c>
      <c r="K214" s="2" t="str">
        <f t="shared" si="25"/>
        <v>台灣集中保管結算所股份有限公司</v>
      </c>
      <c r="L214" s="2" t="str">
        <f t="shared" si="26"/>
        <v>http://www.stockvote.com.tw</v>
      </c>
      <c r="M214" s="2" t="str">
        <f>"--"</f>
        <v>--</v>
      </c>
      <c r="N214" s="2"/>
      <c r="O214" s="2"/>
      <c r="P214" s="2"/>
      <c r="Q214" s="2"/>
    </row>
    <row r="215" spans="1:17" x14ac:dyDescent="0.3">
      <c r="A215" s="2" t="str">
        <f>"2009"</f>
        <v>2009</v>
      </c>
      <c r="B215" s="2" t="s">
        <v>946</v>
      </c>
      <c r="C215" s="2" t="s">
        <v>947</v>
      </c>
      <c r="D215" s="2" t="s">
        <v>6015</v>
      </c>
      <c r="E215" s="2" t="s">
        <v>948</v>
      </c>
      <c r="F215" s="2" t="s">
        <v>2</v>
      </c>
      <c r="G215" s="2" t="str">
        <f>"07-2814161"</f>
        <v>07-2814161</v>
      </c>
      <c r="H215" s="2" t="s">
        <v>786</v>
      </c>
      <c r="I215" s="2" t="str">
        <f>"02-27717611"</f>
        <v>02-27717611</v>
      </c>
      <c r="J215" s="2" t="str">
        <f>"自105年05月24日至105年06月20日止"</f>
        <v>自105年05月24日至105年06月20日止</v>
      </c>
      <c r="K215" s="2" t="str">
        <f t="shared" si="25"/>
        <v>台灣集中保管結算所股份有限公司</v>
      </c>
      <c r="L215" s="2" t="str">
        <f t="shared" si="26"/>
        <v>http://www.stockvote.com.tw</v>
      </c>
      <c r="M215" s="2" t="str">
        <f>"--"</f>
        <v>--</v>
      </c>
      <c r="N215" s="2"/>
      <c r="O215" s="2"/>
      <c r="P215" s="2"/>
      <c r="Q215" s="2"/>
    </row>
    <row r="216" spans="1:17" x14ac:dyDescent="0.3">
      <c r="A216" s="2" t="str">
        <f>"2010"</f>
        <v>2010</v>
      </c>
      <c r="B216" s="2" t="s">
        <v>949</v>
      </c>
      <c r="C216" s="2" t="s">
        <v>950</v>
      </c>
      <c r="D216" s="2" t="s">
        <v>6028</v>
      </c>
      <c r="E216" s="2" t="s">
        <v>6110</v>
      </c>
      <c r="F216" s="2" t="s">
        <v>41</v>
      </c>
      <c r="G216" s="2" t="str">
        <f>"(02)2501-8111"</f>
        <v>(02)2501-8111</v>
      </c>
      <c r="H216" s="2" t="s">
        <v>951</v>
      </c>
      <c r="I216" s="2" t="str">
        <f>"(02)2501-8111"</f>
        <v>(02)2501-8111</v>
      </c>
      <c r="J216" s="2" t="str">
        <f>"自105年05月17日至105年06月13日止"</f>
        <v>自105年05月17日至105年06月13日止</v>
      </c>
      <c r="K216" s="2" t="str">
        <f t="shared" si="25"/>
        <v>台灣集中保管結算所股份有限公司</v>
      </c>
      <c r="L216" s="2" t="str">
        <f t="shared" si="26"/>
        <v>http://www.stockvote.com.tw</v>
      </c>
      <c r="M216" s="2" t="str">
        <f>"強制"</f>
        <v>強制</v>
      </c>
      <c r="N216" s="2"/>
      <c r="O216" s="2"/>
      <c r="P216" s="2"/>
      <c r="Q216" s="2"/>
    </row>
    <row r="217" spans="1:17" x14ac:dyDescent="0.3">
      <c r="A217" s="2" t="str">
        <f>"2012"</f>
        <v>2012</v>
      </c>
      <c r="B217" s="2" t="s">
        <v>952</v>
      </c>
      <c r="C217" s="2" t="s">
        <v>953</v>
      </c>
      <c r="D217" s="2" t="s">
        <v>6014</v>
      </c>
      <c r="E217" s="2" t="s">
        <v>954</v>
      </c>
      <c r="F217" s="2" t="s">
        <v>41</v>
      </c>
      <c r="G217" s="2" t="str">
        <f>"07-6214121"</f>
        <v>07-6214121</v>
      </c>
      <c r="H217" s="2" t="s">
        <v>404</v>
      </c>
      <c r="I217" s="2" t="str">
        <f>"02-66365566"</f>
        <v>02-66365566</v>
      </c>
      <c r="J217" s="2" t="str">
        <f>"自105年05月30日至105年06月26日止"</f>
        <v>自105年05月30日至105年06月26日止</v>
      </c>
      <c r="K217" s="2" t="str">
        <f t="shared" si="25"/>
        <v>台灣集中保管結算所股份有限公司</v>
      </c>
      <c r="L217" s="2" t="str">
        <f t="shared" si="26"/>
        <v>http://www.stockvote.com.tw</v>
      </c>
      <c r="M217" s="2" t="str">
        <f>"--"</f>
        <v>--</v>
      </c>
      <c r="N217" s="2"/>
      <c r="O217" s="2"/>
      <c r="P217" s="2"/>
      <c r="Q217" s="2"/>
    </row>
    <row r="218" spans="1:17" x14ac:dyDescent="0.3">
      <c r="A218" s="2"/>
      <c r="B218" s="2"/>
      <c r="C218" s="2"/>
      <c r="D218" s="2"/>
      <c r="E218" s="2"/>
      <c r="F218" s="2"/>
      <c r="G218" s="2"/>
      <c r="H218" s="2"/>
      <c r="I218" s="2"/>
      <c r="J218" s="2"/>
      <c r="K218" s="2"/>
      <c r="L218" s="2"/>
      <c r="M218" s="2"/>
      <c r="N218" s="2"/>
      <c r="O218" s="2"/>
      <c r="P218" s="2"/>
      <c r="Q218" s="2"/>
    </row>
    <row r="219" spans="1:17" x14ac:dyDescent="0.3">
      <c r="A219" s="2" t="str">
        <f>"2013"</f>
        <v>2013</v>
      </c>
      <c r="B219" s="2" t="s">
        <v>955</v>
      </c>
      <c r="C219" s="2" t="s">
        <v>956</v>
      </c>
      <c r="D219" s="2" t="s">
        <v>6021</v>
      </c>
      <c r="E219" s="2" t="s">
        <v>956</v>
      </c>
      <c r="F219" s="2" t="s">
        <v>2</v>
      </c>
      <c r="G219" s="2" t="str">
        <f>"07-6168688"</f>
        <v>07-6168688</v>
      </c>
      <c r="H219" s="2" t="s">
        <v>404</v>
      </c>
      <c r="I219" s="2" t="str">
        <f>"02-66365566"</f>
        <v>02-66365566</v>
      </c>
      <c r="J219" s="2" t="str">
        <f>"自105年05月14日至105年06月10日止"</f>
        <v>自105年05月14日至105年06月10日止</v>
      </c>
      <c r="K219" s="2" t="str">
        <f t="shared" si="25"/>
        <v>台灣集中保管結算所股份有限公司</v>
      </c>
      <c r="L219" s="2" t="str">
        <f t="shared" si="26"/>
        <v>http://www.stockvote.com.tw</v>
      </c>
      <c r="M219" s="2" t="str">
        <f>"強制"</f>
        <v>強制</v>
      </c>
      <c r="N219" s="2"/>
      <c r="O219" s="2"/>
      <c r="P219" s="2"/>
      <c r="Q219" s="2"/>
    </row>
    <row r="220" spans="1:17" x14ac:dyDescent="0.3">
      <c r="A220" s="2" t="str">
        <f>"2014"</f>
        <v>2014</v>
      </c>
      <c r="B220" s="2" t="s">
        <v>211</v>
      </c>
      <c r="C220" s="2" t="s">
        <v>957</v>
      </c>
      <c r="D220" s="2" t="s">
        <v>6010</v>
      </c>
      <c r="E220" s="2" t="s">
        <v>958</v>
      </c>
      <c r="F220" s="2" t="s">
        <v>2</v>
      </c>
      <c r="G220" s="2" t="str">
        <f>"07-6117171"</f>
        <v>07-6117171</v>
      </c>
      <c r="H220" s="2" t="s">
        <v>451</v>
      </c>
      <c r="I220" s="2" t="str">
        <f>"02-23892999"</f>
        <v>02-23892999</v>
      </c>
      <c r="J220" s="2" t="str">
        <f>"自105年05月25日至105年06月21日止"</f>
        <v>自105年05月25日至105年06月21日止</v>
      </c>
      <c r="K220" s="2" t="str">
        <f t="shared" si="25"/>
        <v>台灣集中保管結算所股份有限公司</v>
      </c>
      <c r="L220" s="2" t="str">
        <f t="shared" si="26"/>
        <v>http://www.stockvote.com.tw</v>
      </c>
      <c r="M220" s="2" t="str">
        <f>"--"</f>
        <v>--</v>
      </c>
      <c r="N220" s="2"/>
      <c r="O220" s="2"/>
      <c r="P220" s="2"/>
      <c r="Q220" s="2"/>
    </row>
    <row r="221" spans="1:17" x14ac:dyDescent="0.3">
      <c r="A221" s="2" t="str">
        <f>"2015"</f>
        <v>2015</v>
      </c>
      <c r="B221" s="2" t="s">
        <v>959</v>
      </c>
      <c r="C221" s="2" t="s">
        <v>960</v>
      </c>
      <c r="D221" s="2" t="s">
        <v>6025</v>
      </c>
      <c r="E221" s="2" t="s">
        <v>6111</v>
      </c>
      <c r="F221" s="2" t="s">
        <v>2</v>
      </c>
      <c r="G221" s="2" t="str">
        <f>"(04)25565101"</f>
        <v>(04)25565101</v>
      </c>
      <c r="H221" s="2" t="s">
        <v>404</v>
      </c>
      <c r="I221" s="2" t="str">
        <f>"(02)6636-5566"</f>
        <v>(02)6636-5566</v>
      </c>
      <c r="J221" s="2" t="str">
        <f>"自105年05月07日至105年06月05日止"</f>
        <v>自105年05月07日至105年06月05日止</v>
      </c>
      <c r="K221" s="2" t="str">
        <f t="shared" si="25"/>
        <v>台灣集中保管結算所股份有限公司</v>
      </c>
      <c r="L221" s="2" t="str">
        <f t="shared" si="26"/>
        <v>http://www.stockvote.com.tw</v>
      </c>
      <c r="M221" s="2" t="str">
        <f>"強制"</f>
        <v>強制</v>
      </c>
      <c r="N221" s="2"/>
      <c r="O221" s="2"/>
      <c r="P221" s="2"/>
      <c r="Q221" s="2"/>
    </row>
    <row r="222" spans="1:17" x14ac:dyDescent="0.3">
      <c r="A222" s="2" t="str">
        <f>"2017"</f>
        <v>2017</v>
      </c>
      <c r="B222" s="2" t="s">
        <v>124</v>
      </c>
      <c r="C222" s="2" t="s">
        <v>961</v>
      </c>
      <c r="D222" s="2" t="s">
        <v>6091</v>
      </c>
      <c r="E222" s="2" t="s">
        <v>962</v>
      </c>
      <c r="F222" s="2" t="s">
        <v>41</v>
      </c>
      <c r="G222" s="2" t="str">
        <f>"06-2261919"</f>
        <v>06-2261919</v>
      </c>
      <c r="H222" s="2" t="s">
        <v>469</v>
      </c>
      <c r="I222" s="2" t="str">
        <f>"02-27463797"</f>
        <v>02-27463797</v>
      </c>
      <c r="J222" s="2" t="str">
        <f>"自105年04月23日至105年05月21日止"</f>
        <v>自105年04月23日至105年05月21日止</v>
      </c>
      <c r="K222" s="2" t="str">
        <f t="shared" si="25"/>
        <v>台灣集中保管結算所股份有限公司</v>
      </c>
      <c r="L222" s="2" t="str">
        <f t="shared" si="26"/>
        <v>http://www.stockvote.com.tw</v>
      </c>
      <c r="M222" s="2" t="str">
        <f>"強制"</f>
        <v>強制</v>
      </c>
      <c r="N222" s="2"/>
      <c r="O222" s="2"/>
      <c r="P222" s="2"/>
      <c r="Q222" s="2"/>
    </row>
    <row r="223" spans="1:17" x14ac:dyDescent="0.3">
      <c r="A223" s="2" t="str">
        <f>"2020"</f>
        <v>2020</v>
      </c>
      <c r="B223" s="2" t="s">
        <v>963</v>
      </c>
      <c r="C223" s="2" t="s">
        <v>964</v>
      </c>
      <c r="D223" s="2" t="s">
        <v>6000</v>
      </c>
      <c r="E223" s="2" t="s">
        <v>965</v>
      </c>
      <c r="F223" s="2" t="s">
        <v>41</v>
      </c>
      <c r="G223" s="2" t="str">
        <f>"(02)2509-1199"</f>
        <v>(02)2509-1199</v>
      </c>
      <c r="H223" s="2" t="s">
        <v>478</v>
      </c>
      <c r="I223" s="2" t="str">
        <f>"(02)2593-6666"</f>
        <v>(02)2593-6666</v>
      </c>
      <c r="J223" s="2" t="str">
        <f>"自105年05月21日至105年06月18日止"</f>
        <v>自105年05月21日至105年06月18日止</v>
      </c>
      <c r="K223" s="2" t="str">
        <f t="shared" si="25"/>
        <v>台灣集中保管結算所股份有限公司</v>
      </c>
      <c r="L223" s="2" t="str">
        <f t="shared" si="26"/>
        <v>http://www.stockvote.com.tw</v>
      </c>
      <c r="M223" s="2" t="str">
        <f>"--"</f>
        <v>--</v>
      </c>
      <c r="N223" s="2"/>
      <c r="O223" s="2"/>
      <c r="P223" s="2"/>
      <c r="Q223" s="2"/>
    </row>
    <row r="224" spans="1:17" x14ac:dyDescent="0.3">
      <c r="A224" s="2" t="str">
        <f>"2022"</f>
        <v>2022</v>
      </c>
      <c r="B224" s="2" t="s">
        <v>262</v>
      </c>
      <c r="C224" s="2" t="s">
        <v>966</v>
      </c>
      <c r="D224" s="2" t="s">
        <v>6016</v>
      </c>
      <c r="E224" s="2" t="s">
        <v>966</v>
      </c>
      <c r="F224" s="2" t="s">
        <v>41</v>
      </c>
      <c r="G224" s="2" t="str">
        <f>"07-6212191"</f>
        <v>07-6212191</v>
      </c>
      <c r="H224" s="2" t="s">
        <v>640</v>
      </c>
      <c r="I224" s="2" t="str">
        <f>"02-23711658"</f>
        <v>02-23711658</v>
      </c>
      <c r="J224" s="2" t="str">
        <f>"自105年05月14日至105年06月11日止"</f>
        <v>自105年05月14日至105年06月11日止</v>
      </c>
      <c r="K224" s="2" t="str">
        <f t="shared" si="25"/>
        <v>台灣集中保管結算所股份有限公司</v>
      </c>
      <c r="L224" s="2" t="str">
        <f t="shared" si="26"/>
        <v>http://www.stockvote.com.tw</v>
      </c>
      <c r="M224" s="2" t="str">
        <f>"--"</f>
        <v>--</v>
      </c>
      <c r="N224" s="2"/>
      <c r="O224" s="2"/>
      <c r="P224" s="2"/>
      <c r="Q224" s="2"/>
    </row>
    <row r="225" spans="1:17" x14ac:dyDescent="0.3">
      <c r="A225" s="2" t="str">
        <f>"2023"</f>
        <v>2023</v>
      </c>
      <c r="B225" s="2" t="s">
        <v>155</v>
      </c>
      <c r="C225" s="2" t="s">
        <v>967</v>
      </c>
      <c r="D225" s="2" t="s">
        <v>5999</v>
      </c>
      <c r="E225" s="2" t="s">
        <v>940</v>
      </c>
      <c r="F225" s="2" t="s">
        <v>41</v>
      </c>
      <c r="G225" s="2" t="str">
        <f>"(07)611-7181"</f>
        <v>(07)611-7181</v>
      </c>
      <c r="H225" s="2" t="s">
        <v>968</v>
      </c>
      <c r="I225" s="2" t="str">
        <f>"(02)2395-6780"</f>
        <v>(02)2395-6780</v>
      </c>
      <c r="J225" s="2" t="str">
        <f>"自105年05月23日至105年06月19日止"</f>
        <v>自105年05月23日至105年06月19日止</v>
      </c>
      <c r="K225" s="2" t="str">
        <f t="shared" si="25"/>
        <v>台灣集中保管結算所股份有限公司</v>
      </c>
      <c r="L225" s="2" t="str">
        <f t="shared" si="26"/>
        <v>http://www.stockvote.com.tw</v>
      </c>
      <c r="M225" s="2" t="str">
        <f>"--"</f>
        <v>--</v>
      </c>
      <c r="N225" s="2"/>
      <c r="O225" s="2"/>
      <c r="P225" s="2"/>
      <c r="Q225" s="2"/>
    </row>
    <row r="226" spans="1:17" x14ac:dyDescent="0.3">
      <c r="A226" s="2" t="str">
        <f>"2024"</f>
        <v>2024</v>
      </c>
      <c r="B226" s="2" t="s">
        <v>969</v>
      </c>
      <c r="C226" s="2" t="s">
        <v>970</v>
      </c>
      <c r="D226" s="2" t="s">
        <v>6051</v>
      </c>
      <c r="E226" s="2" t="s">
        <v>970</v>
      </c>
      <c r="F226" s="2" t="s">
        <v>2</v>
      </c>
      <c r="G226" s="2" t="str">
        <f>"(03)4772797"</f>
        <v>(03)4772797</v>
      </c>
      <c r="H226" s="2" t="s">
        <v>431</v>
      </c>
      <c r="I226" s="2" t="str">
        <f>"(02)27023999"</f>
        <v>(02)27023999</v>
      </c>
      <c r="J226" s="2" t="str">
        <f>"--"</f>
        <v>--</v>
      </c>
      <c r="K226" s="2" t="str">
        <f>"--"</f>
        <v>--</v>
      </c>
      <c r="L226" s="2" t="str">
        <f>"--"</f>
        <v>--</v>
      </c>
      <c r="M226" s="2" t="str">
        <f>"否"</f>
        <v>否</v>
      </c>
      <c r="N226" s="2"/>
      <c r="O226" s="2"/>
      <c r="P226" s="2"/>
      <c r="Q226" s="2"/>
    </row>
    <row r="227" spans="1:17" x14ac:dyDescent="0.3">
      <c r="A227" s="2" t="str">
        <f>"2025"</f>
        <v>2025</v>
      </c>
      <c r="B227" s="2" t="s">
        <v>21</v>
      </c>
      <c r="C227" s="2" t="s">
        <v>971</v>
      </c>
      <c r="D227" s="2" t="s">
        <v>6024</v>
      </c>
      <c r="E227" s="2" t="s">
        <v>971</v>
      </c>
      <c r="F227" s="2" t="s">
        <v>2</v>
      </c>
      <c r="G227" s="2" t="str">
        <f>"(06)5703271"</f>
        <v>(06)5703271</v>
      </c>
      <c r="H227" s="2" t="s">
        <v>972</v>
      </c>
      <c r="I227" s="2" t="str">
        <f>"(02)77198899"</f>
        <v>(02)77198899</v>
      </c>
      <c r="J227" s="2" t="str">
        <f>"自105年05月08日至105年06月04日止"</f>
        <v>自105年05月08日至105年06月04日止</v>
      </c>
      <c r="K227" s="2" t="str">
        <f t="shared" ref="K227:K233" si="27">"台灣集中保管結算所股份有限公司"</f>
        <v>台灣集中保管結算所股份有限公司</v>
      </c>
      <c r="L227" s="2" t="str">
        <f t="shared" ref="L227:L233" si="28">"http://www.stockvote.com.tw"</f>
        <v>http://www.stockvote.com.tw</v>
      </c>
      <c r="M227" s="2" t="str">
        <f>"強制"</f>
        <v>強制</v>
      </c>
      <c r="N227" s="2"/>
      <c r="O227" s="2"/>
      <c r="P227" s="2"/>
      <c r="Q227" s="2"/>
    </row>
    <row r="228" spans="1:17" x14ac:dyDescent="0.3">
      <c r="A228" s="2"/>
      <c r="B228" s="2"/>
      <c r="C228" s="2"/>
      <c r="D228" s="2"/>
      <c r="E228" s="2"/>
      <c r="F228" s="2"/>
      <c r="G228" s="2"/>
      <c r="H228" s="2"/>
      <c r="I228" s="2"/>
      <c r="J228" s="2"/>
      <c r="K228" s="2"/>
      <c r="L228" s="2"/>
      <c r="M228" s="2"/>
      <c r="N228" s="2"/>
      <c r="O228" s="2"/>
      <c r="P228" s="2"/>
      <c r="Q228" s="2"/>
    </row>
    <row r="229" spans="1:17" x14ac:dyDescent="0.3">
      <c r="A229" s="2" t="str">
        <f>"2027"</f>
        <v>2027</v>
      </c>
      <c r="B229" s="2" t="s">
        <v>973</v>
      </c>
      <c r="C229" s="2" t="s">
        <v>974</v>
      </c>
      <c r="D229" s="2" t="s">
        <v>6000</v>
      </c>
      <c r="E229" s="2" t="s">
        <v>6112</v>
      </c>
      <c r="F229" s="2" t="s">
        <v>2</v>
      </c>
      <c r="G229" s="2" t="str">
        <f>"06-2701756"</f>
        <v>06-2701756</v>
      </c>
      <c r="H229" s="2" t="s">
        <v>469</v>
      </c>
      <c r="I229" s="2" t="str">
        <f>"02-27463797"</f>
        <v>02-27463797</v>
      </c>
      <c r="J229" s="2" t="str">
        <f>"自105年05月22日至105年06月18日止"</f>
        <v>自105年05月22日至105年06月18日止</v>
      </c>
      <c r="K229" s="2" t="str">
        <f t="shared" si="27"/>
        <v>台灣集中保管結算所股份有限公司</v>
      </c>
      <c r="L229" s="2" t="str">
        <f t="shared" si="28"/>
        <v>http://www.stockvote.com.tw</v>
      </c>
      <c r="M229" s="2" t="str">
        <f>"--"</f>
        <v>--</v>
      </c>
      <c r="N229" s="2"/>
      <c r="O229" s="2"/>
      <c r="P229" s="2"/>
      <c r="Q229" s="2"/>
    </row>
    <row r="230" spans="1:17" x14ac:dyDescent="0.3">
      <c r="A230" s="2" t="str">
        <f>"2028"</f>
        <v>2028</v>
      </c>
      <c r="B230" s="2" t="s">
        <v>975</v>
      </c>
      <c r="C230" s="2" t="s">
        <v>976</v>
      </c>
      <c r="D230" s="2" t="s">
        <v>6014</v>
      </c>
      <c r="E230" s="2" t="s">
        <v>6113</v>
      </c>
      <c r="F230" s="2" t="s">
        <v>2</v>
      </c>
      <c r="G230" s="2" t="str">
        <f>"06-5790213"</f>
        <v>06-5790213</v>
      </c>
      <c r="H230" s="2" t="s">
        <v>640</v>
      </c>
      <c r="I230" s="2" t="str">
        <f>"(02)2371-1658"</f>
        <v>(02)2371-1658</v>
      </c>
      <c r="J230" s="2" t="str">
        <f>"自105年05月28日至105年06月26日止"</f>
        <v>自105年05月28日至105年06月26日止</v>
      </c>
      <c r="K230" s="2" t="str">
        <f t="shared" si="27"/>
        <v>台灣集中保管結算所股份有限公司</v>
      </c>
      <c r="L230" s="2" t="str">
        <f t="shared" si="28"/>
        <v>http://www.stockvote.com.tw</v>
      </c>
      <c r="M230" s="2" t="str">
        <f>"--"</f>
        <v>--</v>
      </c>
      <c r="N230" s="2"/>
      <c r="O230" s="2"/>
      <c r="P230" s="2"/>
      <c r="Q230" s="2"/>
    </row>
    <row r="231" spans="1:17" x14ac:dyDescent="0.3">
      <c r="A231" s="2" t="str">
        <f>"2029"</f>
        <v>2029</v>
      </c>
      <c r="B231" s="2" t="s">
        <v>977</v>
      </c>
      <c r="C231" s="2" t="s">
        <v>978</v>
      </c>
      <c r="D231" s="2" t="s">
        <v>6002</v>
      </c>
      <c r="E231" s="2" t="s">
        <v>979</v>
      </c>
      <c r="F231" s="2" t="s">
        <v>2</v>
      </c>
      <c r="G231" s="2" t="str">
        <f>"(07)871-9000"</f>
        <v>(07)871-9000</v>
      </c>
      <c r="H231" s="2" t="s">
        <v>456</v>
      </c>
      <c r="I231" s="2" t="str">
        <f>"(02)2504-8125"</f>
        <v>(02)2504-8125</v>
      </c>
      <c r="J231" s="2" t="str">
        <f>"自105年05月14日至105年06月12日止"</f>
        <v>自105年05月14日至105年06月12日止</v>
      </c>
      <c r="K231" s="2" t="str">
        <f t="shared" si="27"/>
        <v>台灣集中保管結算所股份有限公司</v>
      </c>
      <c r="L231" s="2" t="str">
        <f t="shared" si="28"/>
        <v>http://www.stockvote.com.tw</v>
      </c>
      <c r="M231" s="2" t="str">
        <f>"強制"</f>
        <v>強制</v>
      </c>
      <c r="N231" s="2"/>
      <c r="O231" s="2"/>
      <c r="P231" s="2"/>
      <c r="Q231" s="2"/>
    </row>
    <row r="232" spans="1:17" x14ac:dyDescent="0.3">
      <c r="A232" s="2" t="str">
        <f>"2030"</f>
        <v>2030</v>
      </c>
      <c r="B232" s="2" t="s">
        <v>147</v>
      </c>
      <c r="C232" s="2" t="s">
        <v>980</v>
      </c>
      <c r="D232" s="2" t="s">
        <v>6000</v>
      </c>
      <c r="E232" s="2" t="s">
        <v>981</v>
      </c>
      <c r="F232" s="2" t="s">
        <v>41</v>
      </c>
      <c r="G232" s="2" t="str">
        <f>"886-5-5571668"</f>
        <v>886-5-5571668</v>
      </c>
      <c r="H232" s="2" t="s">
        <v>451</v>
      </c>
      <c r="I232" s="2" t="str">
        <f>"02-23148800"</f>
        <v>02-23148800</v>
      </c>
      <c r="J232" s="2" t="str">
        <f>"自105年05月20日至105年06月17日止"</f>
        <v>自105年05月20日至105年06月17日止</v>
      </c>
      <c r="K232" s="2" t="str">
        <f t="shared" si="27"/>
        <v>台灣集中保管結算所股份有限公司</v>
      </c>
      <c r="L232" s="2" t="str">
        <f t="shared" si="28"/>
        <v>http://www.stockvote.com.tw</v>
      </c>
      <c r="M232" s="2" t="str">
        <f>"強制"</f>
        <v>強制</v>
      </c>
      <c r="N232" s="2"/>
      <c r="O232" s="2"/>
      <c r="P232" s="2"/>
      <c r="Q232" s="2"/>
    </row>
    <row r="233" spans="1:17" x14ac:dyDescent="0.3">
      <c r="A233" s="2" t="str">
        <f>"2031"</f>
        <v>2031</v>
      </c>
      <c r="B233" s="2" t="s">
        <v>310</v>
      </c>
      <c r="C233" s="2" t="s">
        <v>982</v>
      </c>
      <c r="D233" s="2" t="s">
        <v>6002</v>
      </c>
      <c r="E233" s="2" t="s">
        <v>6114</v>
      </c>
      <c r="F233" s="2" t="s">
        <v>2</v>
      </c>
      <c r="G233" s="2" t="str">
        <f>"02-2978-8888"</f>
        <v>02-2978-8888</v>
      </c>
      <c r="H233" s="2" t="s">
        <v>469</v>
      </c>
      <c r="I233" s="2" t="str">
        <f>"02-2746-3797"</f>
        <v>02-2746-3797</v>
      </c>
      <c r="J233" s="2" t="str">
        <f>"自105年05月16日至105年06月12日止"</f>
        <v>自105年05月16日至105年06月12日止</v>
      </c>
      <c r="K233" s="2" t="str">
        <f t="shared" si="27"/>
        <v>台灣集中保管結算所股份有限公司</v>
      </c>
      <c r="L233" s="2" t="str">
        <f t="shared" si="28"/>
        <v>http://www.stockvote.com.tw</v>
      </c>
      <c r="M233" s="2" t="str">
        <f>"--"</f>
        <v>--</v>
      </c>
      <c r="N233" s="2"/>
      <c r="O233" s="2"/>
      <c r="P233" s="2"/>
      <c r="Q233" s="2"/>
    </row>
    <row r="234" spans="1:17" x14ac:dyDescent="0.3">
      <c r="A234" s="2" t="str">
        <f>"2032"</f>
        <v>2032</v>
      </c>
      <c r="B234" s="2" t="s">
        <v>983</v>
      </c>
      <c r="C234" s="2" t="s">
        <v>984</v>
      </c>
      <c r="D234" s="2" t="s">
        <v>6025</v>
      </c>
      <c r="E234" s="2" t="s">
        <v>985</v>
      </c>
      <c r="F234" s="2" t="s">
        <v>2</v>
      </c>
      <c r="G234" s="2" t="str">
        <f>"02-22020152"</f>
        <v>02-22020152</v>
      </c>
      <c r="H234" s="2" t="s">
        <v>986</v>
      </c>
      <c r="I234" s="2" t="str">
        <f>"02-23816288"</f>
        <v>02-23816288</v>
      </c>
      <c r="J234" s="2" t="str">
        <f t="shared" ref="J234:L235" si="29">"--"</f>
        <v>--</v>
      </c>
      <c r="K234" s="2" t="str">
        <f t="shared" si="29"/>
        <v>--</v>
      </c>
      <c r="L234" s="2" t="str">
        <f t="shared" si="29"/>
        <v>--</v>
      </c>
      <c r="M234" s="2" t="str">
        <f>"否"</f>
        <v>否</v>
      </c>
      <c r="N234" s="2"/>
      <c r="O234" s="2"/>
      <c r="P234" s="2"/>
      <c r="Q234" s="2"/>
    </row>
    <row r="235" spans="1:17" x14ac:dyDescent="0.3">
      <c r="A235" s="2" t="str">
        <f>"2033"</f>
        <v>2033</v>
      </c>
      <c r="B235" s="2" t="s">
        <v>987</v>
      </c>
      <c r="C235" s="2" t="s">
        <v>988</v>
      </c>
      <c r="D235" s="2" t="s">
        <v>6004</v>
      </c>
      <c r="E235" s="2" t="s">
        <v>989</v>
      </c>
      <c r="F235" s="2" t="s">
        <v>2</v>
      </c>
      <c r="G235" s="2" t="str">
        <f>"(06)253-3117"</f>
        <v>(06)253-3117</v>
      </c>
      <c r="H235" s="2" t="s">
        <v>990</v>
      </c>
      <c r="I235" s="2" t="str">
        <f>"(02)25863117"</f>
        <v>(02)25863117</v>
      </c>
      <c r="J235" s="2" t="str">
        <f t="shared" si="29"/>
        <v>--</v>
      </c>
      <c r="K235" s="2" t="str">
        <f t="shared" si="29"/>
        <v>--</v>
      </c>
      <c r="L235" s="2" t="str">
        <f t="shared" si="29"/>
        <v>--</v>
      </c>
      <c r="M235" s="2" t="str">
        <f>"否"</f>
        <v>否</v>
      </c>
      <c r="N235" s="2"/>
      <c r="O235" s="2"/>
      <c r="P235" s="2"/>
      <c r="Q235" s="2"/>
    </row>
    <row r="236" spans="1:17" x14ac:dyDescent="0.3">
      <c r="A236" s="2" t="str">
        <f>"2034"</f>
        <v>2034</v>
      </c>
      <c r="B236" s="2" t="s">
        <v>991</v>
      </c>
      <c r="C236" s="2" t="s">
        <v>992</v>
      </c>
      <c r="D236" s="2" t="s">
        <v>6002</v>
      </c>
      <c r="E236" s="2" t="s">
        <v>993</v>
      </c>
      <c r="F236" s="2" t="s">
        <v>2</v>
      </c>
      <c r="G236" s="2" t="str">
        <f>"04-889-9666"</f>
        <v>04-889-9666</v>
      </c>
      <c r="H236" s="2" t="s">
        <v>505</v>
      </c>
      <c r="I236" s="2" t="str">
        <f>"02-2381-6288"</f>
        <v>02-2381-6288</v>
      </c>
      <c r="J236" s="2" t="str">
        <f>"自105年05月14日至105年06月12日止"</f>
        <v>自105年05月14日至105年06月12日止</v>
      </c>
      <c r="K236" s="2" t="str">
        <f>"台灣集中保管結算所股份有限公司"</f>
        <v>台灣集中保管結算所股份有限公司</v>
      </c>
      <c r="L236" s="2" t="str">
        <f>"http://www.stockvote.com.tw"</f>
        <v>http://www.stockvote.com.tw</v>
      </c>
      <c r="M236" s="2" t="str">
        <f>"強制"</f>
        <v>強制</v>
      </c>
      <c r="N236" s="2"/>
      <c r="O236" s="2"/>
      <c r="P236" s="2"/>
      <c r="Q236" s="2"/>
    </row>
    <row r="237" spans="1:17" x14ac:dyDescent="0.3">
      <c r="A237" s="2" t="str">
        <f>"2038"</f>
        <v>2038</v>
      </c>
      <c r="B237" s="2" t="s">
        <v>994</v>
      </c>
      <c r="C237" s="2" t="s">
        <v>995</v>
      </c>
      <c r="D237" s="2" t="s">
        <v>6015</v>
      </c>
      <c r="E237" s="2" t="s">
        <v>6115</v>
      </c>
      <c r="F237" s="2" t="s">
        <v>41</v>
      </c>
      <c r="G237" s="2" t="str">
        <f>"(07)8021011"</f>
        <v>(07)8021011</v>
      </c>
      <c r="H237" s="2" t="s">
        <v>996</v>
      </c>
      <c r="I237" s="2" t="str">
        <f>"02-33930898"</f>
        <v>02-33930898</v>
      </c>
      <c r="J237" s="2" t="str">
        <f>"--"</f>
        <v>--</v>
      </c>
      <c r="K237" s="2" t="str">
        <f>"--"</f>
        <v>--</v>
      </c>
      <c r="L237" s="2" t="str">
        <f>"--"</f>
        <v>--</v>
      </c>
      <c r="M237" s="2" t="str">
        <f>"否"</f>
        <v>否</v>
      </c>
      <c r="N237" s="2"/>
      <c r="O237" s="2"/>
      <c r="P237" s="2"/>
      <c r="Q237" s="2"/>
    </row>
    <row r="238" spans="1:17" x14ac:dyDescent="0.3">
      <c r="A238" s="2" t="str">
        <f>"2049"</f>
        <v>2049</v>
      </c>
      <c r="B238" s="2" t="s">
        <v>997</v>
      </c>
      <c r="C238" s="2" t="s">
        <v>998</v>
      </c>
      <c r="D238" s="2" t="s">
        <v>6007</v>
      </c>
      <c r="E238" s="2" t="s">
        <v>999</v>
      </c>
      <c r="F238" s="2" t="s">
        <v>41</v>
      </c>
      <c r="G238" s="2" t="str">
        <f>"04-23594510"</f>
        <v>04-23594510</v>
      </c>
      <c r="H238" s="2" t="s">
        <v>6006</v>
      </c>
      <c r="I238" s="2" t="str">
        <f>"02-25865859"</f>
        <v>02-25865859</v>
      </c>
      <c r="J238" s="2" t="str">
        <f>"自105年05月28日至105年06月25日止"</f>
        <v>自105年05月28日至105年06月25日止</v>
      </c>
      <c r="K238" s="2" t="str">
        <f>"台灣集中保管結算所股份有限公司"</f>
        <v>台灣集中保管結算所股份有限公司</v>
      </c>
      <c r="L238" s="2" t="str">
        <f>"http://www.stockvote.com.tw"</f>
        <v>http://www.stockvote.com.tw</v>
      </c>
      <c r="M238" s="2" t="str">
        <f>"--"</f>
        <v>--</v>
      </c>
      <c r="N238" s="2"/>
      <c r="O238" s="2"/>
      <c r="P238" s="2"/>
      <c r="Q238" s="2"/>
    </row>
    <row r="239" spans="1:17" x14ac:dyDescent="0.3">
      <c r="A239" s="2" t="str">
        <f>"2059"</f>
        <v>2059</v>
      </c>
      <c r="B239" s="2" t="s">
        <v>1000</v>
      </c>
      <c r="C239" s="2" t="s">
        <v>1001</v>
      </c>
      <c r="D239" s="2" t="s">
        <v>6015</v>
      </c>
      <c r="E239" s="2" t="s">
        <v>1002</v>
      </c>
      <c r="F239" s="2" t="s">
        <v>2</v>
      </c>
      <c r="G239" s="2" t="str">
        <f>"(07)9599688"</f>
        <v>(07)9599688</v>
      </c>
      <c r="H239" s="2" t="s">
        <v>404</v>
      </c>
      <c r="I239" s="2" t="str">
        <f>"(02)6636-5566"</f>
        <v>(02)6636-5566</v>
      </c>
      <c r="J239" s="2" t="str">
        <f>"--"</f>
        <v>--</v>
      </c>
      <c r="K239" s="2" t="str">
        <f>"--"</f>
        <v>--</v>
      </c>
      <c r="L239" s="2" t="str">
        <f>"--"</f>
        <v>--</v>
      </c>
      <c r="M239" s="2" t="str">
        <f>"--"</f>
        <v>--</v>
      </c>
      <c r="N239" s="2"/>
      <c r="O239" s="2"/>
      <c r="P239" s="2"/>
      <c r="Q239" s="2"/>
    </row>
    <row r="240" spans="1:17" x14ac:dyDescent="0.3">
      <c r="A240" s="2" t="str">
        <f>"2062"</f>
        <v>2062</v>
      </c>
      <c r="B240" s="2" t="s">
        <v>1003</v>
      </c>
      <c r="C240" s="2" t="s">
        <v>1004</v>
      </c>
      <c r="D240" s="2" t="s">
        <v>6116</v>
      </c>
      <c r="E240" s="2" t="s">
        <v>6117</v>
      </c>
      <c r="F240" s="2" t="s">
        <v>41</v>
      </c>
      <c r="G240" s="2" t="str">
        <f>"04-22582062"</f>
        <v>04-22582062</v>
      </c>
      <c r="H240" s="2" t="s">
        <v>6006</v>
      </c>
      <c r="I240" s="2" t="str">
        <f>"(02)2586-5859"</f>
        <v>(02)2586-5859</v>
      </c>
      <c r="J240" s="2" t="str">
        <f>"自105年03月26日至105年04月23日止"</f>
        <v>自105年03月26日至105年04月23日止</v>
      </c>
      <c r="K240" s="2" t="str">
        <f t="shared" ref="K240:K249" si="30">"台灣集中保管結算所股份有限公司"</f>
        <v>台灣集中保管結算所股份有限公司</v>
      </c>
      <c r="L240" s="2" t="str">
        <f t="shared" ref="L240:L249" si="31">"http://www.stockvote.com.tw"</f>
        <v>http://www.stockvote.com.tw</v>
      </c>
      <c r="M240" s="2" t="str">
        <f>"&lt;b&gt;&lt;font color='red'&gt;自願&lt;/font&gt;&lt;/b&gt;"</f>
        <v>&lt;b&gt;&lt;font color='red'&gt;自願&lt;/font&gt;&lt;/b&gt;</v>
      </c>
      <c r="N240" s="2"/>
      <c r="O240" s="2"/>
      <c r="P240" s="2"/>
      <c r="Q240" s="2"/>
    </row>
    <row r="241" spans="1:17" x14ac:dyDescent="0.3">
      <c r="A241" s="2" t="str">
        <f>"2069"</f>
        <v>2069</v>
      </c>
      <c r="B241" s="2" t="s">
        <v>4116</v>
      </c>
      <c r="C241" s="2" t="s">
        <v>4117</v>
      </c>
      <c r="D241" s="2" t="s">
        <v>6007</v>
      </c>
      <c r="E241" s="2" t="s">
        <v>4118</v>
      </c>
      <c r="F241" s="2" t="s">
        <v>2</v>
      </c>
      <c r="G241" s="2" t="str">
        <f>"(07)969-5858"</f>
        <v>(07)969-5858</v>
      </c>
      <c r="H241" s="2" t="s">
        <v>456</v>
      </c>
      <c r="I241" s="2" t="str">
        <f>"(02)2504-8125"</f>
        <v>(02)2504-8125</v>
      </c>
      <c r="J241" s="2" t="str">
        <f>"自105年05月28日至105年06月25日止"</f>
        <v>自105年05月28日至105年06月25日止</v>
      </c>
      <c r="K241" s="2" t="str">
        <f t="shared" si="30"/>
        <v>台灣集中保管結算所股份有限公司</v>
      </c>
      <c r="L241" s="2" t="str">
        <f t="shared" si="31"/>
        <v>http://www.stockvote.com.tw</v>
      </c>
      <c r="M241" s="2" t="str">
        <f>"強制"</f>
        <v>強制</v>
      </c>
      <c r="N241" s="2"/>
      <c r="O241" s="2"/>
      <c r="P241" s="2"/>
      <c r="Q241" s="2"/>
    </row>
    <row r="242" spans="1:17" x14ac:dyDescent="0.3">
      <c r="A242" s="2" t="str">
        <f>"2101"</f>
        <v>2101</v>
      </c>
      <c r="B242" s="2" t="s">
        <v>1005</v>
      </c>
      <c r="C242" s="2" t="s">
        <v>1006</v>
      </c>
      <c r="D242" s="2" t="s">
        <v>6001</v>
      </c>
      <c r="E242" s="2" t="s">
        <v>1007</v>
      </c>
      <c r="F242" s="2" t="s">
        <v>41</v>
      </c>
      <c r="G242" s="2" t="str">
        <f>"27071000"</f>
        <v>27071000</v>
      </c>
      <c r="H242" s="2" t="s">
        <v>6006</v>
      </c>
      <c r="I242" s="2" t="str">
        <f>"(02)2586-5859"</f>
        <v>(02)2586-5859</v>
      </c>
      <c r="J242" s="2" t="str">
        <f>"自105年05月28日至105年06月24日止"</f>
        <v>自105年05月28日至105年06月24日止</v>
      </c>
      <c r="K242" s="2" t="str">
        <f t="shared" si="30"/>
        <v>台灣集中保管結算所股份有限公司</v>
      </c>
      <c r="L242" s="2" t="str">
        <f t="shared" si="31"/>
        <v>http://www.stockvote.com.tw</v>
      </c>
      <c r="M242" s="2" t="str">
        <f>"&lt;b&gt;&lt;font color='red'&gt;自願&lt;/font&gt;&lt;/b&gt;"</f>
        <v>&lt;b&gt;&lt;font color='red'&gt;自願&lt;/font&gt;&lt;/b&gt;</v>
      </c>
      <c r="N242" s="2"/>
      <c r="O242" s="2"/>
      <c r="P242" s="2"/>
      <c r="Q242" s="2"/>
    </row>
    <row r="243" spans="1:17" x14ac:dyDescent="0.3">
      <c r="A243" s="2" t="str">
        <f>"2102"</f>
        <v>2102</v>
      </c>
      <c r="B243" s="2" t="s">
        <v>1008</v>
      </c>
      <c r="C243" s="2" t="s">
        <v>1009</v>
      </c>
      <c r="D243" s="2" t="s">
        <v>6031</v>
      </c>
      <c r="E243" s="2" t="s">
        <v>6118</v>
      </c>
      <c r="F243" s="2" t="s">
        <v>2</v>
      </c>
      <c r="G243" s="2" t="str">
        <f>"03-4522156"</f>
        <v>03-4522156</v>
      </c>
      <c r="H243" s="2" t="s">
        <v>6006</v>
      </c>
      <c r="I243" s="2" t="str">
        <f>"02-2586-5859"</f>
        <v>02-2586-5859</v>
      </c>
      <c r="J243" s="2" t="str">
        <f>"自105年05月07日至105年06月03日止"</f>
        <v>自105年05月07日至105年06月03日止</v>
      </c>
      <c r="K243" s="2" t="str">
        <f t="shared" si="30"/>
        <v>台灣集中保管結算所股份有限公司</v>
      </c>
      <c r="L243" s="2" t="str">
        <f t="shared" si="31"/>
        <v>http://www.stockvote.com.tw</v>
      </c>
      <c r="M243" s="2" t="str">
        <f>"強制"</f>
        <v>強制</v>
      </c>
      <c r="N243" s="2"/>
      <c r="O243" s="2"/>
      <c r="P243" s="2"/>
      <c r="Q243" s="2"/>
    </row>
    <row r="244" spans="1:17" x14ac:dyDescent="0.3">
      <c r="A244" s="2" t="str">
        <f>"2103"</f>
        <v>2103</v>
      </c>
      <c r="B244" s="2" t="s">
        <v>47</v>
      </c>
      <c r="C244" s="2" t="s">
        <v>1010</v>
      </c>
      <c r="D244" s="2" t="s">
        <v>6010</v>
      </c>
      <c r="E244" s="2" t="s">
        <v>1011</v>
      </c>
      <c r="F244" s="2" t="s">
        <v>41</v>
      </c>
      <c r="G244" s="2" t="str">
        <f>"02-37016000"</f>
        <v>02-37016000</v>
      </c>
      <c r="H244" s="2" t="s">
        <v>465</v>
      </c>
      <c r="I244" s="2" t="str">
        <f>"02-23816288"</f>
        <v>02-23816288</v>
      </c>
      <c r="J244" s="2" t="str">
        <f>"自105年05月25日至105年06月21日止"</f>
        <v>自105年05月25日至105年06月21日止</v>
      </c>
      <c r="K244" s="2" t="str">
        <f t="shared" si="30"/>
        <v>台灣集中保管結算所股份有限公司</v>
      </c>
      <c r="L244" s="2" t="str">
        <f t="shared" si="31"/>
        <v>http://www.stockvote.com.tw</v>
      </c>
      <c r="M244" s="2" t="str">
        <f>"&lt;b&gt;&lt;font color='red'&gt;自願&lt;/font&gt;&lt;/b&gt;"</f>
        <v>&lt;b&gt;&lt;font color='red'&gt;自願&lt;/font&gt;&lt;/b&gt;</v>
      </c>
      <c r="N244" s="2"/>
      <c r="O244" s="2"/>
      <c r="P244" s="2"/>
      <c r="Q244" s="2"/>
    </row>
    <row r="245" spans="1:17" x14ac:dyDescent="0.3">
      <c r="A245" s="2" t="str">
        <f>"2104"</f>
        <v>2104</v>
      </c>
      <c r="B245" s="2" t="s">
        <v>152</v>
      </c>
      <c r="C245" s="2" t="s">
        <v>1012</v>
      </c>
      <c r="D245" s="2" t="s">
        <v>6010</v>
      </c>
      <c r="E245" s="2" t="s">
        <v>403</v>
      </c>
      <c r="F245" s="2" t="s">
        <v>2</v>
      </c>
      <c r="G245" s="2" t="str">
        <f>"02-2531-6556"</f>
        <v>02-2531-6556</v>
      </c>
      <c r="H245" s="2" t="s">
        <v>404</v>
      </c>
      <c r="I245" s="2" t="str">
        <f>"02-6636-5566"</f>
        <v>02-6636-5566</v>
      </c>
      <c r="J245" s="2" t="str">
        <f>"自105年05月25日至105年06月21日止"</f>
        <v>自105年05月25日至105年06月21日止</v>
      </c>
      <c r="K245" s="2" t="str">
        <f t="shared" si="30"/>
        <v>台灣集中保管結算所股份有限公司</v>
      </c>
      <c r="L245" s="2" t="str">
        <f t="shared" si="31"/>
        <v>http://www.stockvote.com.tw</v>
      </c>
      <c r="M245" s="2" t="str">
        <f>"強制"</f>
        <v>強制</v>
      </c>
      <c r="N245" s="2"/>
      <c r="O245" s="2"/>
      <c r="P245" s="2"/>
      <c r="Q245" s="2"/>
    </row>
    <row r="246" spans="1:17" x14ac:dyDescent="0.3">
      <c r="A246" s="2" t="str">
        <f>"2105"</f>
        <v>2105</v>
      </c>
      <c r="B246" s="2" t="s">
        <v>1013</v>
      </c>
      <c r="C246" s="2" t="s">
        <v>1014</v>
      </c>
      <c r="D246" s="2" t="s">
        <v>6002</v>
      </c>
      <c r="E246" s="2" t="s">
        <v>6119</v>
      </c>
      <c r="F246" s="2" t="s">
        <v>2</v>
      </c>
      <c r="G246" s="2" t="str">
        <f>"(04)8525151"</f>
        <v>(04)8525151</v>
      </c>
      <c r="H246" s="2" t="s">
        <v>6006</v>
      </c>
      <c r="I246" s="2" t="str">
        <f>"(02)25865859"</f>
        <v>(02)25865859</v>
      </c>
      <c r="J246" s="2" t="str">
        <f>"自105年05月14日至105年06月12日止"</f>
        <v>自105年05月14日至105年06月12日止</v>
      </c>
      <c r="K246" s="2" t="str">
        <f t="shared" si="30"/>
        <v>台灣集中保管結算所股份有限公司</v>
      </c>
      <c r="L246" s="2" t="str">
        <f t="shared" si="31"/>
        <v>http://www.stockvote.com.tw</v>
      </c>
      <c r="M246" s="2" t="str">
        <f>"--"</f>
        <v>--</v>
      </c>
      <c r="N246" s="2"/>
      <c r="O246" s="2"/>
      <c r="P246" s="2"/>
      <c r="Q246" s="2"/>
    </row>
    <row r="247" spans="1:17" x14ac:dyDescent="0.3">
      <c r="A247" s="2" t="str">
        <f>"2106"</f>
        <v>2106</v>
      </c>
      <c r="B247" s="2" t="s">
        <v>1015</v>
      </c>
      <c r="C247" s="2" t="s">
        <v>6120</v>
      </c>
      <c r="D247" s="2" t="s">
        <v>6016</v>
      </c>
      <c r="E247" s="2" t="s">
        <v>6121</v>
      </c>
      <c r="F247" s="2" t="s">
        <v>2</v>
      </c>
      <c r="G247" s="2" t="str">
        <f>"04-8345171"</f>
        <v>04-8345171</v>
      </c>
      <c r="H247" s="2" t="s">
        <v>1016</v>
      </c>
      <c r="I247" s="2" t="str">
        <f>"02-66365566"</f>
        <v>02-66365566</v>
      </c>
      <c r="J247" s="2" t="str">
        <f>"自105年05月15日至105年06月11日止"</f>
        <v>自105年05月15日至105年06月11日止</v>
      </c>
      <c r="K247" s="2" t="str">
        <f t="shared" si="30"/>
        <v>台灣集中保管結算所股份有限公司</v>
      </c>
      <c r="L247" s="2" t="str">
        <f t="shared" si="31"/>
        <v>http://www.stockvote.com.tw</v>
      </c>
      <c r="M247" s="2" t="str">
        <f>"強制"</f>
        <v>強制</v>
      </c>
      <c r="N247" s="2"/>
      <c r="O247" s="2"/>
      <c r="P247" s="2"/>
      <c r="Q247" s="2"/>
    </row>
    <row r="248" spans="1:17" x14ac:dyDescent="0.3">
      <c r="A248" s="2" t="str">
        <f>"2107"</f>
        <v>2107</v>
      </c>
      <c r="B248" s="2" t="s">
        <v>117</v>
      </c>
      <c r="C248" s="2" t="s">
        <v>1017</v>
      </c>
      <c r="D248" s="2" t="s">
        <v>6024</v>
      </c>
      <c r="E248" s="2" t="s">
        <v>6122</v>
      </c>
      <c r="F248" s="2" t="s">
        <v>41</v>
      </c>
      <c r="G248" s="2" t="str">
        <f>"(02)23700988"</f>
        <v>(02)23700988</v>
      </c>
      <c r="H248" s="2" t="s">
        <v>456</v>
      </c>
      <c r="I248" s="2" t="str">
        <f>"(02)25048125"</f>
        <v>(02)25048125</v>
      </c>
      <c r="J248" s="2" t="str">
        <f>"自105年05月07日至105年06月04日止"</f>
        <v>自105年05月07日至105年06月04日止</v>
      </c>
      <c r="K248" s="2" t="str">
        <f t="shared" si="30"/>
        <v>台灣集中保管結算所股份有限公司</v>
      </c>
      <c r="L248" s="2" t="str">
        <f t="shared" si="31"/>
        <v>http://www.stockvote.com.tw</v>
      </c>
      <c r="M248" s="2" t="str">
        <f>"強制"</f>
        <v>強制</v>
      </c>
      <c r="N248" s="2"/>
      <c r="O248" s="2"/>
      <c r="P248" s="2"/>
      <c r="Q248" s="2"/>
    </row>
    <row r="249" spans="1:17" x14ac:dyDescent="0.3">
      <c r="A249" s="2" t="str">
        <f>"2108"</f>
        <v>2108</v>
      </c>
      <c r="B249" s="2" t="s">
        <v>1018</v>
      </c>
      <c r="C249" s="2" t="s">
        <v>1019</v>
      </c>
      <c r="D249" s="2" t="s">
        <v>6016</v>
      </c>
      <c r="E249" s="2" t="s">
        <v>1020</v>
      </c>
      <c r="F249" s="2" t="s">
        <v>41</v>
      </c>
      <c r="G249" s="2" t="str">
        <f>"(07)6413621"</f>
        <v>(07)6413621</v>
      </c>
      <c r="H249" s="2" t="s">
        <v>469</v>
      </c>
      <c r="I249" s="2" t="str">
        <f>"(02)27463797"</f>
        <v>(02)27463797</v>
      </c>
      <c r="J249" s="2" t="str">
        <f>"自105年05月14日至105年06月11日止"</f>
        <v>自105年05月14日至105年06月11日止</v>
      </c>
      <c r="K249" s="2" t="str">
        <f t="shared" si="30"/>
        <v>台灣集中保管結算所股份有限公司</v>
      </c>
      <c r="L249" s="2" t="str">
        <f t="shared" si="31"/>
        <v>http://www.stockvote.com.tw</v>
      </c>
      <c r="M249" s="2" t="str">
        <f>"--"</f>
        <v>--</v>
      </c>
      <c r="N249" s="2"/>
      <c r="O249" s="2"/>
      <c r="P249" s="2"/>
      <c r="Q249" s="2"/>
    </row>
    <row r="250" spans="1:17" x14ac:dyDescent="0.3">
      <c r="A250" s="2"/>
      <c r="B250" s="2"/>
      <c r="C250" s="2"/>
      <c r="D250" s="2"/>
      <c r="E250" s="2"/>
      <c r="F250" s="2"/>
      <c r="G250" s="2"/>
      <c r="H250" s="2"/>
      <c r="I250" s="2"/>
      <c r="J250" s="2"/>
      <c r="K250" s="2"/>
      <c r="L250" s="2"/>
      <c r="M250" s="2"/>
      <c r="N250" s="2"/>
      <c r="O250" s="2"/>
      <c r="P250" s="2"/>
      <c r="Q250" s="2"/>
    </row>
    <row r="251" spans="1:17" x14ac:dyDescent="0.3">
      <c r="A251" s="2" t="str">
        <f>"2109"</f>
        <v>2109</v>
      </c>
      <c r="B251" s="2" t="s">
        <v>1021</v>
      </c>
      <c r="C251" s="2" t="s">
        <v>1022</v>
      </c>
      <c r="D251" s="2" t="s">
        <v>6004</v>
      </c>
      <c r="E251" s="2" t="s">
        <v>6123</v>
      </c>
      <c r="F251" s="2" t="s">
        <v>41</v>
      </c>
      <c r="G251" s="2" t="str">
        <f>"(04)852-0121"</f>
        <v>(04)852-0121</v>
      </c>
      <c r="H251" s="2" t="s">
        <v>541</v>
      </c>
      <c r="I251" s="2" t="str">
        <f>"(02)3393-0898"</f>
        <v>(02)3393-0898</v>
      </c>
      <c r="J251" s="2" t="str">
        <f>"自105年05月18日至105年06月14日止"</f>
        <v>自105年05月18日至105年06月14日止</v>
      </c>
      <c r="K251" s="2" t="str">
        <f>"台灣集中保管結算所股份有限公司"</f>
        <v>台灣集中保管結算所股份有限公司</v>
      </c>
      <c r="L251" s="2" t="str">
        <f>"http://www.stockvote.com.tw"</f>
        <v>http://www.stockvote.com.tw</v>
      </c>
      <c r="M251" s="2" t="str">
        <f>"--"</f>
        <v>--</v>
      </c>
      <c r="N251" s="2"/>
      <c r="O251" s="2"/>
      <c r="P251" s="2"/>
      <c r="Q251" s="2"/>
    </row>
    <row r="252" spans="1:17" x14ac:dyDescent="0.3">
      <c r="A252" s="2"/>
      <c r="B252" s="2"/>
      <c r="C252" s="2"/>
      <c r="D252" s="2"/>
      <c r="E252" s="2"/>
      <c r="F252" s="2"/>
      <c r="G252" s="2"/>
      <c r="H252" s="2"/>
      <c r="I252" s="2"/>
      <c r="J252" s="2"/>
      <c r="K252" s="2"/>
      <c r="L252" s="2"/>
      <c r="M252" s="2"/>
      <c r="N252" s="2"/>
      <c r="O252" s="2"/>
      <c r="P252" s="2"/>
      <c r="Q252" s="2"/>
    </row>
    <row r="253" spans="1:17" x14ac:dyDescent="0.3">
      <c r="A253" s="2" t="str">
        <f>"2114"</f>
        <v>2114</v>
      </c>
      <c r="B253" s="2" t="s">
        <v>1023</v>
      </c>
      <c r="C253" s="2" t="s">
        <v>1024</v>
      </c>
      <c r="D253" s="2" t="s">
        <v>6001</v>
      </c>
      <c r="E253" s="2" t="s">
        <v>1025</v>
      </c>
      <c r="F253" s="2" t="s">
        <v>2</v>
      </c>
      <c r="G253" s="2" t="str">
        <f>"049-2263888"</f>
        <v>049-2263888</v>
      </c>
      <c r="H253" s="2" t="s">
        <v>431</v>
      </c>
      <c r="I253" s="2" t="str">
        <f>"02-27023999"</f>
        <v>02-27023999</v>
      </c>
      <c r="J253" s="2" t="str">
        <f>"--"</f>
        <v>--</v>
      </c>
      <c r="K253" s="2" t="str">
        <f>"--"</f>
        <v>--</v>
      </c>
      <c r="L253" s="2" t="str">
        <f>"--"</f>
        <v>--</v>
      </c>
      <c r="M253" s="2" t="str">
        <f>"--"</f>
        <v>--</v>
      </c>
      <c r="N253" s="2"/>
      <c r="O253" s="2"/>
      <c r="P253" s="2"/>
      <c r="Q253" s="2"/>
    </row>
    <row r="254" spans="1:17" x14ac:dyDescent="0.3">
      <c r="A254" s="2" t="str">
        <f>"2115"</f>
        <v>2115</v>
      </c>
      <c r="B254" s="2" t="s">
        <v>1026</v>
      </c>
      <c r="C254" s="2" t="s">
        <v>6124</v>
      </c>
      <c r="D254" s="2" t="s">
        <v>6031</v>
      </c>
      <c r="E254" s="2" t="s">
        <v>1027</v>
      </c>
      <c r="F254" s="2" t="s">
        <v>2</v>
      </c>
      <c r="G254" s="2" t="str">
        <f>"(04)874-8122"</f>
        <v>(04)874-8122</v>
      </c>
      <c r="H254" s="2" t="s">
        <v>1028</v>
      </c>
      <c r="I254" s="2" t="str">
        <f>"(02)2381-6288"</f>
        <v>(02)2381-6288</v>
      </c>
      <c r="J254" s="2" t="str">
        <f>"--"</f>
        <v>--</v>
      </c>
      <c r="K254" s="2" t="str">
        <f>"--"</f>
        <v>--</v>
      </c>
      <c r="L254" s="2" t="str">
        <f>"--"</f>
        <v>--</v>
      </c>
      <c r="M254" s="2" t="str">
        <f>"否"</f>
        <v>否</v>
      </c>
      <c r="N254" s="2"/>
      <c r="O254" s="2"/>
      <c r="P254" s="2"/>
      <c r="Q254" s="2"/>
    </row>
    <row r="255" spans="1:17" x14ac:dyDescent="0.3">
      <c r="A255" s="2" t="str">
        <f>"2201"</f>
        <v>2201</v>
      </c>
      <c r="B255" s="2" t="s">
        <v>1029</v>
      </c>
      <c r="C255" s="2" t="s">
        <v>1030</v>
      </c>
      <c r="D255" s="2" t="s">
        <v>6000</v>
      </c>
      <c r="E255" s="2" t="s">
        <v>1031</v>
      </c>
      <c r="F255" s="2" t="s">
        <v>41</v>
      </c>
      <c r="G255" s="2" t="str">
        <f>"037-871801"</f>
        <v>037-871801</v>
      </c>
      <c r="H255" s="2" t="s">
        <v>1032</v>
      </c>
      <c r="I255" s="2" t="str">
        <f>"02-25156421"</f>
        <v>02-25156421</v>
      </c>
      <c r="J255" s="2" t="str">
        <f>"自105年05月22日至105年06月18日止"</f>
        <v>自105年05月22日至105年06月18日止</v>
      </c>
      <c r="K255" s="2" t="str">
        <f t="shared" ref="K255:K261" si="32">"台灣集中保管結算所股份有限公司"</f>
        <v>台灣集中保管結算所股份有限公司</v>
      </c>
      <c r="L255" s="2" t="str">
        <f t="shared" ref="L255:L261" si="33">"http://www.stockvote.com.tw"</f>
        <v>http://www.stockvote.com.tw</v>
      </c>
      <c r="M255" s="2" t="str">
        <f>"--"</f>
        <v>--</v>
      </c>
      <c r="N255" s="2"/>
      <c r="O255" s="2"/>
      <c r="P255" s="2"/>
      <c r="Q255" s="2"/>
    </row>
    <row r="256" spans="1:17" x14ac:dyDescent="0.3">
      <c r="A256" s="2" t="str">
        <f>"2204"</f>
        <v>2204</v>
      </c>
      <c r="B256" s="2" t="s">
        <v>1033</v>
      </c>
      <c r="C256" s="2" t="s">
        <v>1034</v>
      </c>
      <c r="D256" s="2" t="s">
        <v>6010</v>
      </c>
      <c r="E256" s="2" t="s">
        <v>1035</v>
      </c>
      <c r="F256" s="2" t="s">
        <v>41</v>
      </c>
      <c r="G256" s="2" t="str">
        <f>"02-23250000"</f>
        <v>02-23250000</v>
      </c>
      <c r="H256" s="2" t="s">
        <v>1036</v>
      </c>
      <c r="I256" s="2" t="str">
        <f>"02-25156421"</f>
        <v>02-25156421</v>
      </c>
      <c r="J256" s="2" t="str">
        <f>"自105年05月25日至105年06月21日止"</f>
        <v>自105年05月25日至105年06月21日止</v>
      </c>
      <c r="K256" s="2" t="str">
        <f t="shared" si="32"/>
        <v>台灣集中保管結算所股份有限公司</v>
      </c>
      <c r="L256" s="2" t="str">
        <f t="shared" si="33"/>
        <v>http://www.stockvote.com.tw</v>
      </c>
      <c r="M256" s="2" t="str">
        <f>"強制"</f>
        <v>強制</v>
      </c>
      <c r="N256" s="2"/>
      <c r="O256" s="2"/>
      <c r="P256" s="2"/>
      <c r="Q256" s="2"/>
    </row>
    <row r="257" spans="1:17" x14ac:dyDescent="0.3">
      <c r="A257" s="2" t="str">
        <f>"2206"</f>
        <v>2206</v>
      </c>
      <c r="B257" s="2" t="s">
        <v>1037</v>
      </c>
      <c r="C257" s="2" t="s">
        <v>1038</v>
      </c>
      <c r="D257" s="2" t="s">
        <v>5999</v>
      </c>
      <c r="E257" s="2" t="s">
        <v>1039</v>
      </c>
      <c r="F257" s="2" t="s">
        <v>2</v>
      </c>
      <c r="G257" s="2" t="str">
        <f>"(03)5981911"</f>
        <v>(03)5981911</v>
      </c>
      <c r="H257" s="2" t="s">
        <v>806</v>
      </c>
      <c r="I257" s="2" t="str">
        <f>"(02)87871888"</f>
        <v>(02)87871888</v>
      </c>
      <c r="J257" s="2" t="str">
        <f>"自105年05月21日至105年06月19日止"</f>
        <v>自105年05月21日至105年06月19日止</v>
      </c>
      <c r="K257" s="2" t="str">
        <f t="shared" si="32"/>
        <v>台灣集中保管結算所股份有限公司</v>
      </c>
      <c r="L257" s="2" t="str">
        <f t="shared" si="33"/>
        <v>http://www.stockvote.com.tw</v>
      </c>
      <c r="M257" s="2" t="str">
        <f>"--"</f>
        <v>--</v>
      </c>
      <c r="N257" s="2"/>
      <c r="O257" s="2"/>
      <c r="P257" s="2"/>
      <c r="Q257" s="2"/>
    </row>
    <row r="258" spans="1:17" x14ac:dyDescent="0.3">
      <c r="A258" s="2" t="str">
        <f>"2207"</f>
        <v>2207</v>
      </c>
      <c r="B258" s="2" t="s">
        <v>1040</v>
      </c>
      <c r="C258" s="2" t="s">
        <v>6125</v>
      </c>
      <c r="D258" s="2" t="s">
        <v>6000</v>
      </c>
      <c r="E258" s="2" t="s">
        <v>1041</v>
      </c>
      <c r="F258" s="2" t="s">
        <v>41</v>
      </c>
      <c r="G258" s="2" t="str">
        <f>"02-2506-2121"</f>
        <v>02-2506-2121</v>
      </c>
      <c r="H258" s="2" t="s">
        <v>469</v>
      </c>
      <c r="I258" s="2" t="str">
        <f>"02-2747-8266"</f>
        <v>02-2747-8266</v>
      </c>
      <c r="J258" s="2" t="str">
        <f>"自105年05月21日至105年06月18日止"</f>
        <v>自105年05月21日至105年06月18日止</v>
      </c>
      <c r="K258" s="2" t="str">
        <f t="shared" si="32"/>
        <v>台灣集中保管結算所股份有限公司</v>
      </c>
      <c r="L258" s="2" t="str">
        <f t="shared" si="33"/>
        <v>http://www.stockvote.com.tw</v>
      </c>
      <c r="M258" s="2" t="str">
        <f>"&lt;b&gt;&lt;font color='red'&gt;自願&lt;/font&gt;&lt;/b&gt;"</f>
        <v>&lt;b&gt;&lt;font color='red'&gt;自願&lt;/font&gt;&lt;/b&gt;</v>
      </c>
      <c r="N258" s="2"/>
      <c r="O258" s="2"/>
      <c r="P258" s="2"/>
      <c r="Q258" s="2"/>
    </row>
    <row r="259" spans="1:17" x14ac:dyDescent="0.3">
      <c r="A259" s="2" t="str">
        <f>"2208"</f>
        <v>2208</v>
      </c>
      <c r="B259" s="2" t="s">
        <v>1042</v>
      </c>
      <c r="C259" s="2" t="s">
        <v>1043</v>
      </c>
      <c r="D259" s="2" t="s">
        <v>6015</v>
      </c>
      <c r="E259" s="2" t="s">
        <v>1044</v>
      </c>
      <c r="F259" s="2" t="s">
        <v>41</v>
      </c>
      <c r="G259" s="2" t="str">
        <f>"07-8010111"</f>
        <v>07-8010111</v>
      </c>
      <c r="H259" s="2" t="s">
        <v>667</v>
      </c>
      <c r="I259" s="2" t="str">
        <f>"02-2361-1300"</f>
        <v>02-2361-1300</v>
      </c>
      <c r="J259" s="2" t="str">
        <f>"自105年05月24日至105年06月20日止"</f>
        <v>自105年05月24日至105年06月20日止</v>
      </c>
      <c r="K259" s="2" t="str">
        <f t="shared" si="32"/>
        <v>台灣集中保管結算所股份有限公司</v>
      </c>
      <c r="L259" s="2" t="str">
        <f t="shared" si="33"/>
        <v>http://www.stockvote.com.tw</v>
      </c>
      <c r="M259" s="2" t="str">
        <f>"強制"</f>
        <v>強制</v>
      </c>
      <c r="N259" s="2"/>
      <c r="O259" s="2"/>
      <c r="P259" s="2"/>
      <c r="Q259" s="2"/>
    </row>
    <row r="260" spans="1:17" x14ac:dyDescent="0.3">
      <c r="A260" s="2" t="str">
        <f>"2227"</f>
        <v>2227</v>
      </c>
      <c r="B260" s="2" t="s">
        <v>1045</v>
      </c>
      <c r="C260" s="2" t="s">
        <v>1046</v>
      </c>
      <c r="D260" s="2" t="s">
        <v>6042</v>
      </c>
      <c r="E260" s="2" t="s">
        <v>1047</v>
      </c>
      <c r="F260" s="2" t="s">
        <v>2</v>
      </c>
      <c r="G260" s="2" t="str">
        <f>"(037)875881"</f>
        <v>(037)875881</v>
      </c>
      <c r="H260" s="2" t="s">
        <v>12</v>
      </c>
      <c r="I260" s="2" t="str">
        <f>"(02)25156421"</f>
        <v>(02)25156421</v>
      </c>
      <c r="J260" s="2" t="str">
        <f>"自105年05月31日至105年06月27日止"</f>
        <v>自105年05月31日至105年06月27日止</v>
      </c>
      <c r="K260" s="2" t="str">
        <f t="shared" si="32"/>
        <v>台灣集中保管結算所股份有限公司</v>
      </c>
      <c r="L260" s="2" t="str">
        <f t="shared" si="33"/>
        <v>http://www.stockvote.com.tw</v>
      </c>
      <c r="M260" s="2" t="str">
        <f>"--"</f>
        <v>--</v>
      </c>
      <c r="N260" s="2"/>
      <c r="O260" s="2"/>
      <c r="P260" s="2"/>
      <c r="Q260" s="2"/>
    </row>
    <row r="261" spans="1:17" x14ac:dyDescent="0.3">
      <c r="A261" s="2" t="str">
        <f>"2228"</f>
        <v>2228</v>
      </c>
      <c r="B261" s="2" t="s">
        <v>1048</v>
      </c>
      <c r="C261" s="2" t="s">
        <v>1049</v>
      </c>
      <c r="D261" s="2" t="s">
        <v>6002</v>
      </c>
      <c r="E261" s="2" t="s">
        <v>6126</v>
      </c>
      <c r="F261" s="2" t="s">
        <v>2</v>
      </c>
      <c r="G261" s="2" t="str">
        <f>"(02)2696-2818"</f>
        <v>(02)2696-2818</v>
      </c>
      <c r="H261" s="2" t="s">
        <v>6006</v>
      </c>
      <c r="I261" s="2" t="str">
        <f>"02-25865859"</f>
        <v>02-25865859</v>
      </c>
      <c r="J261" s="2" t="str">
        <f>"自105年05月14日至105年06月12日止"</f>
        <v>自105年05月14日至105年06月12日止</v>
      </c>
      <c r="K261" s="2" t="str">
        <f t="shared" si="32"/>
        <v>台灣集中保管結算所股份有限公司</v>
      </c>
      <c r="L261" s="2" t="str">
        <f t="shared" si="33"/>
        <v>http://www.stockvote.com.tw</v>
      </c>
      <c r="M261" s="2" t="str">
        <f>"--"</f>
        <v>--</v>
      </c>
      <c r="N261" s="2"/>
      <c r="O261" s="2"/>
      <c r="P261" s="2"/>
      <c r="Q261" s="2"/>
    </row>
    <row r="262" spans="1:17" x14ac:dyDescent="0.3">
      <c r="A262" s="2" t="str">
        <f>"2231"</f>
        <v>2231</v>
      </c>
      <c r="B262" s="2" t="s">
        <v>1050</v>
      </c>
      <c r="C262" s="2" t="s">
        <v>1051</v>
      </c>
      <c r="D262" s="2" t="s">
        <v>6020</v>
      </c>
      <c r="E262" s="2" t="s">
        <v>1052</v>
      </c>
      <c r="F262" s="2" t="s">
        <v>41</v>
      </c>
      <c r="G262" s="2" t="str">
        <f>"(04)778-2010"</f>
        <v>(04)778-2010</v>
      </c>
      <c r="H262" s="2" t="s">
        <v>1053</v>
      </c>
      <c r="I262" s="2" t="str">
        <f>"(02)2563-5711"</f>
        <v>(02)2563-5711</v>
      </c>
      <c r="J262" s="2" t="str">
        <f>"--"</f>
        <v>--</v>
      </c>
      <c r="K262" s="2" t="str">
        <f>"--"</f>
        <v>--</v>
      </c>
      <c r="L262" s="2" t="str">
        <f>"--"</f>
        <v>--</v>
      </c>
      <c r="M262" s="2" t="str">
        <f>"--"</f>
        <v>--</v>
      </c>
      <c r="N262" s="2"/>
      <c r="O262" s="2"/>
      <c r="P262" s="2"/>
      <c r="Q262" s="2"/>
    </row>
    <row r="263" spans="1:17" x14ac:dyDescent="0.3">
      <c r="A263" s="2"/>
      <c r="B263" s="2"/>
      <c r="C263" s="2"/>
      <c r="D263" s="2"/>
      <c r="E263" s="2"/>
      <c r="F263" s="2"/>
      <c r="G263" s="2"/>
      <c r="H263" s="2"/>
      <c r="I263" s="2"/>
      <c r="J263" s="2"/>
      <c r="K263" s="2"/>
      <c r="L263" s="2"/>
      <c r="M263" s="2"/>
      <c r="N263" s="2"/>
      <c r="O263" s="2"/>
      <c r="P263" s="2"/>
      <c r="Q263" s="2"/>
    </row>
    <row r="264" spans="1:17" x14ac:dyDescent="0.3">
      <c r="A264" s="2" t="str">
        <f>"2236"</f>
        <v>2236</v>
      </c>
      <c r="B264" s="2" t="s">
        <v>6127</v>
      </c>
      <c r="C264" s="2" t="s">
        <v>6128</v>
      </c>
      <c r="D264" s="2" t="s">
        <v>6020</v>
      </c>
      <c r="E264" s="2" t="s">
        <v>6129</v>
      </c>
      <c r="F264" s="2" t="s">
        <v>41</v>
      </c>
      <c r="G264" s="2" t="str">
        <f>"(02)7745-8530"</f>
        <v>(02)7745-8530</v>
      </c>
      <c r="H264" s="2" t="s">
        <v>404</v>
      </c>
      <c r="I264" s="2" t="str">
        <f>"(02)6636-5566"</f>
        <v>(02)6636-5566</v>
      </c>
      <c r="J264" s="2" t="str">
        <f>"--"</f>
        <v>--</v>
      </c>
      <c r="K264" s="2" t="str">
        <f>"--"</f>
        <v>--</v>
      </c>
      <c r="L264" s="2" t="str">
        <f>"--"</f>
        <v>--</v>
      </c>
      <c r="M264" s="2" t="str">
        <f>"--"</f>
        <v>--</v>
      </c>
      <c r="N264" s="2"/>
      <c r="O264" s="2"/>
      <c r="P264" s="2"/>
      <c r="Q264" s="2"/>
    </row>
    <row r="265" spans="1:17" x14ac:dyDescent="0.3">
      <c r="A265" s="2" t="str">
        <f>"2239"</f>
        <v>2239</v>
      </c>
      <c r="B265" s="2" t="s">
        <v>6130</v>
      </c>
      <c r="C265" s="2" t="s">
        <v>6131</v>
      </c>
      <c r="D265" s="2" t="s">
        <v>6002</v>
      </c>
      <c r="E265" s="2" t="s">
        <v>6132</v>
      </c>
      <c r="F265" s="2" t="s">
        <v>2</v>
      </c>
      <c r="G265" s="2" t="str">
        <f>"04-7284956"</f>
        <v>04-7284956</v>
      </c>
      <c r="H265" s="2" t="s">
        <v>1028</v>
      </c>
      <c r="I265" s="2" t="str">
        <f>"(02)2381-6288"</f>
        <v>(02)2381-6288</v>
      </c>
      <c r="J265" s="2" t="str">
        <f>"自105年05月14日至105年06月12日止"</f>
        <v>自105年05月14日至105年06月12日止</v>
      </c>
      <c r="K265" s="2" t="str">
        <f>"台灣集中保管結算所股份有限公司"</f>
        <v>台灣集中保管結算所股份有限公司</v>
      </c>
      <c r="L265" s="2" t="str">
        <f>"http://www.stockvote.com.tw"</f>
        <v>http://www.stockvote.com.tw</v>
      </c>
      <c r="M265" s="2" t="str">
        <f>"--"</f>
        <v>--</v>
      </c>
      <c r="N265" s="2"/>
      <c r="O265" s="2"/>
      <c r="P265" s="2"/>
      <c r="Q265" s="2"/>
    </row>
    <row r="266" spans="1:17" x14ac:dyDescent="0.3">
      <c r="A266" s="2" t="str">
        <f>"2301"</f>
        <v>2301</v>
      </c>
      <c r="B266" s="2" t="s">
        <v>1054</v>
      </c>
      <c r="C266" s="2" t="s">
        <v>1055</v>
      </c>
      <c r="D266" s="2" t="s">
        <v>6010</v>
      </c>
      <c r="E266" s="2" t="s">
        <v>1056</v>
      </c>
      <c r="F266" s="2" t="s">
        <v>41</v>
      </c>
      <c r="G266" s="2" t="str">
        <f>"(02)8798-2888"</f>
        <v>(02)8798-2888</v>
      </c>
      <c r="H266" s="2" t="s">
        <v>1057</v>
      </c>
      <c r="I266" s="2" t="str">
        <f>"(02)8798-2301"</f>
        <v>(02)8798-2301</v>
      </c>
      <c r="J266" s="2" t="str">
        <f>"自105年05月25日至105年06月21日止"</f>
        <v>自105年05月25日至105年06月21日止</v>
      </c>
      <c r="K266" s="2" t="str">
        <f>"台灣集中保管結算所股份有限公司"</f>
        <v>台灣集中保管結算所股份有限公司</v>
      </c>
      <c r="L266" s="2" t="str">
        <f>"http://www.stockvote.com.tw"</f>
        <v>http://www.stockvote.com.tw</v>
      </c>
      <c r="M266" s="2" t="str">
        <f>"--"</f>
        <v>--</v>
      </c>
      <c r="N266" s="2"/>
      <c r="O266" s="2"/>
      <c r="P266" s="2"/>
      <c r="Q266" s="2"/>
    </row>
    <row r="267" spans="1:17" x14ac:dyDescent="0.3">
      <c r="A267" s="2" t="str">
        <f>"2302"</f>
        <v>2302</v>
      </c>
      <c r="B267" s="2" t="s">
        <v>1058</v>
      </c>
      <c r="C267" s="2" t="s">
        <v>1059</v>
      </c>
      <c r="D267" s="2" t="s">
        <v>6007</v>
      </c>
      <c r="E267" s="2" t="s">
        <v>1060</v>
      </c>
      <c r="F267" s="2" t="s">
        <v>41</v>
      </c>
      <c r="G267" s="2" t="str">
        <f>"02-28801122"</f>
        <v>02-28801122</v>
      </c>
      <c r="H267" s="2" t="s">
        <v>574</v>
      </c>
      <c r="I267" s="2" t="str">
        <f>"02-27186425"</f>
        <v>02-27186425</v>
      </c>
      <c r="J267" s="2" t="str">
        <f>"--"</f>
        <v>--</v>
      </c>
      <c r="K267" s="2" t="str">
        <f>"--"</f>
        <v>--</v>
      </c>
      <c r="L267" s="2" t="str">
        <f>"--"</f>
        <v>--</v>
      </c>
      <c r="M267" s="2" t="str">
        <f>"--"</f>
        <v>--</v>
      </c>
      <c r="N267" s="2"/>
      <c r="O267" s="2"/>
      <c r="P267" s="2"/>
      <c r="Q267" s="2"/>
    </row>
    <row r="268" spans="1:17" x14ac:dyDescent="0.3">
      <c r="A268" s="2" t="str">
        <f>"2303"</f>
        <v>2303</v>
      </c>
      <c r="B268" s="2" t="s">
        <v>81</v>
      </c>
      <c r="C268" s="2" t="s">
        <v>1061</v>
      </c>
      <c r="D268" s="2" t="s">
        <v>6024</v>
      </c>
      <c r="E268" s="2" t="s">
        <v>1062</v>
      </c>
      <c r="F268" s="2" t="s">
        <v>2</v>
      </c>
      <c r="G268" s="2" t="str">
        <f>"03-5782258"</f>
        <v>03-5782258</v>
      </c>
      <c r="H268" s="2" t="s">
        <v>1063</v>
      </c>
      <c r="I268" s="2" t="str">
        <f>"02-23268818"</f>
        <v>02-23268818</v>
      </c>
      <c r="J268" s="2" t="str">
        <f>"自105年05月08日至105年06月04日止"</f>
        <v>自105年05月08日至105年06月04日止</v>
      </c>
      <c r="K268" s="2" t="str">
        <f t="shared" ref="K268:K275" si="34">"台灣集中保管結算所股份有限公司"</f>
        <v>台灣集中保管結算所股份有限公司</v>
      </c>
      <c r="L268" s="2" t="str">
        <f t="shared" ref="L268:L275" si="35">"http://www.stockvote.com.tw"</f>
        <v>http://www.stockvote.com.tw</v>
      </c>
      <c r="M268" s="2" t="str">
        <f>"強制"</f>
        <v>強制</v>
      </c>
      <c r="N268" s="2"/>
      <c r="O268" s="2"/>
      <c r="P268" s="2"/>
      <c r="Q268" s="2"/>
    </row>
    <row r="269" spans="1:17" x14ac:dyDescent="0.3">
      <c r="A269" s="2" t="str">
        <f>"2305"</f>
        <v>2305</v>
      </c>
      <c r="B269" s="2" t="s">
        <v>1064</v>
      </c>
      <c r="C269" s="2" t="s">
        <v>1065</v>
      </c>
      <c r="D269" s="2" t="s">
        <v>6091</v>
      </c>
      <c r="E269" s="2" t="s">
        <v>1066</v>
      </c>
      <c r="F269" s="2" t="s">
        <v>2</v>
      </c>
      <c r="G269" s="2" t="str">
        <f>"(03)5772155"</f>
        <v>(03)5772155</v>
      </c>
      <c r="H269" s="2" t="s">
        <v>431</v>
      </c>
      <c r="I269" s="2" t="str">
        <f>"(02)2702-3999"</f>
        <v>(02)2702-3999</v>
      </c>
      <c r="J269" s="2" t="str">
        <f>"自105年04月24日至105年05月21日止"</f>
        <v>自105年04月24日至105年05月21日止</v>
      </c>
      <c r="K269" s="2" t="str">
        <f t="shared" si="34"/>
        <v>台灣集中保管結算所股份有限公司</v>
      </c>
      <c r="L269" s="2" t="str">
        <f t="shared" si="35"/>
        <v>http://www.stockvote.com.tw</v>
      </c>
      <c r="M269" s="2" t="str">
        <f>"強制"</f>
        <v>強制</v>
      </c>
      <c r="N269" s="2"/>
      <c r="O269" s="2"/>
      <c r="P269" s="2"/>
      <c r="Q269" s="2"/>
    </row>
    <row r="270" spans="1:17" x14ac:dyDescent="0.3">
      <c r="A270" s="2" t="str">
        <f>"2308"</f>
        <v>2308</v>
      </c>
      <c r="B270" s="2" t="s">
        <v>1067</v>
      </c>
      <c r="C270" s="2" t="s">
        <v>1068</v>
      </c>
      <c r="D270" s="2" t="s">
        <v>6025</v>
      </c>
      <c r="E270" s="2" t="s">
        <v>1069</v>
      </c>
      <c r="F270" s="2" t="s">
        <v>41</v>
      </c>
      <c r="G270" s="2" t="str">
        <f>"(02)87972088"</f>
        <v>(02)87972088</v>
      </c>
      <c r="H270" s="2" t="s">
        <v>653</v>
      </c>
      <c r="I270" s="2" t="str">
        <f>"(02)2768-6668"</f>
        <v>(02)2768-6668</v>
      </c>
      <c r="J270" s="2" t="str">
        <f>"自105年05月09日至105年06月05日止"</f>
        <v>自105年05月09日至105年06月05日止</v>
      </c>
      <c r="K270" s="2" t="str">
        <f t="shared" si="34"/>
        <v>台灣集中保管結算所股份有限公司</v>
      </c>
      <c r="L270" s="2" t="str">
        <f t="shared" si="35"/>
        <v>http://www.stockvote.com.tw</v>
      </c>
      <c r="M270" s="2" t="str">
        <f>"--"</f>
        <v>--</v>
      </c>
      <c r="N270" s="2"/>
      <c r="O270" s="2"/>
      <c r="P270" s="2"/>
      <c r="Q270" s="2"/>
    </row>
    <row r="271" spans="1:17" x14ac:dyDescent="0.3">
      <c r="A271" s="2" t="str">
        <f>"2311"</f>
        <v>2311</v>
      </c>
      <c r="B271" s="2" t="s">
        <v>235</v>
      </c>
      <c r="C271" s="2" t="s">
        <v>1070</v>
      </c>
      <c r="D271" s="2" t="s">
        <v>6007</v>
      </c>
      <c r="E271" s="2" t="s">
        <v>1071</v>
      </c>
      <c r="F271" s="2" t="s">
        <v>2</v>
      </c>
      <c r="G271" s="2" t="str">
        <f>"07-3617131"</f>
        <v>07-3617131</v>
      </c>
      <c r="H271" s="2" t="s">
        <v>1072</v>
      </c>
      <c r="I271" s="2" t="str">
        <f>"02-27478266"</f>
        <v>02-27478266</v>
      </c>
      <c r="J271" s="2" t="str">
        <f>"自105年05月29日至105年06月25日止"</f>
        <v>自105年05月29日至105年06月25日止</v>
      </c>
      <c r="K271" s="2" t="str">
        <f t="shared" si="34"/>
        <v>台灣集中保管結算所股份有限公司</v>
      </c>
      <c r="L271" s="2" t="str">
        <f t="shared" si="35"/>
        <v>http://www.stockvote.com.tw</v>
      </c>
      <c r="M271" s="2" t="str">
        <f>"強制"</f>
        <v>強制</v>
      </c>
      <c r="N271" s="2"/>
      <c r="O271" s="2"/>
      <c r="P271" s="2"/>
      <c r="Q271" s="2"/>
    </row>
    <row r="272" spans="1:17" x14ac:dyDescent="0.3">
      <c r="A272" s="2" t="str">
        <f>"2312"</f>
        <v>2312</v>
      </c>
      <c r="B272" s="2" t="s">
        <v>1073</v>
      </c>
      <c r="C272" s="2" t="s">
        <v>1074</v>
      </c>
      <c r="D272" s="2" t="s">
        <v>5999</v>
      </c>
      <c r="E272" s="2" t="s">
        <v>1075</v>
      </c>
      <c r="F272" s="2" t="s">
        <v>41</v>
      </c>
      <c r="G272" s="2" t="str">
        <f>"(02)26622660"</f>
        <v>(02)26622660</v>
      </c>
      <c r="H272" s="2" t="s">
        <v>404</v>
      </c>
      <c r="I272" s="2" t="str">
        <f>"(02)66365566"</f>
        <v>(02)66365566</v>
      </c>
      <c r="J272" s="2" t="str">
        <f>"自105年05月23日至105年06月19日止"</f>
        <v>自105年05月23日至105年06月19日止</v>
      </c>
      <c r="K272" s="2" t="str">
        <f t="shared" si="34"/>
        <v>台灣集中保管結算所股份有限公司</v>
      </c>
      <c r="L272" s="2" t="str">
        <f t="shared" si="35"/>
        <v>http://www.stockvote.com.tw</v>
      </c>
      <c r="M272" s="2" t="str">
        <f t="shared" ref="M272:M277" si="36">"--"</f>
        <v>--</v>
      </c>
      <c r="N272" s="2"/>
      <c r="O272" s="2"/>
      <c r="P272" s="2"/>
      <c r="Q272" s="2"/>
    </row>
    <row r="273" spans="1:17" x14ac:dyDescent="0.3">
      <c r="A273" s="2" t="str">
        <f>"2313"</f>
        <v>2313</v>
      </c>
      <c r="B273" s="2" t="s">
        <v>89</v>
      </c>
      <c r="C273" s="2" t="s">
        <v>1076</v>
      </c>
      <c r="D273" s="2" t="s">
        <v>6004</v>
      </c>
      <c r="E273" s="2" t="s">
        <v>1077</v>
      </c>
      <c r="F273" s="2" t="s">
        <v>2</v>
      </c>
      <c r="G273" s="2" t="str">
        <f>"(03)3231111"</f>
        <v>(03)3231111</v>
      </c>
      <c r="H273" s="2" t="s">
        <v>456</v>
      </c>
      <c r="I273" s="2" t="str">
        <f>"(02)25048125"</f>
        <v>(02)25048125</v>
      </c>
      <c r="J273" s="2" t="str">
        <f>"自105年05月18日至105年06月14日止"</f>
        <v>自105年05月18日至105年06月14日止</v>
      </c>
      <c r="K273" s="2" t="str">
        <f t="shared" si="34"/>
        <v>台灣集中保管結算所股份有限公司</v>
      </c>
      <c r="L273" s="2" t="str">
        <f t="shared" si="35"/>
        <v>http://www.stockvote.com.tw</v>
      </c>
      <c r="M273" s="2" t="str">
        <f t="shared" si="36"/>
        <v>--</v>
      </c>
      <c r="N273" s="2"/>
      <c r="O273" s="2"/>
      <c r="P273" s="2"/>
      <c r="Q273" s="2"/>
    </row>
    <row r="274" spans="1:17" x14ac:dyDescent="0.3">
      <c r="A274" s="2" t="str">
        <f>"2314"</f>
        <v>2314</v>
      </c>
      <c r="B274" s="2" t="s">
        <v>1078</v>
      </c>
      <c r="C274" s="2" t="s">
        <v>1079</v>
      </c>
      <c r="D274" s="2" t="s">
        <v>6016</v>
      </c>
      <c r="E274" s="2" t="s">
        <v>1080</v>
      </c>
      <c r="F274" s="2" t="s">
        <v>41</v>
      </c>
      <c r="G274" s="2" t="str">
        <f>"03-5773335"</f>
        <v>03-5773335</v>
      </c>
      <c r="H274" s="2" t="s">
        <v>456</v>
      </c>
      <c r="I274" s="2" t="str">
        <f>"0225048125"</f>
        <v>0225048125</v>
      </c>
      <c r="J274" s="2" t="str">
        <f>"自105年05月14日至105年06月11日止"</f>
        <v>自105年05月14日至105年06月11日止</v>
      </c>
      <c r="K274" s="2" t="str">
        <f t="shared" si="34"/>
        <v>台灣集中保管結算所股份有限公司</v>
      </c>
      <c r="L274" s="2" t="str">
        <f t="shared" si="35"/>
        <v>http://www.stockvote.com.tw</v>
      </c>
      <c r="M274" s="2" t="str">
        <f t="shared" si="36"/>
        <v>--</v>
      </c>
      <c r="N274" s="2"/>
      <c r="O274" s="2"/>
      <c r="P274" s="2"/>
      <c r="Q274" s="2"/>
    </row>
    <row r="275" spans="1:17" x14ac:dyDescent="0.3">
      <c r="A275" s="2" t="str">
        <f>"2316"</f>
        <v>2316</v>
      </c>
      <c r="B275" s="2" t="s">
        <v>175</v>
      </c>
      <c r="C275" s="2" t="s">
        <v>1081</v>
      </c>
      <c r="D275" s="2" t="s">
        <v>6028</v>
      </c>
      <c r="E275" s="2" t="s">
        <v>1082</v>
      </c>
      <c r="F275" s="2" t="s">
        <v>2</v>
      </c>
      <c r="G275" s="2" t="str">
        <f>"07-3612116"</f>
        <v>07-3612116</v>
      </c>
      <c r="H275" s="2" t="s">
        <v>469</v>
      </c>
      <c r="I275" s="2" t="str">
        <f>"02-27463797"</f>
        <v>02-27463797</v>
      </c>
      <c r="J275" s="2" t="str">
        <f>"自105年05月17日至105年06月13日止"</f>
        <v>自105年05月17日至105年06月13日止</v>
      </c>
      <c r="K275" s="2" t="str">
        <f t="shared" si="34"/>
        <v>台灣集中保管結算所股份有限公司</v>
      </c>
      <c r="L275" s="2" t="str">
        <f t="shared" si="35"/>
        <v>http://www.stockvote.com.tw</v>
      </c>
      <c r="M275" s="2" t="str">
        <f t="shared" si="36"/>
        <v>--</v>
      </c>
      <c r="N275" s="2"/>
      <c r="O275" s="2"/>
      <c r="P275" s="2"/>
      <c r="Q275" s="2"/>
    </row>
    <row r="276" spans="1:17" x14ac:dyDescent="0.3">
      <c r="A276" s="2" t="str">
        <f>"2317"</f>
        <v>2317</v>
      </c>
      <c r="B276" s="2" t="s">
        <v>1083</v>
      </c>
      <c r="C276" s="2" t="s">
        <v>1084</v>
      </c>
      <c r="D276" s="2" t="s">
        <v>5999</v>
      </c>
      <c r="E276" s="2" t="s">
        <v>1084</v>
      </c>
      <c r="F276" s="2" t="s">
        <v>41</v>
      </c>
      <c r="G276" s="2" t="str">
        <f>"(02)2268-3466"</f>
        <v>(02)2268-3466</v>
      </c>
      <c r="H276" s="2" t="s">
        <v>640</v>
      </c>
      <c r="I276" s="2" t="str">
        <f>"(02)2371-1658"</f>
        <v>(02)2371-1658</v>
      </c>
      <c r="J276" s="2" t="str">
        <f>"--"</f>
        <v>--</v>
      </c>
      <c r="K276" s="2" t="str">
        <f>"--"</f>
        <v>--</v>
      </c>
      <c r="L276" s="2" t="str">
        <f>"--"</f>
        <v>--</v>
      </c>
      <c r="M276" s="2" t="str">
        <f t="shared" si="36"/>
        <v>--</v>
      </c>
      <c r="N276" s="2"/>
      <c r="O276" s="2"/>
      <c r="P276" s="2"/>
      <c r="Q276" s="2"/>
    </row>
    <row r="277" spans="1:17" x14ac:dyDescent="0.3">
      <c r="A277" s="2" t="str">
        <f>"2321"</f>
        <v>2321</v>
      </c>
      <c r="B277" s="2" t="s">
        <v>1085</v>
      </c>
      <c r="C277" s="2" t="s">
        <v>1086</v>
      </c>
      <c r="D277" s="2" t="s">
        <v>5999</v>
      </c>
      <c r="E277" s="2" t="s">
        <v>6133</v>
      </c>
      <c r="F277" s="2" t="s">
        <v>2</v>
      </c>
      <c r="G277" s="2" t="str">
        <f>"(03)5775141"</f>
        <v>(03)5775141</v>
      </c>
      <c r="H277" s="2" t="s">
        <v>456</v>
      </c>
      <c r="I277" s="2" t="str">
        <f>"02-25048125"</f>
        <v>02-25048125</v>
      </c>
      <c r="J277" s="2" t="str">
        <f>"自105年05月21日至105年06月19日止"</f>
        <v>自105年05月21日至105年06月19日止</v>
      </c>
      <c r="K277" s="2" t="str">
        <f t="shared" ref="K277:K285" si="37">"台灣集中保管結算所股份有限公司"</f>
        <v>台灣集中保管結算所股份有限公司</v>
      </c>
      <c r="L277" s="2" t="str">
        <f t="shared" ref="L277:L285" si="38">"http://www.stockvote.com.tw"</f>
        <v>http://www.stockvote.com.tw</v>
      </c>
      <c r="M277" s="2" t="str">
        <f t="shared" si="36"/>
        <v>--</v>
      </c>
      <c r="N277" s="2"/>
      <c r="O277" s="2"/>
      <c r="P277" s="2"/>
      <c r="Q277" s="2"/>
    </row>
    <row r="278" spans="1:17" x14ac:dyDescent="0.3">
      <c r="A278" s="2" t="str">
        <f>"2323"</f>
        <v>2323</v>
      </c>
      <c r="B278" s="2" t="s">
        <v>15</v>
      </c>
      <c r="C278" s="2" t="s">
        <v>1087</v>
      </c>
      <c r="D278" s="2" t="s">
        <v>6024</v>
      </c>
      <c r="E278" s="2" t="s">
        <v>1088</v>
      </c>
      <c r="F278" s="2" t="s">
        <v>2</v>
      </c>
      <c r="G278" s="2" t="str">
        <f>"02-25989890"</f>
        <v>02-25989890</v>
      </c>
      <c r="H278" s="2" t="s">
        <v>451</v>
      </c>
      <c r="I278" s="2" t="str">
        <f>"02-23892999"</f>
        <v>02-23892999</v>
      </c>
      <c r="J278" s="2" t="str">
        <f>"自105年05月08日至105年06月04日止"</f>
        <v>自105年05月08日至105年06月04日止</v>
      </c>
      <c r="K278" s="2" t="str">
        <f t="shared" si="37"/>
        <v>台灣集中保管結算所股份有限公司</v>
      </c>
      <c r="L278" s="2" t="str">
        <f t="shared" si="38"/>
        <v>http://www.stockvote.com.tw</v>
      </c>
      <c r="M278" s="2" t="str">
        <f>"強制"</f>
        <v>強制</v>
      </c>
      <c r="N278" s="2"/>
      <c r="O278" s="2"/>
      <c r="P278" s="2"/>
      <c r="Q278" s="2"/>
    </row>
    <row r="279" spans="1:17" x14ac:dyDescent="0.3">
      <c r="A279" s="2" t="str">
        <f>"2324"</f>
        <v>2324</v>
      </c>
      <c r="B279" s="2" t="s">
        <v>1089</v>
      </c>
      <c r="C279" s="2" t="s">
        <v>1090</v>
      </c>
      <c r="D279" s="2" t="s">
        <v>6010</v>
      </c>
      <c r="E279" s="2" t="s">
        <v>1091</v>
      </c>
      <c r="F279" s="2" t="s">
        <v>2</v>
      </c>
      <c r="G279" s="2" t="str">
        <f>"(02)87978588"</f>
        <v>(02)87978588</v>
      </c>
      <c r="H279" s="2" t="s">
        <v>404</v>
      </c>
      <c r="I279" s="2" t="str">
        <f>"(02)6636-5566"</f>
        <v>(02)6636-5566</v>
      </c>
      <c r="J279" s="2" t="str">
        <f>"自105年05月25日至105年06月21日止"</f>
        <v>自105年05月25日至105年06月21日止</v>
      </c>
      <c r="K279" s="2" t="str">
        <f t="shared" si="37"/>
        <v>台灣集中保管結算所股份有限公司</v>
      </c>
      <c r="L279" s="2" t="str">
        <f t="shared" si="38"/>
        <v>http://www.stockvote.com.tw</v>
      </c>
      <c r="M279" s="2" t="str">
        <f>"--"</f>
        <v>--</v>
      </c>
      <c r="N279" s="2"/>
      <c r="O279" s="2"/>
      <c r="P279" s="2"/>
      <c r="Q279" s="2"/>
    </row>
    <row r="280" spans="1:17" x14ac:dyDescent="0.3">
      <c r="A280" s="2" t="str">
        <f>"2325"</f>
        <v>2325</v>
      </c>
      <c r="B280" s="2" t="s">
        <v>1092</v>
      </c>
      <c r="C280" s="2" t="s">
        <v>1093</v>
      </c>
      <c r="D280" s="2" t="s">
        <v>6134</v>
      </c>
      <c r="E280" s="2" t="s">
        <v>2154</v>
      </c>
      <c r="F280" s="2" t="s">
        <v>2</v>
      </c>
      <c r="G280" s="2" t="str">
        <f>"04-25341525"</f>
        <v>04-25341525</v>
      </c>
      <c r="H280" s="2" t="s">
        <v>404</v>
      </c>
      <c r="I280" s="2" t="str">
        <f>"02-66365566"</f>
        <v>02-66365566</v>
      </c>
      <c r="J280" s="2" t="str">
        <f>"自105年04月16日至105年05月13日止"</f>
        <v>自105年04月16日至105年05月13日止</v>
      </c>
      <c r="K280" s="2" t="str">
        <f t="shared" si="37"/>
        <v>台灣集中保管結算所股份有限公司</v>
      </c>
      <c r="L280" s="2" t="str">
        <f t="shared" si="38"/>
        <v>http://www.stockvote.com.tw</v>
      </c>
      <c r="M280" s="2" t="str">
        <f>"強制"</f>
        <v>強制</v>
      </c>
      <c r="N280" s="2"/>
      <c r="O280" s="2"/>
      <c r="P280" s="2"/>
      <c r="Q280" s="2"/>
    </row>
    <row r="281" spans="1:17" x14ac:dyDescent="0.3">
      <c r="A281" s="2" t="str">
        <f>"2327"</f>
        <v>2327</v>
      </c>
      <c r="B281" s="2" t="s">
        <v>1094</v>
      </c>
      <c r="C281" s="2" t="s">
        <v>1095</v>
      </c>
      <c r="D281" s="2" t="s">
        <v>6051</v>
      </c>
      <c r="E281" s="2" t="s">
        <v>1096</v>
      </c>
      <c r="F281" s="2" t="s">
        <v>2</v>
      </c>
      <c r="G281" s="2" t="str">
        <f>"(02)6629-9999"</f>
        <v>(02)6629-9999</v>
      </c>
      <c r="H281" s="2" t="s">
        <v>1097</v>
      </c>
      <c r="I281" s="2" t="str">
        <f>"(02)2768-6668"</f>
        <v>(02)2768-6668</v>
      </c>
      <c r="J281" s="2" t="str">
        <f>"自105年05月04日至105年05月31日止"</f>
        <v>自105年05月04日至105年05月31日止</v>
      </c>
      <c r="K281" s="2" t="str">
        <f t="shared" si="37"/>
        <v>台灣集中保管結算所股份有限公司</v>
      </c>
      <c r="L281" s="2" t="str">
        <f t="shared" si="38"/>
        <v>http://www.stockvote.com.tw</v>
      </c>
      <c r="M281" s="2" t="str">
        <f>"強制"</f>
        <v>強制</v>
      </c>
      <c r="N281" s="2"/>
      <c r="O281" s="2"/>
      <c r="P281" s="2"/>
      <c r="Q281" s="2"/>
    </row>
    <row r="282" spans="1:17" x14ac:dyDescent="0.3">
      <c r="A282" s="2" t="str">
        <f>"2328"</f>
        <v>2328</v>
      </c>
      <c r="B282" s="2" t="s">
        <v>201</v>
      </c>
      <c r="C282" s="2" t="s">
        <v>1098</v>
      </c>
      <c r="D282" s="2" t="s">
        <v>6021</v>
      </c>
      <c r="E282" s="2" t="s">
        <v>1098</v>
      </c>
      <c r="F282" s="2" t="s">
        <v>2</v>
      </c>
      <c r="G282" s="2" t="str">
        <f>"2211-3066"</f>
        <v>2211-3066</v>
      </c>
      <c r="H282" s="2" t="s">
        <v>640</v>
      </c>
      <c r="I282" s="2" t="str">
        <f>"2371-1658"</f>
        <v>2371-1658</v>
      </c>
      <c r="J282" s="2" t="str">
        <f>"自105年05月14日至105年06月10日止"</f>
        <v>自105年05月14日至105年06月10日止</v>
      </c>
      <c r="K282" s="2" t="str">
        <f t="shared" si="37"/>
        <v>台灣集中保管結算所股份有限公司</v>
      </c>
      <c r="L282" s="2" t="str">
        <f t="shared" si="38"/>
        <v>http://www.stockvote.com.tw</v>
      </c>
      <c r="M282" s="2" t="str">
        <f>"--"</f>
        <v>--</v>
      </c>
      <c r="N282" s="2"/>
      <c r="O282" s="2"/>
      <c r="P282" s="2"/>
      <c r="Q282" s="2"/>
    </row>
    <row r="283" spans="1:17" x14ac:dyDescent="0.3">
      <c r="A283" s="2" t="str">
        <f>"2329"</f>
        <v>2329</v>
      </c>
      <c r="B283" s="2" t="s">
        <v>1099</v>
      </c>
      <c r="C283" s="2" t="s">
        <v>1100</v>
      </c>
      <c r="D283" s="2" t="s">
        <v>5999</v>
      </c>
      <c r="E283" s="2" t="s">
        <v>1101</v>
      </c>
      <c r="F283" s="2" t="s">
        <v>41</v>
      </c>
      <c r="G283" s="2" t="str">
        <f>"(07)361-3131"</f>
        <v>(07)361-3131</v>
      </c>
      <c r="H283" s="2" t="s">
        <v>404</v>
      </c>
      <c r="I283" s="2" t="str">
        <f>"(02)6636-5566"</f>
        <v>(02)6636-5566</v>
      </c>
      <c r="J283" s="2" t="str">
        <f>"自105年05月23日至105年06月19日止"</f>
        <v>自105年05月23日至105年06月19日止</v>
      </c>
      <c r="K283" s="2" t="str">
        <f t="shared" si="37"/>
        <v>台灣集中保管結算所股份有限公司</v>
      </c>
      <c r="L283" s="2" t="str">
        <f t="shared" si="38"/>
        <v>http://www.stockvote.com.tw</v>
      </c>
      <c r="M283" s="2" t="str">
        <f>"--"</f>
        <v>--</v>
      </c>
      <c r="N283" s="2"/>
      <c r="O283" s="2"/>
      <c r="P283" s="2"/>
      <c r="Q283" s="2"/>
    </row>
    <row r="284" spans="1:17" x14ac:dyDescent="0.3">
      <c r="A284" s="2" t="str">
        <f>"2330"</f>
        <v>2330</v>
      </c>
      <c r="B284" s="2" t="s">
        <v>1102</v>
      </c>
      <c r="C284" s="2" t="s">
        <v>1103</v>
      </c>
      <c r="D284" s="2" t="s">
        <v>6024</v>
      </c>
      <c r="E284" s="2" t="s">
        <v>1104</v>
      </c>
      <c r="F284" s="2" t="s">
        <v>2</v>
      </c>
      <c r="G284" s="2" t="str">
        <f>"03-5636688"</f>
        <v>03-5636688</v>
      </c>
      <c r="H284" s="2" t="s">
        <v>1105</v>
      </c>
      <c r="I284" s="2" t="str">
        <f>"02-6636-5566"</f>
        <v>02-6636-5566</v>
      </c>
      <c r="J284" s="2" t="str">
        <f>"自105年05月07日至105年06月04日止"</f>
        <v>自105年05月07日至105年06月04日止</v>
      </c>
      <c r="K284" s="2" t="str">
        <f t="shared" si="37"/>
        <v>台灣集中保管結算所股份有限公司</v>
      </c>
      <c r="L284" s="2" t="str">
        <f t="shared" si="38"/>
        <v>http://www.stockvote.com.tw</v>
      </c>
      <c r="M284" s="2" t="str">
        <f>"強制"</f>
        <v>強制</v>
      </c>
      <c r="N284" s="2"/>
      <c r="O284" s="2"/>
      <c r="P284" s="2"/>
      <c r="Q284" s="2"/>
    </row>
    <row r="285" spans="1:17" x14ac:dyDescent="0.3">
      <c r="A285" s="2" t="str">
        <f>"2331"</f>
        <v>2331</v>
      </c>
      <c r="B285" s="2" t="s">
        <v>1106</v>
      </c>
      <c r="C285" s="2" t="s">
        <v>1107</v>
      </c>
      <c r="D285" s="2" t="s">
        <v>6000</v>
      </c>
      <c r="E285" s="2" t="s">
        <v>6135</v>
      </c>
      <c r="F285" s="2" t="s">
        <v>2</v>
      </c>
      <c r="G285" s="2" t="str">
        <f>"(02)2162-1177"</f>
        <v>(02)2162-1177</v>
      </c>
      <c r="H285" s="2" t="s">
        <v>431</v>
      </c>
      <c r="I285" s="2" t="str">
        <f>"(02)2702-3999"</f>
        <v>(02)2702-3999</v>
      </c>
      <c r="J285" s="2" t="str">
        <f>"自105年05月21日至105年06月18日止"</f>
        <v>自105年05月21日至105年06月18日止</v>
      </c>
      <c r="K285" s="2" t="str">
        <f t="shared" si="37"/>
        <v>台灣集中保管結算所股份有限公司</v>
      </c>
      <c r="L285" s="2" t="str">
        <f t="shared" si="38"/>
        <v>http://www.stockvote.com.tw</v>
      </c>
      <c r="M285" s="2" t="str">
        <f>"--"</f>
        <v>--</v>
      </c>
      <c r="N285" s="2"/>
      <c r="O285" s="2"/>
      <c r="P285" s="2"/>
      <c r="Q285" s="2"/>
    </row>
    <row r="286" spans="1:17" x14ac:dyDescent="0.3">
      <c r="A286" s="2" t="str">
        <f>"2332"</f>
        <v>2332</v>
      </c>
      <c r="B286" s="2" t="s">
        <v>1108</v>
      </c>
      <c r="C286" s="2" t="s">
        <v>1109</v>
      </c>
      <c r="D286" s="2" t="s">
        <v>6004</v>
      </c>
      <c r="E286" s="2" t="s">
        <v>6136</v>
      </c>
      <c r="F286" s="2" t="s">
        <v>2</v>
      </c>
      <c r="G286" s="2" t="str">
        <f>"02-66000123"</f>
        <v>02-66000123</v>
      </c>
      <c r="H286" s="2" t="s">
        <v>404</v>
      </c>
      <c r="I286" s="2" t="str">
        <f>"02-6636-5566"</f>
        <v>02-6636-5566</v>
      </c>
      <c r="J286" s="2" t="str">
        <f>"--"</f>
        <v>--</v>
      </c>
      <c r="K286" s="2" t="str">
        <f>"--"</f>
        <v>--</v>
      </c>
      <c r="L286" s="2" t="str">
        <f>"--"</f>
        <v>--</v>
      </c>
      <c r="M286" s="2" t="str">
        <f>"強制"</f>
        <v>強制</v>
      </c>
      <c r="N286" s="2"/>
      <c r="O286" s="2"/>
      <c r="P286" s="2"/>
      <c r="Q286" s="2"/>
    </row>
    <row r="287" spans="1:17" x14ac:dyDescent="0.3">
      <c r="A287" s="2" t="str">
        <f>"2337"</f>
        <v>2337</v>
      </c>
      <c r="B287" s="2" t="s">
        <v>230</v>
      </c>
      <c r="C287" s="2" t="s">
        <v>1110</v>
      </c>
      <c r="D287" s="2" t="s">
        <v>6028</v>
      </c>
      <c r="E287" s="2" t="s">
        <v>1111</v>
      </c>
      <c r="F287" s="2" t="s">
        <v>41</v>
      </c>
      <c r="G287" s="2" t="str">
        <f>"03-5786688"</f>
        <v>03-5786688</v>
      </c>
      <c r="H287" s="2" t="s">
        <v>1112</v>
      </c>
      <c r="I287" s="2" t="str">
        <f>"02-25638128"</f>
        <v>02-25638128</v>
      </c>
      <c r="J287" s="2" t="str">
        <f>"自105年05月17日至105年06月13日止"</f>
        <v>自105年05月17日至105年06月13日止</v>
      </c>
      <c r="K287" s="2" t="str">
        <f t="shared" ref="K287:K293" si="39">"台灣集中保管結算所股份有限公司"</f>
        <v>台灣集中保管結算所股份有限公司</v>
      </c>
      <c r="L287" s="2" t="str">
        <f t="shared" ref="L287:L293" si="40">"http://www.stockvote.com.tw"</f>
        <v>http://www.stockvote.com.tw</v>
      </c>
      <c r="M287" s="2" t="str">
        <f>"強制"</f>
        <v>強制</v>
      </c>
      <c r="N287" s="2"/>
      <c r="O287" s="2"/>
      <c r="P287" s="2"/>
      <c r="Q287" s="2"/>
    </row>
    <row r="288" spans="1:17" x14ac:dyDescent="0.3">
      <c r="A288" s="2" t="str">
        <f>"2338"</f>
        <v>2338</v>
      </c>
      <c r="B288" s="2" t="s">
        <v>223</v>
      </c>
      <c r="C288" s="2" t="s">
        <v>6137</v>
      </c>
      <c r="D288" s="2" t="s">
        <v>6015</v>
      </c>
      <c r="E288" s="2" t="s">
        <v>6138</v>
      </c>
      <c r="F288" s="2" t="s">
        <v>2</v>
      </c>
      <c r="G288" s="2" t="str">
        <f>"(03)563-4370"</f>
        <v>(03)563-4370</v>
      </c>
      <c r="H288" s="2" t="s">
        <v>497</v>
      </c>
      <c r="I288" s="2" t="str">
        <f>"(02)6636-5566"</f>
        <v>(02)6636-5566</v>
      </c>
      <c r="J288" s="2" t="str">
        <f>"自105年05月24日至105年06月20日止"</f>
        <v>自105年05月24日至105年06月20日止</v>
      </c>
      <c r="K288" s="2" t="str">
        <f t="shared" si="39"/>
        <v>台灣集中保管結算所股份有限公司</v>
      </c>
      <c r="L288" s="2" t="str">
        <f t="shared" si="40"/>
        <v>http://www.stockvote.com.tw</v>
      </c>
      <c r="M288" s="2" t="str">
        <f>"--"</f>
        <v>--</v>
      </c>
      <c r="N288" s="2"/>
      <c r="O288" s="2"/>
      <c r="P288" s="2"/>
      <c r="Q288" s="2"/>
    </row>
    <row r="289" spans="1:17" x14ac:dyDescent="0.3">
      <c r="A289" s="2" t="str">
        <f>"2340"</f>
        <v>2340</v>
      </c>
      <c r="B289" s="2" t="s">
        <v>5681</v>
      </c>
      <c r="C289" s="2" t="s">
        <v>6139</v>
      </c>
      <c r="D289" s="2" t="s">
        <v>6010</v>
      </c>
      <c r="E289" s="2" t="s">
        <v>1113</v>
      </c>
      <c r="F289" s="2" t="s">
        <v>2</v>
      </c>
      <c r="G289" s="2" t="str">
        <f>"(03)5638951"</f>
        <v>(03)5638951</v>
      </c>
      <c r="H289" s="2" t="s">
        <v>456</v>
      </c>
      <c r="I289" s="2" t="str">
        <f>"02-25048125"</f>
        <v>02-25048125</v>
      </c>
      <c r="J289" s="2" t="str">
        <f>"自105年05月25日至105年06月21日止"</f>
        <v>自105年05月25日至105年06月21日止</v>
      </c>
      <c r="K289" s="2" t="str">
        <f t="shared" si="39"/>
        <v>台灣集中保管結算所股份有限公司</v>
      </c>
      <c r="L289" s="2" t="str">
        <f t="shared" si="40"/>
        <v>http://www.stockvote.com.tw</v>
      </c>
      <c r="M289" s="2" t="str">
        <f>"強制"</f>
        <v>強制</v>
      </c>
      <c r="N289" s="2"/>
      <c r="O289" s="2"/>
      <c r="P289" s="2"/>
      <c r="Q289" s="2"/>
    </row>
    <row r="290" spans="1:17" x14ac:dyDescent="0.3">
      <c r="A290" s="2" t="str">
        <f>"2342"</f>
        <v>2342</v>
      </c>
      <c r="B290" s="2" t="s">
        <v>329</v>
      </c>
      <c r="C290" s="2" t="s">
        <v>1114</v>
      </c>
      <c r="D290" s="2" t="s">
        <v>6140</v>
      </c>
      <c r="E290" s="2" t="s">
        <v>1115</v>
      </c>
      <c r="F290" s="2" t="s">
        <v>2</v>
      </c>
      <c r="G290" s="2" t="str">
        <f>"(03)578-3344"</f>
        <v>(03)578-3344</v>
      </c>
      <c r="H290" s="2" t="s">
        <v>456</v>
      </c>
      <c r="I290" s="2" t="str">
        <f>"(02)2504-8125"</f>
        <v>(02)2504-8125</v>
      </c>
      <c r="J290" s="2" t="str">
        <f>"自105年04月02日至105年05月01日止"</f>
        <v>自105年04月02日至105年05月01日止</v>
      </c>
      <c r="K290" s="2" t="str">
        <f t="shared" si="39"/>
        <v>台灣集中保管結算所股份有限公司</v>
      </c>
      <c r="L290" s="2" t="str">
        <f t="shared" si="40"/>
        <v>http://www.stockvote.com.tw</v>
      </c>
      <c r="M290" s="2" t="str">
        <f>"強制"</f>
        <v>強制</v>
      </c>
      <c r="N290" s="2"/>
      <c r="O290" s="2"/>
      <c r="P290" s="2"/>
      <c r="Q290" s="2"/>
    </row>
    <row r="291" spans="1:17" x14ac:dyDescent="0.3">
      <c r="A291" s="2" t="str">
        <f>"2344"</f>
        <v>2344</v>
      </c>
      <c r="B291" s="2" t="s">
        <v>206</v>
      </c>
      <c r="C291" s="2" t="s">
        <v>1116</v>
      </c>
      <c r="D291" s="2" t="s">
        <v>6028</v>
      </c>
      <c r="E291" s="2" t="s">
        <v>1117</v>
      </c>
      <c r="F291" s="2" t="s">
        <v>2</v>
      </c>
      <c r="G291" s="2" t="str">
        <f>"(04)25218168"</f>
        <v>(04)25218168</v>
      </c>
      <c r="H291" s="2" t="s">
        <v>1118</v>
      </c>
      <c r="I291" s="2" t="str">
        <f>"(02)27905885"</f>
        <v>(02)27905885</v>
      </c>
      <c r="J291" s="2" t="str">
        <f>"自105年05月17日至105年06月13日止"</f>
        <v>自105年05月17日至105年06月13日止</v>
      </c>
      <c r="K291" s="2" t="str">
        <f t="shared" si="39"/>
        <v>台灣集中保管結算所股份有限公司</v>
      </c>
      <c r="L291" s="2" t="str">
        <f t="shared" si="40"/>
        <v>http://www.stockvote.com.tw</v>
      </c>
      <c r="M291" s="2" t="str">
        <f>"--"</f>
        <v>--</v>
      </c>
      <c r="N291" s="2"/>
      <c r="O291" s="2"/>
      <c r="P291" s="2"/>
      <c r="Q291" s="2"/>
    </row>
    <row r="292" spans="1:17" x14ac:dyDescent="0.3">
      <c r="A292" s="2" t="str">
        <f>"2345"</f>
        <v>2345</v>
      </c>
      <c r="B292" s="2" t="s">
        <v>1119</v>
      </c>
      <c r="C292" s="2" t="s">
        <v>1120</v>
      </c>
      <c r="D292" s="2" t="s">
        <v>6004</v>
      </c>
      <c r="E292" s="2" t="s">
        <v>1121</v>
      </c>
      <c r="F292" s="2" t="s">
        <v>41</v>
      </c>
      <c r="G292" s="2" t="str">
        <f>"(03)5770270"</f>
        <v>(03)5770270</v>
      </c>
      <c r="H292" s="2" t="s">
        <v>424</v>
      </c>
      <c r="I292" s="2" t="str">
        <f>"02-25865859"</f>
        <v>02-25865859</v>
      </c>
      <c r="J292" s="2" t="str">
        <f>"自105年05月18日至105年06月14日止"</f>
        <v>自105年05月18日至105年06月14日止</v>
      </c>
      <c r="K292" s="2" t="str">
        <f t="shared" si="39"/>
        <v>台灣集中保管結算所股份有限公司</v>
      </c>
      <c r="L292" s="2" t="str">
        <f t="shared" si="40"/>
        <v>http://www.stockvote.com.tw</v>
      </c>
      <c r="M292" s="2" t="str">
        <f>"--"</f>
        <v>--</v>
      </c>
      <c r="N292" s="2"/>
      <c r="O292" s="2"/>
      <c r="P292" s="2"/>
      <c r="Q292" s="2"/>
    </row>
    <row r="293" spans="1:17" x14ac:dyDescent="0.3">
      <c r="A293" s="2" t="str">
        <f>"2347"</f>
        <v>2347</v>
      </c>
      <c r="B293" s="2" t="s">
        <v>1122</v>
      </c>
      <c r="C293" s="2" t="s">
        <v>1123</v>
      </c>
      <c r="D293" s="2" t="s">
        <v>6025</v>
      </c>
      <c r="E293" s="2" t="s">
        <v>1124</v>
      </c>
      <c r="F293" s="2" t="s">
        <v>2</v>
      </c>
      <c r="G293" s="2" t="str">
        <f>"2506-3320"</f>
        <v>2506-3320</v>
      </c>
      <c r="H293" s="2" t="s">
        <v>404</v>
      </c>
      <c r="I293" s="2" t="str">
        <f>"(02)6636-5566"</f>
        <v>(02)6636-5566</v>
      </c>
      <c r="J293" s="2" t="str">
        <f>"自105年05月07日至105年06月05日止"</f>
        <v>自105年05月07日至105年06月05日止</v>
      </c>
      <c r="K293" s="2" t="str">
        <f t="shared" si="39"/>
        <v>台灣集中保管結算所股份有限公司</v>
      </c>
      <c r="L293" s="2" t="str">
        <f t="shared" si="40"/>
        <v>http://www.stockvote.com.tw</v>
      </c>
      <c r="M293" s="2" t="str">
        <f>"強制"</f>
        <v>強制</v>
      </c>
      <c r="N293" s="2"/>
      <c r="O293" s="2"/>
      <c r="P293" s="2"/>
      <c r="Q293" s="2"/>
    </row>
    <row r="294" spans="1:17" x14ac:dyDescent="0.3">
      <c r="A294" s="2" t="str">
        <f>"2348"</f>
        <v>2348</v>
      </c>
      <c r="B294" s="2" t="s">
        <v>1125</v>
      </c>
      <c r="C294" s="2" t="s">
        <v>1126</v>
      </c>
      <c r="D294" s="2" t="s">
        <v>6141</v>
      </c>
      <c r="E294" s="2" t="s">
        <v>6142</v>
      </c>
      <c r="F294" s="2" t="s">
        <v>41</v>
      </c>
      <c r="G294" s="2" t="str">
        <f>"02-87122888"</f>
        <v>02-87122888</v>
      </c>
      <c r="H294" s="2" t="s">
        <v>431</v>
      </c>
      <c r="I294" s="2" t="str">
        <f>"02-27023999"</f>
        <v>02-27023999</v>
      </c>
      <c r="J294" s="2" t="str">
        <f>"--"</f>
        <v>--</v>
      </c>
      <c r="K294" s="2" t="str">
        <f>"--"</f>
        <v>--</v>
      </c>
      <c r="L294" s="2" t="str">
        <f>"--"</f>
        <v>--</v>
      </c>
      <c r="M294" s="2" t="str">
        <f>"否"</f>
        <v>否</v>
      </c>
      <c r="N294" s="2"/>
      <c r="O294" s="2"/>
      <c r="P294" s="2"/>
      <c r="Q294" s="2"/>
    </row>
    <row r="295" spans="1:17" x14ac:dyDescent="0.3">
      <c r="A295" s="2" t="str">
        <f>"2349"</f>
        <v>2349</v>
      </c>
      <c r="B295" s="2" t="s">
        <v>1127</v>
      </c>
      <c r="C295" s="2" t="s">
        <v>1128</v>
      </c>
      <c r="D295" s="2" t="s">
        <v>6016</v>
      </c>
      <c r="E295" s="2" t="s">
        <v>1129</v>
      </c>
      <c r="F295" s="2" t="s">
        <v>2</v>
      </c>
      <c r="G295" s="2" t="str">
        <f>"03-5985696"</f>
        <v>03-5985696</v>
      </c>
      <c r="H295" s="2" t="s">
        <v>456</v>
      </c>
      <c r="I295" s="2" t="str">
        <f>"02-25048125"</f>
        <v>02-25048125</v>
      </c>
      <c r="J295" s="2" t="str">
        <f>"自105年05月14日至105年06月11日止"</f>
        <v>自105年05月14日至105年06月11日止</v>
      </c>
      <c r="K295" s="2" t="str">
        <f>"台灣集中保管結算所股份有限公司"</f>
        <v>台灣集中保管結算所股份有限公司</v>
      </c>
      <c r="L295" s="2" t="str">
        <f>"http://www.stockvote.com.tw"</f>
        <v>http://www.stockvote.com.tw</v>
      </c>
      <c r="M295" s="2" t="str">
        <f>"--"</f>
        <v>--</v>
      </c>
      <c r="N295" s="2"/>
      <c r="O295" s="2"/>
      <c r="P295" s="2"/>
      <c r="Q295" s="2"/>
    </row>
    <row r="296" spans="1:17" x14ac:dyDescent="0.3">
      <c r="A296" s="2" t="str">
        <f>"2351"</f>
        <v>2351</v>
      </c>
      <c r="B296" s="2" t="s">
        <v>1130</v>
      </c>
      <c r="C296" s="2" t="s">
        <v>1131</v>
      </c>
      <c r="D296" s="2" t="s">
        <v>5999</v>
      </c>
      <c r="E296" s="2" t="s">
        <v>1132</v>
      </c>
      <c r="F296" s="2" t="s">
        <v>2</v>
      </c>
      <c r="G296" s="2" t="str">
        <f>"04-7383991"</f>
        <v>04-7383991</v>
      </c>
      <c r="H296" s="2" t="s">
        <v>431</v>
      </c>
      <c r="I296" s="2" t="str">
        <f>"02-27023999"</f>
        <v>02-27023999</v>
      </c>
      <c r="J296" s="2" t="str">
        <f>"--"</f>
        <v>--</v>
      </c>
      <c r="K296" s="2" t="str">
        <f>"--"</f>
        <v>--</v>
      </c>
      <c r="L296" s="2" t="str">
        <f>"--"</f>
        <v>--</v>
      </c>
      <c r="M296" s="2" t="str">
        <f>"--"</f>
        <v>--</v>
      </c>
      <c r="N296" s="2"/>
      <c r="O296" s="2"/>
      <c r="P296" s="2"/>
      <c r="Q296" s="2"/>
    </row>
    <row r="297" spans="1:17" x14ac:dyDescent="0.3">
      <c r="A297" s="2" t="str">
        <f>"2352"</f>
        <v>2352</v>
      </c>
      <c r="B297" s="2" t="s">
        <v>178</v>
      </c>
      <c r="C297" s="2" t="s">
        <v>6143</v>
      </c>
      <c r="D297" s="2" t="s">
        <v>6002</v>
      </c>
      <c r="E297" s="2" t="s">
        <v>1133</v>
      </c>
      <c r="F297" s="2" t="s">
        <v>2</v>
      </c>
      <c r="G297" s="2" t="str">
        <f>"03-3598800"</f>
        <v>03-3598800</v>
      </c>
      <c r="H297" s="2" t="s">
        <v>456</v>
      </c>
      <c r="I297" s="2" t="str">
        <f>"02-25048125"</f>
        <v>02-25048125</v>
      </c>
      <c r="J297" s="2" t="str">
        <f>"自105年05月14日至105年06月12日止"</f>
        <v>自105年05月14日至105年06月12日止</v>
      </c>
      <c r="K297" s="2" t="str">
        <f t="shared" ref="K297:K302" si="41">"台灣集中保管結算所股份有限公司"</f>
        <v>台灣集中保管結算所股份有限公司</v>
      </c>
      <c r="L297" s="2" t="str">
        <f t="shared" ref="L297:L302" si="42">"http://www.stockvote.com.tw"</f>
        <v>http://www.stockvote.com.tw</v>
      </c>
      <c r="M297" s="2" t="str">
        <f>"--"</f>
        <v>--</v>
      </c>
      <c r="N297" s="2"/>
      <c r="O297" s="2"/>
      <c r="P297" s="2"/>
      <c r="Q297" s="2"/>
    </row>
    <row r="298" spans="1:17" x14ac:dyDescent="0.3">
      <c r="A298" s="2" t="str">
        <f>"2353"</f>
        <v>2353</v>
      </c>
      <c r="B298" s="2" t="s">
        <v>243</v>
      </c>
      <c r="C298" s="2" t="s">
        <v>1134</v>
      </c>
      <c r="D298" s="2" t="s">
        <v>6010</v>
      </c>
      <c r="E298" s="2" t="s">
        <v>6144</v>
      </c>
      <c r="F298" s="2" t="s">
        <v>2</v>
      </c>
      <c r="G298" s="2" t="str">
        <f>"(02)27195000"</f>
        <v>(02)27195000</v>
      </c>
      <c r="H298" s="2" t="s">
        <v>1135</v>
      </c>
      <c r="I298" s="2" t="str">
        <f>"(02)27195000"</f>
        <v>(02)27195000</v>
      </c>
      <c r="J298" s="2" t="str">
        <f>"自105年05月24日至105年06月21日止"</f>
        <v>自105年05月24日至105年06月21日止</v>
      </c>
      <c r="K298" s="2" t="str">
        <f t="shared" si="41"/>
        <v>台灣集中保管結算所股份有限公司</v>
      </c>
      <c r="L298" s="2" t="str">
        <f t="shared" si="42"/>
        <v>http://www.stockvote.com.tw</v>
      </c>
      <c r="M298" s="2" t="str">
        <f>"強制"</f>
        <v>強制</v>
      </c>
      <c r="N298" s="2"/>
      <c r="O298" s="2"/>
      <c r="P298" s="2"/>
      <c r="Q298" s="2"/>
    </row>
    <row r="299" spans="1:17" x14ac:dyDescent="0.3">
      <c r="A299" s="2" t="str">
        <f>"2354"</f>
        <v>2354</v>
      </c>
      <c r="B299" s="2" t="s">
        <v>1136</v>
      </c>
      <c r="C299" s="2" t="s">
        <v>1137</v>
      </c>
      <c r="D299" s="2" t="s">
        <v>5999</v>
      </c>
      <c r="E299" s="2" t="s">
        <v>1138</v>
      </c>
      <c r="F299" s="2" t="s">
        <v>41</v>
      </c>
      <c r="G299" s="2" t="str">
        <f>"22680970"</f>
        <v>22680970</v>
      </c>
      <c r="H299" s="2" t="s">
        <v>640</v>
      </c>
      <c r="I299" s="2" t="str">
        <f>"(02)2371-1658"</f>
        <v>(02)2371-1658</v>
      </c>
      <c r="J299" s="2" t="str">
        <f>"自105年05月21日至105年06月19日止"</f>
        <v>自105年05月21日至105年06月19日止</v>
      </c>
      <c r="K299" s="2" t="str">
        <f t="shared" si="41"/>
        <v>台灣集中保管結算所股份有限公司</v>
      </c>
      <c r="L299" s="2" t="str">
        <f t="shared" si="42"/>
        <v>http://www.stockvote.com.tw</v>
      </c>
      <c r="M299" s="2" t="str">
        <f>"--"</f>
        <v>--</v>
      </c>
      <c r="N299" s="2"/>
      <c r="O299" s="2"/>
      <c r="P299" s="2"/>
      <c r="Q299" s="2"/>
    </row>
    <row r="300" spans="1:17" x14ac:dyDescent="0.3">
      <c r="A300" s="2" t="str">
        <f>"2355"</f>
        <v>2355</v>
      </c>
      <c r="B300" s="2" t="s">
        <v>161</v>
      </c>
      <c r="C300" s="2" t="s">
        <v>1139</v>
      </c>
      <c r="D300" s="2" t="s">
        <v>6016</v>
      </c>
      <c r="E300" s="2" t="s">
        <v>1140</v>
      </c>
      <c r="F300" s="2" t="s">
        <v>2</v>
      </c>
      <c r="G300" s="2" t="str">
        <f>"03-3222226"</f>
        <v>03-3222226</v>
      </c>
      <c r="H300" s="2" t="s">
        <v>806</v>
      </c>
      <c r="I300" s="2" t="str">
        <f>"02- 87871888"</f>
        <v>02- 87871888</v>
      </c>
      <c r="J300" s="2" t="str">
        <f>"自105年05月14日至105年06月11日止"</f>
        <v>自105年05月14日至105年06月11日止</v>
      </c>
      <c r="K300" s="2" t="str">
        <f t="shared" si="41"/>
        <v>台灣集中保管結算所股份有限公司</v>
      </c>
      <c r="L300" s="2" t="str">
        <f t="shared" si="42"/>
        <v>http://www.stockvote.com.tw</v>
      </c>
      <c r="M300" s="2" t="str">
        <f>"--"</f>
        <v>--</v>
      </c>
      <c r="N300" s="2"/>
      <c r="O300" s="2"/>
      <c r="P300" s="2"/>
      <c r="Q300" s="2"/>
    </row>
    <row r="301" spans="1:17" x14ac:dyDescent="0.3">
      <c r="A301" s="2" t="str">
        <f>"2356"</f>
        <v>2356</v>
      </c>
      <c r="B301" s="2" t="s">
        <v>1141</v>
      </c>
      <c r="C301" s="2" t="s">
        <v>1142</v>
      </c>
      <c r="D301" s="2" t="s">
        <v>6020</v>
      </c>
      <c r="E301" s="2" t="s">
        <v>6145</v>
      </c>
      <c r="F301" s="2" t="s">
        <v>2</v>
      </c>
      <c r="G301" s="2" t="str">
        <f>"28810721"</f>
        <v>28810721</v>
      </c>
      <c r="H301" s="2" t="s">
        <v>456</v>
      </c>
      <c r="I301" s="2" t="str">
        <f>"25048125"</f>
        <v>25048125</v>
      </c>
      <c r="J301" s="2" t="str">
        <f>"自105年05月21日至105年06月17日止"</f>
        <v>自105年05月21日至105年06月17日止</v>
      </c>
      <c r="K301" s="2" t="str">
        <f t="shared" si="41"/>
        <v>台灣集中保管結算所股份有限公司</v>
      </c>
      <c r="L301" s="2" t="str">
        <f t="shared" si="42"/>
        <v>http://www.stockvote.com.tw</v>
      </c>
      <c r="M301" s="2" t="str">
        <f>"強制"</f>
        <v>強制</v>
      </c>
      <c r="N301" s="2"/>
      <c r="O301" s="2"/>
      <c r="P301" s="2"/>
      <c r="Q301" s="2"/>
    </row>
    <row r="302" spans="1:17" x14ac:dyDescent="0.3">
      <c r="A302" s="2" t="str">
        <f>"2357"</f>
        <v>2357</v>
      </c>
      <c r="B302" s="2" t="s">
        <v>1143</v>
      </c>
      <c r="C302" s="2" t="s">
        <v>1144</v>
      </c>
      <c r="D302" s="2" t="s">
        <v>6025</v>
      </c>
      <c r="E302" s="2" t="s">
        <v>6146</v>
      </c>
      <c r="F302" s="2" t="s">
        <v>2</v>
      </c>
      <c r="G302" s="2" t="str">
        <f>"(02)28943447"</f>
        <v>(02)28943447</v>
      </c>
      <c r="H302" s="2" t="s">
        <v>524</v>
      </c>
      <c r="I302" s="2" t="str">
        <f>"(02)23892999"</f>
        <v>(02)23892999</v>
      </c>
      <c r="J302" s="2" t="str">
        <f>"自105年05月07日至105年06月05日止"</f>
        <v>自105年05月07日至105年06月05日止</v>
      </c>
      <c r="K302" s="2" t="str">
        <f t="shared" si="41"/>
        <v>台灣集中保管結算所股份有限公司</v>
      </c>
      <c r="L302" s="2" t="str">
        <f t="shared" si="42"/>
        <v>http://www.stockvote.com.tw</v>
      </c>
      <c r="M302" s="2" t="str">
        <f>"強制"</f>
        <v>強制</v>
      </c>
      <c r="N302" s="2"/>
      <c r="O302" s="2"/>
      <c r="P302" s="2"/>
      <c r="Q302" s="2"/>
    </row>
    <row r="303" spans="1:17" x14ac:dyDescent="0.3">
      <c r="A303" s="2" t="str">
        <f>"2358"</f>
        <v>2358</v>
      </c>
      <c r="B303" s="2" t="s">
        <v>1145</v>
      </c>
      <c r="C303" s="2" t="s">
        <v>1146</v>
      </c>
      <c r="D303" s="2" t="s">
        <v>6001</v>
      </c>
      <c r="E303" s="2" t="s">
        <v>1147</v>
      </c>
      <c r="F303" s="2" t="s">
        <v>41</v>
      </c>
      <c r="G303" s="2" t="str">
        <f>"04-24717189"</f>
        <v>04-24717189</v>
      </c>
      <c r="H303" s="2" t="s">
        <v>556</v>
      </c>
      <c r="I303" s="2" t="str">
        <f>"02-2371-1658"</f>
        <v>02-2371-1658</v>
      </c>
      <c r="J303" s="2" t="str">
        <f>"--"</f>
        <v>--</v>
      </c>
      <c r="K303" s="2" t="str">
        <f>"--"</f>
        <v>--</v>
      </c>
      <c r="L303" s="2" t="str">
        <f>"--"</f>
        <v>--</v>
      </c>
      <c r="M303" s="2" t="str">
        <f>"--"</f>
        <v>--</v>
      </c>
      <c r="N303" s="2"/>
      <c r="O303" s="2"/>
      <c r="P303" s="2"/>
      <c r="Q303" s="2"/>
    </row>
    <row r="304" spans="1:17" x14ac:dyDescent="0.3">
      <c r="A304" s="2" t="str">
        <f>"2359"</f>
        <v>2359</v>
      </c>
      <c r="B304" s="2" t="s">
        <v>1148</v>
      </c>
      <c r="C304" s="2" t="s">
        <v>1149</v>
      </c>
      <c r="D304" s="2" t="s">
        <v>6024</v>
      </c>
      <c r="E304" s="2" t="s">
        <v>6147</v>
      </c>
      <c r="F304" s="2" t="s">
        <v>41</v>
      </c>
      <c r="G304" s="2" t="str">
        <f>"8791-8989"</f>
        <v>8791-8989</v>
      </c>
      <c r="H304" s="2" t="s">
        <v>1150</v>
      </c>
      <c r="I304" s="2" t="str">
        <f>"2747-8266"</f>
        <v>2747-8266</v>
      </c>
      <c r="J304" s="2" t="str">
        <f>"--"</f>
        <v>--</v>
      </c>
      <c r="K304" s="2" t="str">
        <f>"--"</f>
        <v>--</v>
      </c>
      <c r="L304" s="2" t="str">
        <f>"--"</f>
        <v>--</v>
      </c>
      <c r="M304" s="2" t="str">
        <f>"否"</f>
        <v>否</v>
      </c>
      <c r="N304" s="2"/>
      <c r="O304" s="2"/>
      <c r="P304" s="2"/>
      <c r="Q304" s="2"/>
    </row>
    <row r="305" spans="1:17" x14ac:dyDescent="0.3">
      <c r="A305" s="2" t="str">
        <f>"2360"</f>
        <v>2360</v>
      </c>
      <c r="B305" s="2" t="s">
        <v>1151</v>
      </c>
      <c r="C305" s="2" t="s">
        <v>6148</v>
      </c>
      <c r="D305" s="2" t="s">
        <v>6024</v>
      </c>
      <c r="E305" s="2" t="s">
        <v>1152</v>
      </c>
      <c r="F305" s="2" t="s">
        <v>2</v>
      </c>
      <c r="G305" s="2" t="str">
        <f>"(03)327-9999"</f>
        <v>(03)327-9999</v>
      </c>
      <c r="H305" s="2" t="s">
        <v>456</v>
      </c>
      <c r="I305" s="2" t="str">
        <f>"(02)2504-8125"</f>
        <v>(02)2504-8125</v>
      </c>
      <c r="J305" s="2" t="str">
        <f>"自105年05月07日至105年06月04日止"</f>
        <v>自105年05月07日至105年06月04日止</v>
      </c>
      <c r="K305" s="2" t="str">
        <f>"台灣集中保管結算所股份有限公司"</f>
        <v>台灣集中保管結算所股份有限公司</v>
      </c>
      <c r="L305" s="2" t="str">
        <f>"http://www.stockvote.com.tw"</f>
        <v>http://www.stockvote.com.tw</v>
      </c>
      <c r="M305" s="2" t="str">
        <f>"強制"</f>
        <v>強制</v>
      </c>
      <c r="N305" s="2"/>
      <c r="O305" s="2"/>
      <c r="P305" s="2"/>
      <c r="Q305" s="2"/>
    </row>
    <row r="306" spans="1:17" x14ac:dyDescent="0.3">
      <c r="A306" s="2" t="str">
        <f>"2362"</f>
        <v>2362</v>
      </c>
      <c r="B306" s="2" t="s">
        <v>1153</v>
      </c>
      <c r="C306" s="2" t="s">
        <v>1154</v>
      </c>
      <c r="D306" s="2" t="s">
        <v>6016</v>
      </c>
      <c r="E306" s="2" t="s">
        <v>1154</v>
      </c>
      <c r="F306" s="2" t="s">
        <v>2</v>
      </c>
      <c r="G306" s="2" t="str">
        <f>"(02)22789696"</f>
        <v>(02)22789696</v>
      </c>
      <c r="H306" s="2" t="s">
        <v>404</v>
      </c>
      <c r="I306" s="2" t="str">
        <f>"(02)6636-5566"</f>
        <v>(02)6636-5566</v>
      </c>
      <c r="J306" s="2" t="str">
        <f>"自105年05月15日至105年06月11日止"</f>
        <v>自105年05月15日至105年06月11日止</v>
      </c>
      <c r="K306" s="2" t="str">
        <f>"台灣集中保管結算所股份有限公司"</f>
        <v>台灣集中保管結算所股份有限公司</v>
      </c>
      <c r="L306" s="2" t="str">
        <f>"http://www.stockvote.com.tw"</f>
        <v>http://www.stockvote.com.tw</v>
      </c>
      <c r="M306" s="2" t="str">
        <f>"&lt;b&gt;&lt;font color='red'&gt;自願&lt;/font&gt;&lt;/b&gt;"</f>
        <v>&lt;b&gt;&lt;font color='red'&gt;自願&lt;/font&gt;&lt;/b&gt;</v>
      </c>
      <c r="N306" s="2"/>
      <c r="O306" s="2"/>
      <c r="P306" s="2"/>
      <c r="Q306" s="2"/>
    </row>
    <row r="307" spans="1:17" x14ac:dyDescent="0.3">
      <c r="A307" s="2" t="str">
        <f>"2363"</f>
        <v>2363</v>
      </c>
      <c r="B307" s="2" t="s">
        <v>1155</v>
      </c>
      <c r="C307" s="2" t="s">
        <v>1156</v>
      </c>
      <c r="D307" s="2" t="s">
        <v>6000</v>
      </c>
      <c r="E307" s="2" t="s">
        <v>1157</v>
      </c>
      <c r="F307" s="2" t="s">
        <v>41</v>
      </c>
      <c r="G307" s="2" t="str">
        <f>"(03)5166000"</f>
        <v>(03)5166000</v>
      </c>
      <c r="H307" s="2" t="s">
        <v>1063</v>
      </c>
      <c r="I307" s="2" t="str">
        <f>"02-23268818"</f>
        <v>02-23268818</v>
      </c>
      <c r="J307" s="2" t="str">
        <f>"自105年05月22日至105年06月18日止"</f>
        <v>自105年05月22日至105年06月18日止</v>
      </c>
      <c r="K307" s="2" t="str">
        <f>"台灣集中保管結算所股份有限公司"</f>
        <v>台灣集中保管結算所股份有限公司</v>
      </c>
      <c r="L307" s="2" t="str">
        <f>"http://www.stockvote.com.tw"</f>
        <v>http://www.stockvote.com.tw</v>
      </c>
      <c r="M307" s="2" t="str">
        <f>"強制"</f>
        <v>強制</v>
      </c>
      <c r="N307" s="2"/>
      <c r="O307" s="2"/>
      <c r="P307" s="2"/>
      <c r="Q307" s="2"/>
    </row>
    <row r="308" spans="1:17" x14ac:dyDescent="0.3">
      <c r="A308" s="2" t="str">
        <f>"2364"</f>
        <v>2364</v>
      </c>
      <c r="B308" s="2" t="s">
        <v>1158</v>
      </c>
      <c r="C308" s="2" t="s">
        <v>6149</v>
      </c>
      <c r="D308" s="2" t="s">
        <v>6015</v>
      </c>
      <c r="E308" s="2" t="s">
        <v>1159</v>
      </c>
      <c r="F308" s="2" t="s">
        <v>2</v>
      </c>
      <c r="G308" s="2" t="str">
        <f>"(02)55899999"</f>
        <v>(02)55899999</v>
      </c>
      <c r="H308" s="2" t="s">
        <v>1160</v>
      </c>
      <c r="I308" s="2" t="str">
        <f>"(02)23618608"</f>
        <v>(02)23618608</v>
      </c>
      <c r="J308" s="2" t="str">
        <f>"--"</f>
        <v>--</v>
      </c>
      <c r="K308" s="2" t="str">
        <f>"--"</f>
        <v>--</v>
      </c>
      <c r="L308" s="2" t="str">
        <f>"--"</f>
        <v>--</v>
      </c>
      <c r="M308" s="2" t="str">
        <f>"--"</f>
        <v>--</v>
      </c>
      <c r="N308" s="2"/>
      <c r="O308" s="2"/>
      <c r="P308" s="2"/>
      <c r="Q308" s="2"/>
    </row>
    <row r="309" spans="1:17" x14ac:dyDescent="0.3">
      <c r="A309" s="2" t="str">
        <f>"2365"</f>
        <v>2365</v>
      </c>
      <c r="B309" s="2" t="s">
        <v>1161</v>
      </c>
      <c r="C309" s="2" t="s">
        <v>1162</v>
      </c>
      <c r="D309" s="2" t="s">
        <v>6031</v>
      </c>
      <c r="E309" s="2" t="s">
        <v>1163</v>
      </c>
      <c r="F309" s="2" t="s">
        <v>41</v>
      </c>
      <c r="G309" s="2" t="str">
        <f>"(02)29956645"</f>
        <v>(02)29956645</v>
      </c>
      <c r="H309" s="2" t="s">
        <v>541</v>
      </c>
      <c r="I309" s="2" t="str">
        <f>"(02)3393-0898"</f>
        <v>(02)3393-0898</v>
      </c>
      <c r="J309" s="2" t="str">
        <f>"自105年05月07日至105年06月03日止"</f>
        <v>自105年05月07日至105年06月03日止</v>
      </c>
      <c r="K309" s="2" t="str">
        <f t="shared" ref="K309:K315" si="43">"台灣集中保管結算所股份有限公司"</f>
        <v>台灣集中保管結算所股份有限公司</v>
      </c>
      <c r="L309" s="2" t="str">
        <f t="shared" ref="L309:L315" si="44">"http://www.stockvote.com.tw"</f>
        <v>http://www.stockvote.com.tw</v>
      </c>
      <c r="M309" s="2" t="str">
        <f>"強制"</f>
        <v>強制</v>
      </c>
      <c r="N309" s="2"/>
      <c r="O309" s="2"/>
      <c r="P309" s="2"/>
      <c r="Q309" s="2"/>
    </row>
    <row r="310" spans="1:17" x14ac:dyDescent="0.3">
      <c r="A310" s="2" t="str">
        <f>"2367"</f>
        <v>2367</v>
      </c>
      <c r="B310" s="2" t="s">
        <v>112</v>
      </c>
      <c r="C310" s="2" t="s">
        <v>1164</v>
      </c>
      <c r="D310" s="2" t="s">
        <v>6000</v>
      </c>
      <c r="E310" s="2" t="s">
        <v>1165</v>
      </c>
      <c r="F310" s="2" t="s">
        <v>2</v>
      </c>
      <c r="G310" s="2" t="str">
        <f>"(02)22685071"</f>
        <v>(02)22685071</v>
      </c>
      <c r="H310" s="2" t="s">
        <v>1166</v>
      </c>
      <c r="I310" s="2" t="str">
        <f>"(02)2705-1333"</f>
        <v>(02)2705-1333</v>
      </c>
      <c r="J310" s="2" t="str">
        <f>"自105年05月22日至105年06月18日止"</f>
        <v>自105年05月22日至105年06月18日止</v>
      </c>
      <c r="K310" s="2" t="str">
        <f t="shared" si="43"/>
        <v>台灣集中保管結算所股份有限公司</v>
      </c>
      <c r="L310" s="2" t="str">
        <f t="shared" si="44"/>
        <v>http://www.stockvote.com.tw</v>
      </c>
      <c r="M310" s="2" t="str">
        <f>"--"</f>
        <v>--</v>
      </c>
      <c r="N310" s="2"/>
      <c r="O310" s="2"/>
      <c r="P310" s="2"/>
      <c r="Q310" s="2"/>
    </row>
    <row r="311" spans="1:17" x14ac:dyDescent="0.3">
      <c r="A311" s="2" t="str">
        <f>"2368"</f>
        <v>2368</v>
      </c>
      <c r="B311" s="2" t="s">
        <v>1167</v>
      </c>
      <c r="C311" s="2" t="s">
        <v>1168</v>
      </c>
      <c r="D311" s="2" t="s">
        <v>6016</v>
      </c>
      <c r="E311" s="2" t="s">
        <v>6150</v>
      </c>
      <c r="F311" s="2" t="s">
        <v>41</v>
      </c>
      <c r="G311" s="2" t="str">
        <f>"(03)4612541"</f>
        <v>(03)4612541</v>
      </c>
      <c r="H311" s="2" t="s">
        <v>404</v>
      </c>
      <c r="I311" s="2" t="str">
        <f>"(02)6636-5566"</f>
        <v>(02)6636-5566</v>
      </c>
      <c r="J311" s="2" t="str">
        <f>"自105年05月14日至105年06月11日止"</f>
        <v>自105年05月14日至105年06月11日止</v>
      </c>
      <c r="K311" s="2" t="str">
        <f t="shared" si="43"/>
        <v>台灣集中保管結算所股份有限公司</v>
      </c>
      <c r="L311" s="2" t="str">
        <f t="shared" si="44"/>
        <v>http://www.stockvote.com.tw</v>
      </c>
      <c r="M311" s="2" t="str">
        <f>"強制"</f>
        <v>強制</v>
      </c>
      <c r="N311" s="2"/>
      <c r="O311" s="2"/>
      <c r="P311" s="2"/>
      <c r="Q311" s="2"/>
    </row>
    <row r="312" spans="1:17" x14ac:dyDescent="0.3">
      <c r="A312" s="2" t="str">
        <f>"2369"</f>
        <v>2369</v>
      </c>
      <c r="B312" s="2" t="s">
        <v>75</v>
      </c>
      <c r="C312" s="2" t="s">
        <v>1169</v>
      </c>
      <c r="D312" s="2" t="s">
        <v>6002</v>
      </c>
      <c r="E312" s="2" t="s">
        <v>1170</v>
      </c>
      <c r="F312" s="2" t="s">
        <v>41</v>
      </c>
      <c r="G312" s="2" t="str">
        <f>"04-25335120"</f>
        <v>04-25335120</v>
      </c>
      <c r="H312" s="2" t="s">
        <v>404</v>
      </c>
      <c r="I312" s="2" t="str">
        <f>"02-66365566"</f>
        <v>02-66365566</v>
      </c>
      <c r="J312" s="2" t="str">
        <f>"自105年05月14日至105年06月12日止"</f>
        <v>自105年05月14日至105年06月12日止</v>
      </c>
      <c r="K312" s="2" t="str">
        <f t="shared" si="43"/>
        <v>台灣集中保管結算所股份有限公司</v>
      </c>
      <c r="L312" s="2" t="str">
        <f t="shared" si="44"/>
        <v>http://www.stockvote.com.tw</v>
      </c>
      <c r="M312" s="2" t="str">
        <f>"強制"</f>
        <v>強制</v>
      </c>
      <c r="N312" s="2"/>
      <c r="O312" s="2"/>
      <c r="P312" s="2"/>
      <c r="Q312" s="2"/>
    </row>
    <row r="313" spans="1:17" x14ac:dyDescent="0.3">
      <c r="A313" s="2" t="str">
        <f>"2371"</f>
        <v>2371</v>
      </c>
      <c r="B313" s="2" t="s">
        <v>145</v>
      </c>
      <c r="C313" s="2" t="s">
        <v>1171</v>
      </c>
      <c r="D313" s="2" t="s">
        <v>6004</v>
      </c>
      <c r="E313" s="2" t="s">
        <v>1172</v>
      </c>
      <c r="F313" s="2" t="s">
        <v>2</v>
      </c>
      <c r="G313" s="2" t="str">
        <f>"02-25925252"</f>
        <v>02-25925252</v>
      </c>
      <c r="H313" s="2" t="s">
        <v>786</v>
      </c>
      <c r="I313" s="2" t="str">
        <f>"25925252-3258"</f>
        <v>25925252-3258</v>
      </c>
      <c r="J313" s="2" t="str">
        <f>"自105年05月17日至105年06月14日止"</f>
        <v>自105年05月17日至105年06月14日止</v>
      </c>
      <c r="K313" s="2" t="str">
        <f t="shared" si="43"/>
        <v>台灣集中保管結算所股份有限公司</v>
      </c>
      <c r="L313" s="2" t="str">
        <f t="shared" si="44"/>
        <v>http://www.stockvote.com.tw</v>
      </c>
      <c r="M313" s="2" t="str">
        <f>"強制"</f>
        <v>強制</v>
      </c>
      <c r="N313" s="2"/>
      <c r="O313" s="2"/>
      <c r="P313" s="2"/>
      <c r="Q313" s="2"/>
    </row>
    <row r="314" spans="1:17" x14ac:dyDescent="0.3">
      <c r="A314" s="2" t="str">
        <f>"2373"</f>
        <v>2373</v>
      </c>
      <c r="B314" s="2" t="s">
        <v>1173</v>
      </c>
      <c r="C314" s="2" t="s">
        <v>1174</v>
      </c>
      <c r="D314" s="2" t="s">
        <v>6025</v>
      </c>
      <c r="E314" s="2" t="s">
        <v>6151</v>
      </c>
      <c r="F314" s="2" t="s">
        <v>41</v>
      </c>
      <c r="G314" s="2" t="str">
        <f>"(02)2345-8088"</f>
        <v>(02)2345-8088</v>
      </c>
      <c r="H314" s="2" t="s">
        <v>6006</v>
      </c>
      <c r="I314" s="2" t="str">
        <f>"(02)25865859"</f>
        <v>(02)25865859</v>
      </c>
      <c r="J314" s="2" t="str">
        <f>"自105年05月07日至105年06月05日止"</f>
        <v>自105年05月07日至105年06月05日止</v>
      </c>
      <c r="K314" s="2" t="str">
        <f t="shared" si="43"/>
        <v>台灣集中保管結算所股份有限公司</v>
      </c>
      <c r="L314" s="2" t="str">
        <f t="shared" si="44"/>
        <v>http://www.stockvote.com.tw</v>
      </c>
      <c r="M314" s="2" t="str">
        <f>"強制"</f>
        <v>強制</v>
      </c>
      <c r="N314" s="2"/>
      <c r="O314" s="2"/>
      <c r="P314" s="2"/>
      <c r="Q314" s="2"/>
    </row>
    <row r="315" spans="1:17" x14ac:dyDescent="0.3">
      <c r="A315" s="2" t="str">
        <f>"2374"</f>
        <v>2374</v>
      </c>
      <c r="B315" s="2" t="s">
        <v>361</v>
      </c>
      <c r="C315" s="2" t="s">
        <v>1175</v>
      </c>
      <c r="D315" s="2" t="s">
        <v>6014</v>
      </c>
      <c r="E315" s="2" t="s">
        <v>1176</v>
      </c>
      <c r="F315" s="2" t="s">
        <v>41</v>
      </c>
      <c r="G315" s="2" t="str">
        <f>"(02)2299-9898"</f>
        <v>(02)2299-9898</v>
      </c>
      <c r="H315" s="2" t="s">
        <v>404</v>
      </c>
      <c r="I315" s="2" t="str">
        <f>"(02)66365566"</f>
        <v>(02)66365566</v>
      </c>
      <c r="J315" s="2" t="str">
        <f>"自105年05月28日至105年06月26日止"</f>
        <v>自105年05月28日至105年06月26日止</v>
      </c>
      <c r="K315" s="2" t="str">
        <f t="shared" si="43"/>
        <v>台灣集中保管結算所股份有限公司</v>
      </c>
      <c r="L315" s="2" t="str">
        <f t="shared" si="44"/>
        <v>http://www.stockvote.com.tw</v>
      </c>
      <c r="M315" s="2" t="str">
        <f>"--"</f>
        <v>--</v>
      </c>
      <c r="N315" s="2"/>
      <c r="O315" s="2"/>
      <c r="P315" s="2"/>
      <c r="Q315" s="2"/>
    </row>
    <row r="316" spans="1:17" x14ac:dyDescent="0.3">
      <c r="A316" s="2" t="str">
        <f>"2375"</f>
        <v>2375</v>
      </c>
      <c r="B316" s="2" t="s">
        <v>301</v>
      </c>
      <c r="C316" s="2" t="s">
        <v>1177</v>
      </c>
      <c r="D316" s="2" t="s">
        <v>6051</v>
      </c>
      <c r="E316" s="2" t="s">
        <v>1178</v>
      </c>
      <c r="F316" s="2" t="s">
        <v>41</v>
      </c>
      <c r="G316" s="2" t="str">
        <f>"66298899"</f>
        <v>66298899</v>
      </c>
      <c r="H316" s="2" t="s">
        <v>653</v>
      </c>
      <c r="I316" s="2" t="str">
        <f>"(02)2768-6668"</f>
        <v>(02)2768-6668</v>
      </c>
      <c r="J316" s="2" t="str">
        <f>"--"</f>
        <v>--</v>
      </c>
      <c r="K316" s="2" t="str">
        <f>"--"</f>
        <v>--</v>
      </c>
      <c r="L316" s="2" t="str">
        <f>"--"</f>
        <v>--</v>
      </c>
      <c r="M316" s="2" t="str">
        <f>"否"</f>
        <v>否</v>
      </c>
      <c r="N316" s="2"/>
      <c r="O316" s="2"/>
      <c r="P316" s="2"/>
      <c r="Q316" s="2"/>
    </row>
    <row r="317" spans="1:17" x14ac:dyDescent="0.3">
      <c r="A317" s="2" t="str">
        <f>"2376"</f>
        <v>2376</v>
      </c>
      <c r="B317" s="2" t="s">
        <v>57</v>
      </c>
      <c r="C317" s="2" t="s">
        <v>1179</v>
      </c>
      <c r="D317" s="2" t="s">
        <v>6002</v>
      </c>
      <c r="E317" s="2" t="s">
        <v>6152</v>
      </c>
      <c r="F317" s="2" t="s">
        <v>41</v>
      </c>
      <c r="G317" s="2" t="str">
        <f>"89124000"</f>
        <v>89124000</v>
      </c>
      <c r="H317" s="2" t="s">
        <v>404</v>
      </c>
      <c r="I317" s="2" t="str">
        <f>"02-66365566"</f>
        <v>02-66365566</v>
      </c>
      <c r="J317" s="2" t="str">
        <f>"自105年05月14日至105年06月12日止"</f>
        <v>自105年05月14日至105年06月12日止</v>
      </c>
      <c r="K317" s="2" t="str">
        <f t="shared" ref="K317:K329" si="45">"台灣集中保管結算所股份有限公司"</f>
        <v>台灣集中保管結算所股份有限公司</v>
      </c>
      <c r="L317" s="2" t="str">
        <f t="shared" ref="L317:L329" si="46">"http://www.stockvote.com.tw"</f>
        <v>http://www.stockvote.com.tw</v>
      </c>
      <c r="M317" s="2" t="str">
        <f>"強制"</f>
        <v>強制</v>
      </c>
      <c r="N317" s="2"/>
      <c r="O317" s="2"/>
      <c r="P317" s="2"/>
      <c r="Q317" s="2"/>
    </row>
    <row r="318" spans="1:17" x14ac:dyDescent="0.3">
      <c r="A318" s="2" t="str">
        <f>"2377"</f>
        <v>2377</v>
      </c>
      <c r="B318" s="2" t="s">
        <v>1180</v>
      </c>
      <c r="C318" s="2" t="s">
        <v>1181</v>
      </c>
      <c r="D318" s="2" t="s">
        <v>6028</v>
      </c>
      <c r="E318" s="2" t="s">
        <v>6153</v>
      </c>
      <c r="F318" s="2" t="s">
        <v>2</v>
      </c>
      <c r="G318" s="2" t="str">
        <f>"(02)32345599"</f>
        <v>(02)32345599</v>
      </c>
      <c r="H318" s="2" t="s">
        <v>404</v>
      </c>
      <c r="I318" s="2" t="str">
        <f>"(02)66365566"</f>
        <v>(02)66365566</v>
      </c>
      <c r="J318" s="2" t="str">
        <f>"自105年05月17日至105年06月13日止"</f>
        <v>自105年05月17日至105年06月13日止</v>
      </c>
      <c r="K318" s="2" t="str">
        <f t="shared" si="45"/>
        <v>台灣集中保管結算所股份有限公司</v>
      </c>
      <c r="L318" s="2" t="str">
        <f t="shared" si="46"/>
        <v>http://www.stockvote.com.tw</v>
      </c>
      <c r="M318" s="2" t="str">
        <f>"強制"</f>
        <v>強制</v>
      </c>
      <c r="N318" s="2"/>
      <c r="O318" s="2"/>
      <c r="P318" s="2"/>
      <c r="Q318" s="2"/>
    </row>
    <row r="319" spans="1:17" x14ac:dyDescent="0.3">
      <c r="A319" s="2" t="str">
        <f>"2379"</f>
        <v>2379</v>
      </c>
      <c r="B319" s="2" t="s">
        <v>55</v>
      </c>
      <c r="C319" s="2" t="s">
        <v>1182</v>
      </c>
      <c r="D319" s="2" t="s">
        <v>6024</v>
      </c>
      <c r="E319" s="2" t="s">
        <v>6154</v>
      </c>
      <c r="F319" s="2" t="s">
        <v>2</v>
      </c>
      <c r="G319" s="2" t="str">
        <f>"03-5780211"</f>
        <v>03-5780211</v>
      </c>
      <c r="H319" s="2" t="s">
        <v>404</v>
      </c>
      <c r="I319" s="2" t="str">
        <f>"02-66365566"</f>
        <v>02-66365566</v>
      </c>
      <c r="J319" s="2" t="str">
        <f>"自105年05月08日至105年06月04日止"</f>
        <v>自105年05月08日至105年06月04日止</v>
      </c>
      <c r="K319" s="2" t="str">
        <f t="shared" si="45"/>
        <v>台灣集中保管結算所股份有限公司</v>
      </c>
      <c r="L319" s="2" t="str">
        <f t="shared" si="46"/>
        <v>http://www.stockvote.com.tw</v>
      </c>
      <c r="M319" s="2" t="str">
        <f>"強制"</f>
        <v>強制</v>
      </c>
      <c r="N319" s="2"/>
      <c r="O319" s="2"/>
      <c r="P319" s="2"/>
      <c r="Q319" s="2"/>
    </row>
    <row r="320" spans="1:17" x14ac:dyDescent="0.3">
      <c r="A320" s="2" t="str">
        <f>"2380"</f>
        <v>2380</v>
      </c>
      <c r="B320" s="2" t="s">
        <v>1183</v>
      </c>
      <c r="C320" s="2" t="s">
        <v>1184</v>
      </c>
      <c r="D320" s="2" t="s">
        <v>6002</v>
      </c>
      <c r="E320" s="2" t="s">
        <v>1185</v>
      </c>
      <c r="F320" s="2" t="s">
        <v>2</v>
      </c>
      <c r="G320" s="2" t="str">
        <f>"03-5782388"</f>
        <v>03-5782388</v>
      </c>
      <c r="H320" s="2" t="s">
        <v>465</v>
      </c>
      <c r="I320" s="2" t="str">
        <f>"02-23816288"</f>
        <v>02-23816288</v>
      </c>
      <c r="J320" s="2" t="str">
        <f>"自105年05月14日至105年06月12日止"</f>
        <v>自105年05月14日至105年06月12日止</v>
      </c>
      <c r="K320" s="2" t="str">
        <f t="shared" si="45"/>
        <v>台灣集中保管結算所股份有限公司</v>
      </c>
      <c r="L320" s="2" t="str">
        <f t="shared" si="46"/>
        <v>http://www.stockvote.com.tw</v>
      </c>
      <c r="M320" s="2" t="str">
        <f>"--"</f>
        <v>--</v>
      </c>
      <c r="N320" s="2"/>
      <c r="O320" s="2"/>
      <c r="P320" s="2"/>
      <c r="Q320" s="2"/>
    </row>
    <row r="321" spans="1:17" x14ac:dyDescent="0.3">
      <c r="A321" s="2" t="str">
        <f>"2382"</f>
        <v>2382</v>
      </c>
      <c r="B321" s="2" t="s">
        <v>1186</v>
      </c>
      <c r="C321" s="2" t="s">
        <v>1187</v>
      </c>
      <c r="D321" s="2" t="s">
        <v>6010</v>
      </c>
      <c r="E321" s="2" t="s">
        <v>1188</v>
      </c>
      <c r="F321" s="2" t="s">
        <v>41</v>
      </c>
      <c r="G321" s="2" t="str">
        <f>"03-3272345"</f>
        <v>03-3272345</v>
      </c>
      <c r="H321" s="2" t="s">
        <v>1189</v>
      </c>
      <c r="I321" s="2" t="str">
        <f>"02-66365566"</f>
        <v>02-66365566</v>
      </c>
      <c r="J321" s="2" t="str">
        <f>"自105年05月25日至105年06月21日止"</f>
        <v>自105年05月25日至105年06月21日止</v>
      </c>
      <c r="K321" s="2" t="str">
        <f t="shared" si="45"/>
        <v>台灣集中保管結算所股份有限公司</v>
      </c>
      <c r="L321" s="2" t="str">
        <f t="shared" si="46"/>
        <v>http://www.stockvote.com.tw</v>
      </c>
      <c r="M321" s="2" t="str">
        <f>"強制"</f>
        <v>強制</v>
      </c>
      <c r="N321" s="2"/>
      <c r="O321" s="2"/>
      <c r="P321" s="2"/>
      <c r="Q321" s="2"/>
    </row>
    <row r="322" spans="1:17" x14ac:dyDescent="0.3">
      <c r="A322" s="2" t="str">
        <f>"2383"</f>
        <v>2383</v>
      </c>
      <c r="B322" s="2" t="s">
        <v>1190</v>
      </c>
      <c r="C322" s="2" t="s">
        <v>1191</v>
      </c>
      <c r="D322" s="2" t="s">
        <v>6021</v>
      </c>
      <c r="E322" s="2" t="s">
        <v>1192</v>
      </c>
      <c r="F322" s="2" t="s">
        <v>41</v>
      </c>
      <c r="G322" s="2" t="str">
        <f>"(03)4837937"</f>
        <v>(03)4837937</v>
      </c>
      <c r="H322" s="2" t="s">
        <v>408</v>
      </c>
      <c r="I322" s="2" t="str">
        <f>"(02)23618608"</f>
        <v>(02)23618608</v>
      </c>
      <c r="J322" s="2" t="str">
        <f>"自105年05月14日至105年06月10日止"</f>
        <v>自105年05月14日至105年06月10日止</v>
      </c>
      <c r="K322" s="2" t="str">
        <f t="shared" si="45"/>
        <v>台灣集中保管結算所股份有限公司</v>
      </c>
      <c r="L322" s="2" t="str">
        <f t="shared" si="46"/>
        <v>http://www.stockvote.com.tw</v>
      </c>
      <c r="M322" s="2" t="str">
        <f>"--"</f>
        <v>--</v>
      </c>
      <c r="N322" s="2"/>
      <c r="O322" s="2"/>
      <c r="P322" s="2"/>
      <c r="Q322" s="2"/>
    </row>
    <row r="323" spans="1:17" x14ac:dyDescent="0.3">
      <c r="A323" s="2" t="str">
        <f>"2385"</f>
        <v>2385</v>
      </c>
      <c r="B323" s="2" t="s">
        <v>1193</v>
      </c>
      <c r="C323" s="2" t="s">
        <v>1194</v>
      </c>
      <c r="D323" s="2" t="s">
        <v>6025</v>
      </c>
      <c r="E323" s="2" t="s">
        <v>1195</v>
      </c>
      <c r="F323" s="2" t="s">
        <v>41</v>
      </c>
      <c r="G323" s="2" t="str">
        <f>"02-22988120"</f>
        <v>02-22988120</v>
      </c>
      <c r="H323" s="2" t="s">
        <v>1105</v>
      </c>
      <c r="I323" s="2" t="str">
        <f>"02-66365566"</f>
        <v>02-66365566</v>
      </c>
      <c r="J323" s="2" t="str">
        <f>"自105年05月07日至105年06月05日止"</f>
        <v>自105年05月07日至105年06月05日止</v>
      </c>
      <c r="K323" s="2" t="str">
        <f t="shared" si="45"/>
        <v>台灣集中保管結算所股份有限公司</v>
      </c>
      <c r="L323" s="2" t="str">
        <f t="shared" si="46"/>
        <v>http://www.stockvote.com.tw</v>
      </c>
      <c r="M323" s="2" t="str">
        <f>"強制"</f>
        <v>強制</v>
      </c>
      <c r="N323" s="2"/>
      <c r="O323" s="2"/>
      <c r="P323" s="2"/>
      <c r="Q323" s="2"/>
    </row>
    <row r="324" spans="1:17" x14ac:dyDescent="0.3">
      <c r="A324" s="2" t="str">
        <f>"2387"</f>
        <v>2387</v>
      </c>
      <c r="B324" s="2" t="s">
        <v>1196</v>
      </c>
      <c r="C324" s="2" t="s">
        <v>6155</v>
      </c>
      <c r="D324" s="2" t="s">
        <v>6004</v>
      </c>
      <c r="E324" s="2" t="s">
        <v>1197</v>
      </c>
      <c r="F324" s="2" t="s">
        <v>41</v>
      </c>
      <c r="G324" s="2" t="str">
        <f>"04-25686983"</f>
        <v>04-25686983</v>
      </c>
      <c r="H324" s="2" t="s">
        <v>431</v>
      </c>
      <c r="I324" s="2" t="str">
        <f>"02-27023999"</f>
        <v>02-27023999</v>
      </c>
      <c r="J324" s="2" t="str">
        <f>"自105年05月18日至105年06月14日止"</f>
        <v>自105年05月18日至105年06月14日止</v>
      </c>
      <c r="K324" s="2" t="str">
        <f t="shared" si="45"/>
        <v>台灣集中保管結算所股份有限公司</v>
      </c>
      <c r="L324" s="2" t="str">
        <f t="shared" si="46"/>
        <v>http://www.stockvote.com.tw</v>
      </c>
      <c r="M324" s="2" t="str">
        <f>"強制"</f>
        <v>強制</v>
      </c>
      <c r="N324" s="2"/>
      <c r="O324" s="2"/>
      <c r="P324" s="2"/>
      <c r="Q324" s="2"/>
    </row>
    <row r="325" spans="1:17" x14ac:dyDescent="0.3">
      <c r="A325" s="2" t="str">
        <f>"2388"</f>
        <v>2388</v>
      </c>
      <c r="B325" s="2" t="s">
        <v>1198</v>
      </c>
      <c r="C325" s="2" t="s">
        <v>1199</v>
      </c>
      <c r="D325" s="2" t="s">
        <v>6010</v>
      </c>
      <c r="E325" s="2" t="s">
        <v>1200</v>
      </c>
      <c r="F325" s="2" t="s">
        <v>41</v>
      </c>
      <c r="G325" s="2" t="str">
        <f>"8862-22185452"</f>
        <v>8862-22185452</v>
      </c>
      <c r="H325" s="2" t="s">
        <v>404</v>
      </c>
      <c r="I325" s="2" t="str">
        <f>"02- 6636-5566"</f>
        <v>02- 6636-5566</v>
      </c>
      <c r="J325" s="2" t="str">
        <f>"自105年05月25日至105年06月21日止"</f>
        <v>自105年05月25日至105年06月21日止</v>
      </c>
      <c r="K325" s="2" t="str">
        <f t="shared" si="45"/>
        <v>台灣集中保管結算所股份有限公司</v>
      </c>
      <c r="L325" s="2" t="str">
        <f t="shared" si="46"/>
        <v>http://www.stockvote.com.tw</v>
      </c>
      <c r="M325" s="2" t="str">
        <f>"--"</f>
        <v>--</v>
      </c>
      <c r="N325" s="2"/>
      <c r="O325" s="2"/>
      <c r="P325" s="2"/>
      <c r="Q325" s="2"/>
    </row>
    <row r="326" spans="1:17" x14ac:dyDescent="0.3">
      <c r="A326" s="2" t="str">
        <f>"2390"</f>
        <v>2390</v>
      </c>
      <c r="B326" s="2" t="s">
        <v>1201</v>
      </c>
      <c r="C326" s="2" t="s">
        <v>1202</v>
      </c>
      <c r="D326" s="2" t="s">
        <v>6000</v>
      </c>
      <c r="E326" s="2" t="s">
        <v>1203</v>
      </c>
      <c r="F326" s="2" t="s">
        <v>41</v>
      </c>
      <c r="G326" s="2" t="str">
        <f>"(02)2260-6868"</f>
        <v>(02)2260-6868</v>
      </c>
      <c r="H326" s="2" t="s">
        <v>582</v>
      </c>
      <c r="I326" s="2" t="str">
        <f>"(02)2586-5859"</f>
        <v>(02)2586-5859</v>
      </c>
      <c r="J326" s="2" t="str">
        <f>"自105年05月21日至105年06月18日止"</f>
        <v>自105年05月21日至105年06月18日止</v>
      </c>
      <c r="K326" s="2" t="str">
        <f t="shared" si="45"/>
        <v>台灣集中保管結算所股份有限公司</v>
      </c>
      <c r="L326" s="2" t="str">
        <f t="shared" si="46"/>
        <v>http://www.stockvote.com.tw</v>
      </c>
      <c r="M326" s="2" t="str">
        <f>"--"</f>
        <v>--</v>
      </c>
      <c r="N326" s="2"/>
      <c r="O326" s="2"/>
      <c r="P326" s="2"/>
      <c r="Q326" s="2"/>
    </row>
    <row r="327" spans="1:17" x14ac:dyDescent="0.3">
      <c r="A327" s="2" t="str">
        <f>"2392"</f>
        <v>2392</v>
      </c>
      <c r="B327" s="2" t="s">
        <v>1204</v>
      </c>
      <c r="C327" s="2" t="s">
        <v>1205</v>
      </c>
      <c r="D327" s="2" t="s">
        <v>6025</v>
      </c>
      <c r="E327" s="2" t="s">
        <v>1206</v>
      </c>
      <c r="F327" s="2" t="s">
        <v>2</v>
      </c>
      <c r="G327" s="2" t="str">
        <f>"2269-9888"</f>
        <v>2269-9888</v>
      </c>
      <c r="H327" s="2" t="s">
        <v>640</v>
      </c>
      <c r="I327" s="2" t="str">
        <f>"2371-1658"</f>
        <v>2371-1658</v>
      </c>
      <c r="J327" s="2" t="str">
        <f>"自105年05月07日至105年06月05日止"</f>
        <v>自105年05月07日至105年06月05日止</v>
      </c>
      <c r="K327" s="2" t="str">
        <f t="shared" si="45"/>
        <v>台灣集中保管結算所股份有限公司</v>
      </c>
      <c r="L327" s="2" t="str">
        <f t="shared" si="46"/>
        <v>http://www.stockvote.com.tw</v>
      </c>
      <c r="M327" s="2" t="str">
        <f>"強制"</f>
        <v>強制</v>
      </c>
      <c r="N327" s="2"/>
      <c r="O327" s="2"/>
      <c r="P327" s="2"/>
      <c r="Q327" s="2"/>
    </row>
    <row r="328" spans="1:17" x14ac:dyDescent="0.3">
      <c r="A328" s="2" t="str">
        <f>"2393"</f>
        <v>2393</v>
      </c>
      <c r="B328" s="2" t="s">
        <v>1207</v>
      </c>
      <c r="C328" s="2" t="s">
        <v>1208</v>
      </c>
      <c r="D328" s="2" t="s">
        <v>6004</v>
      </c>
      <c r="E328" s="2" t="s">
        <v>1209</v>
      </c>
      <c r="F328" s="2" t="s">
        <v>2</v>
      </c>
      <c r="G328" s="2" t="str">
        <f>"02-26856688"</f>
        <v>02-26856688</v>
      </c>
      <c r="H328" s="2" t="s">
        <v>411</v>
      </c>
      <c r="I328" s="2" t="str">
        <f>"02-27023999"</f>
        <v>02-27023999</v>
      </c>
      <c r="J328" s="2" t="str">
        <f>"自105年05月18日至105年06月14日止"</f>
        <v>自105年05月18日至105年06月14日止</v>
      </c>
      <c r="K328" s="2" t="str">
        <f t="shared" si="45"/>
        <v>台灣集中保管結算所股份有限公司</v>
      </c>
      <c r="L328" s="2" t="str">
        <f t="shared" si="46"/>
        <v>http://www.stockvote.com.tw</v>
      </c>
      <c r="M328" s="2" t="str">
        <f>"--"</f>
        <v>--</v>
      </c>
      <c r="N328" s="2"/>
      <c r="O328" s="2"/>
      <c r="P328" s="2"/>
      <c r="Q328" s="2"/>
    </row>
    <row r="329" spans="1:17" x14ac:dyDescent="0.3">
      <c r="A329" s="2" t="str">
        <f>"2395"</f>
        <v>2395</v>
      </c>
      <c r="B329" s="2" t="s">
        <v>1210</v>
      </c>
      <c r="C329" s="2" t="s">
        <v>1211</v>
      </c>
      <c r="D329" s="2" t="s">
        <v>6082</v>
      </c>
      <c r="E329" s="2" t="s">
        <v>1212</v>
      </c>
      <c r="F329" s="2" t="s">
        <v>2</v>
      </c>
      <c r="G329" s="2" t="str">
        <f>"(02)2792-7818"</f>
        <v>(02)2792-7818</v>
      </c>
      <c r="H329" s="2" t="s">
        <v>451</v>
      </c>
      <c r="I329" s="2" t="str">
        <f>"02-2389-2999"</f>
        <v>02-2389-2999</v>
      </c>
      <c r="J329" s="2" t="str">
        <f>"自105年04月25日至105年05月22日止"</f>
        <v>自105年04月25日至105年05月22日止</v>
      </c>
      <c r="K329" s="2" t="str">
        <f t="shared" si="45"/>
        <v>台灣集中保管結算所股份有限公司</v>
      </c>
      <c r="L329" s="2" t="str">
        <f t="shared" si="46"/>
        <v>http://www.stockvote.com.tw</v>
      </c>
      <c r="M329" s="2" t="str">
        <f>"強制"</f>
        <v>強制</v>
      </c>
      <c r="N329" s="2"/>
      <c r="O329" s="2"/>
      <c r="P329" s="2"/>
      <c r="Q329" s="2"/>
    </row>
    <row r="330" spans="1:17" x14ac:dyDescent="0.3">
      <c r="A330" s="2" t="str">
        <f>"2397"</f>
        <v>2397</v>
      </c>
      <c r="B330" s="2" t="s">
        <v>1213</v>
      </c>
      <c r="C330" s="2" t="s">
        <v>1214</v>
      </c>
      <c r="D330" s="2" t="s">
        <v>6021</v>
      </c>
      <c r="E330" s="2" t="s">
        <v>1214</v>
      </c>
      <c r="F330" s="2" t="s">
        <v>41</v>
      </c>
      <c r="G330" s="2" t="str">
        <f>"(02)2694-2986"</f>
        <v>(02)2694-2986</v>
      </c>
      <c r="H330" s="2" t="s">
        <v>1215</v>
      </c>
      <c r="I330" s="2" t="str">
        <f>"(02)2389-2999"</f>
        <v>(02)2389-2999</v>
      </c>
      <c r="J330" s="2" t="str">
        <f>"--"</f>
        <v>--</v>
      </c>
      <c r="K330" s="2" t="str">
        <f>"--"</f>
        <v>--</v>
      </c>
      <c r="L330" s="2" t="str">
        <f>"--"</f>
        <v>--</v>
      </c>
      <c r="M330" s="2" t="str">
        <f>"--"</f>
        <v>--</v>
      </c>
      <c r="N330" s="2"/>
      <c r="O330" s="2"/>
      <c r="P330" s="2"/>
      <c r="Q330" s="2"/>
    </row>
    <row r="331" spans="1:17" x14ac:dyDescent="0.3">
      <c r="A331" s="2" t="str">
        <f>"2399"</f>
        <v>2399</v>
      </c>
      <c r="B331" s="2" t="s">
        <v>199</v>
      </c>
      <c r="C331" s="2" t="s">
        <v>1216</v>
      </c>
      <c r="D331" s="2" t="s">
        <v>6028</v>
      </c>
      <c r="E331" s="2" t="s">
        <v>6156</v>
      </c>
      <c r="F331" s="2" t="s">
        <v>2</v>
      </c>
      <c r="G331" s="2" t="str">
        <f>"22180150"</f>
        <v>22180150</v>
      </c>
      <c r="H331" s="2" t="s">
        <v>640</v>
      </c>
      <c r="I331" s="2" t="str">
        <f>"(02)2371-1658"</f>
        <v>(02)2371-1658</v>
      </c>
      <c r="J331" s="2" t="str">
        <f>"--"</f>
        <v>--</v>
      </c>
      <c r="K331" s="2" t="str">
        <f>"--"</f>
        <v>--</v>
      </c>
      <c r="L331" s="2" t="str">
        <f>"--"</f>
        <v>--</v>
      </c>
      <c r="M331" s="2" t="str">
        <f>"否"</f>
        <v>否</v>
      </c>
      <c r="N331" s="2"/>
      <c r="O331" s="2"/>
      <c r="P331" s="2"/>
      <c r="Q331" s="2"/>
    </row>
    <row r="332" spans="1:17" x14ac:dyDescent="0.3">
      <c r="A332" s="2" t="str">
        <f>"2401"</f>
        <v>2401</v>
      </c>
      <c r="B332" s="2" t="s">
        <v>1217</v>
      </c>
      <c r="C332" s="2" t="s">
        <v>1218</v>
      </c>
      <c r="D332" s="2" t="s">
        <v>6021</v>
      </c>
      <c r="E332" s="2" t="s">
        <v>6157</v>
      </c>
      <c r="F332" s="2" t="s">
        <v>2</v>
      </c>
      <c r="G332" s="2" t="str">
        <f>"03-5786005"</f>
        <v>03-5786005</v>
      </c>
      <c r="H332" s="2" t="s">
        <v>1219</v>
      </c>
      <c r="I332" s="2" t="str">
        <f>"02-6636-5566"</f>
        <v>02-6636-5566</v>
      </c>
      <c r="J332" s="2" t="str">
        <f>"自105年05月14日至105年06月10日止"</f>
        <v>自105年05月14日至105年06月10日止</v>
      </c>
      <c r="K332" s="2" t="str">
        <f>"台灣集中保管結算所股份有限公司"</f>
        <v>台灣集中保管結算所股份有限公司</v>
      </c>
      <c r="L332" s="2" t="str">
        <f>"http://www.stockvote.com.tw"</f>
        <v>http://www.stockvote.com.tw</v>
      </c>
      <c r="M332" s="2" t="str">
        <f>"--"</f>
        <v>--</v>
      </c>
      <c r="N332" s="2"/>
      <c r="O332" s="2"/>
      <c r="P332" s="2"/>
      <c r="Q332" s="2"/>
    </row>
    <row r="333" spans="1:17" x14ac:dyDescent="0.3">
      <c r="A333" s="2" t="str">
        <f>"2402"</f>
        <v>2402</v>
      </c>
      <c r="B333" s="2" t="s">
        <v>1220</v>
      </c>
      <c r="C333" s="2" t="s">
        <v>1221</v>
      </c>
      <c r="D333" s="2" t="s">
        <v>6028</v>
      </c>
      <c r="E333" s="2" t="s">
        <v>1222</v>
      </c>
      <c r="F333" s="2" t="s">
        <v>2</v>
      </c>
      <c r="G333" s="2" t="str">
        <f>"03-3973345"</f>
        <v>03-3973345</v>
      </c>
      <c r="H333" s="2" t="s">
        <v>456</v>
      </c>
      <c r="I333" s="2" t="str">
        <f>"02-25048125"</f>
        <v>02-25048125</v>
      </c>
      <c r="J333" s="2" t="str">
        <f>"自105年05月17日至105年06月13日止"</f>
        <v>自105年05月17日至105年06月13日止</v>
      </c>
      <c r="K333" s="2" t="str">
        <f>"台灣集中保管結算所股份有限公司"</f>
        <v>台灣集中保管結算所股份有限公司</v>
      </c>
      <c r="L333" s="2" t="str">
        <f>"http://www.stockvote.com.tw"</f>
        <v>http://www.stockvote.com.tw</v>
      </c>
      <c r="M333" s="2" t="str">
        <f>"--"</f>
        <v>--</v>
      </c>
      <c r="N333" s="2"/>
      <c r="O333" s="2"/>
      <c r="P333" s="2"/>
      <c r="Q333" s="2"/>
    </row>
    <row r="334" spans="1:17" x14ac:dyDescent="0.3">
      <c r="A334" s="2" t="str">
        <f>"2404"</f>
        <v>2404</v>
      </c>
      <c r="B334" s="2" t="s">
        <v>307</v>
      </c>
      <c r="C334" s="2" t="s">
        <v>1223</v>
      </c>
      <c r="D334" s="2" t="s">
        <v>6016</v>
      </c>
      <c r="E334" s="2" t="s">
        <v>1224</v>
      </c>
      <c r="F334" s="2" t="s">
        <v>2</v>
      </c>
      <c r="G334" s="2" t="str">
        <f>"(02)2917-4060"</f>
        <v>(02)2917-4060</v>
      </c>
      <c r="H334" s="2" t="s">
        <v>456</v>
      </c>
      <c r="I334" s="2" t="str">
        <f>"(02)-25048125"</f>
        <v>(02)-25048125</v>
      </c>
      <c r="J334" s="2" t="str">
        <f>"自105年05月14日至105年06月11日止"</f>
        <v>自105年05月14日至105年06月11日止</v>
      </c>
      <c r="K334" s="2" t="str">
        <f>"台灣集中保管結算所股份有限公司"</f>
        <v>台灣集中保管結算所股份有限公司</v>
      </c>
      <c r="L334" s="2" t="str">
        <f>"http://www.stockvote.com.tw"</f>
        <v>http://www.stockvote.com.tw</v>
      </c>
      <c r="M334" s="2" t="str">
        <f>"--"</f>
        <v>--</v>
      </c>
      <c r="N334" s="2"/>
      <c r="O334" s="2"/>
      <c r="P334" s="2"/>
      <c r="Q334" s="2"/>
    </row>
    <row r="335" spans="1:17" x14ac:dyDescent="0.3">
      <c r="A335" s="2" t="str">
        <f>"2405"</f>
        <v>2405</v>
      </c>
      <c r="B335" s="2" t="s">
        <v>96</v>
      </c>
      <c r="C335" s="2" t="s">
        <v>1225</v>
      </c>
      <c r="D335" s="2" t="s">
        <v>6002</v>
      </c>
      <c r="E335" s="2" t="s">
        <v>6158</v>
      </c>
      <c r="F335" s="2" t="s">
        <v>41</v>
      </c>
      <c r="G335" s="2" t="str">
        <f>"8792-6168"</f>
        <v>8792-6168</v>
      </c>
      <c r="H335" s="2" t="s">
        <v>431</v>
      </c>
      <c r="I335" s="2" t="str">
        <f>"(02)2702-3999"</f>
        <v>(02)2702-3999</v>
      </c>
      <c r="J335" s="2" t="str">
        <f>"自105年05月16日至105年06月12日止"</f>
        <v>自105年05月16日至105年06月12日止</v>
      </c>
      <c r="K335" s="2" t="str">
        <f>"台灣集中保管結算所股份有限公司"</f>
        <v>台灣集中保管結算所股份有限公司</v>
      </c>
      <c r="L335" s="2" t="str">
        <f>"http://www.stockvote.com.tw"</f>
        <v>http://www.stockvote.com.tw</v>
      </c>
      <c r="M335" s="2" t="str">
        <f>"--"</f>
        <v>--</v>
      </c>
      <c r="N335" s="2"/>
      <c r="O335" s="2"/>
      <c r="P335" s="2"/>
      <c r="Q335" s="2"/>
    </row>
    <row r="336" spans="1:17" x14ac:dyDescent="0.3">
      <c r="A336" s="2" t="str">
        <f>"2406"</f>
        <v>2406</v>
      </c>
      <c r="B336" s="2" t="s">
        <v>1226</v>
      </c>
      <c r="C336" s="2" t="s">
        <v>1227</v>
      </c>
      <c r="D336" s="2" t="s">
        <v>6015</v>
      </c>
      <c r="E336" s="2" t="s">
        <v>6159</v>
      </c>
      <c r="F336" s="2" t="s">
        <v>41</v>
      </c>
      <c r="G336" s="2" t="str">
        <f>"03-5985510"</f>
        <v>03-5985510</v>
      </c>
      <c r="H336" s="2" t="s">
        <v>456</v>
      </c>
      <c r="I336" s="2" t="str">
        <f>"02-25048125"</f>
        <v>02-25048125</v>
      </c>
      <c r="J336" s="2" t="str">
        <f>"--"</f>
        <v>--</v>
      </c>
      <c r="K336" s="2" t="str">
        <f>"????"</f>
        <v>????</v>
      </c>
      <c r="L336" s="2" t="str">
        <f>"????"</f>
        <v>????</v>
      </c>
      <c r="M336" s="2" t="str">
        <f>"--"</f>
        <v>--</v>
      </c>
      <c r="N336" s="2"/>
      <c r="O336" s="2"/>
      <c r="P336" s="2"/>
      <c r="Q336" s="2"/>
    </row>
    <row r="337" spans="1:17" x14ac:dyDescent="0.3">
      <c r="A337" s="2" t="str">
        <f>"2408"</f>
        <v>2408</v>
      </c>
      <c r="B337" s="2" t="s">
        <v>1228</v>
      </c>
      <c r="C337" s="2" t="s">
        <v>1229</v>
      </c>
      <c r="D337" s="2" t="s">
        <v>5999</v>
      </c>
      <c r="E337" s="2" t="s">
        <v>6160</v>
      </c>
      <c r="F337" s="2" t="s">
        <v>41</v>
      </c>
      <c r="G337" s="2" t="str">
        <f>"(03)3281688"</f>
        <v>(03)3281688</v>
      </c>
      <c r="H337" s="2" t="s">
        <v>486</v>
      </c>
      <c r="I337" s="2" t="str">
        <f>"(02)27189898"</f>
        <v>(02)27189898</v>
      </c>
      <c r="J337" s="2" t="str">
        <f>"自105年05月20日至105年06月19日止"</f>
        <v>自105年05月20日至105年06月19日止</v>
      </c>
      <c r="K337" s="2" t="str">
        <f>"台灣集中保管結算所股份有限公司"</f>
        <v>台灣集中保管結算所股份有限公司</v>
      </c>
      <c r="L337" s="2" t="str">
        <f>"http://www.stockvote.com.tw"</f>
        <v>http://www.stockvote.com.tw</v>
      </c>
      <c r="M337" s="2" t="str">
        <f>"強制"</f>
        <v>強制</v>
      </c>
      <c r="N337" s="2"/>
      <c r="O337" s="2"/>
      <c r="P337" s="2"/>
      <c r="Q337" s="2"/>
    </row>
    <row r="338" spans="1:17" x14ac:dyDescent="0.3">
      <c r="A338" s="2" t="str">
        <f>"2409"</f>
        <v>2409</v>
      </c>
      <c r="B338" s="2" t="s">
        <v>72</v>
      </c>
      <c r="C338" s="2" t="s">
        <v>1230</v>
      </c>
      <c r="D338" s="2" t="s">
        <v>6028</v>
      </c>
      <c r="E338" s="2" t="s">
        <v>1231</v>
      </c>
      <c r="F338" s="2" t="s">
        <v>41</v>
      </c>
      <c r="G338" s="2" t="str">
        <f>"03-5008800"</f>
        <v>03-5008800</v>
      </c>
      <c r="H338" s="2" t="s">
        <v>456</v>
      </c>
      <c r="I338" s="2" t="str">
        <f>"(02)25048125"</f>
        <v>(02)25048125</v>
      </c>
      <c r="J338" s="2" t="str">
        <f>"自105年05月17日至105年06月13日止"</f>
        <v>自105年05月17日至105年06月13日止</v>
      </c>
      <c r="K338" s="2" t="str">
        <f>"台灣集中保管結算所股份有限公司"</f>
        <v>台灣集中保管結算所股份有限公司</v>
      </c>
      <c r="L338" s="2" t="str">
        <f>"http://www.stockvote.com.tw"</f>
        <v>http://www.stockvote.com.tw</v>
      </c>
      <c r="M338" s="2" t="str">
        <f>"強制"</f>
        <v>強制</v>
      </c>
      <c r="N338" s="2"/>
      <c r="O338" s="2"/>
      <c r="P338" s="2"/>
      <c r="Q338" s="2"/>
    </row>
    <row r="339" spans="1:17" x14ac:dyDescent="0.3">
      <c r="A339" s="2" t="str">
        <f>"2412"</f>
        <v>2412</v>
      </c>
      <c r="B339" s="2" t="s">
        <v>1232</v>
      </c>
      <c r="C339" s="2" t="s">
        <v>1233</v>
      </c>
      <c r="D339" s="2" t="s">
        <v>6010</v>
      </c>
      <c r="E339" s="2" t="s">
        <v>1234</v>
      </c>
      <c r="F339" s="2" t="s">
        <v>41</v>
      </c>
      <c r="G339" s="2" t="str">
        <f>"(02)23941845"</f>
        <v>(02)23941845</v>
      </c>
      <c r="H339" s="2" t="s">
        <v>539</v>
      </c>
      <c r="I339" s="2" t="str">
        <f>"(02)2586-5859"</f>
        <v>(02)2586-5859</v>
      </c>
      <c r="J339" s="2" t="str">
        <f>"自105年05月25日至105年06月21日止"</f>
        <v>自105年05月25日至105年06月21日止</v>
      </c>
      <c r="K339" s="2" t="str">
        <f>"台灣集中保管結算所股份有限公司"</f>
        <v>台灣集中保管結算所股份有限公司</v>
      </c>
      <c r="L339" s="2" t="str">
        <f>"http://www.stockvote.com.tw"</f>
        <v>http://www.stockvote.com.tw</v>
      </c>
      <c r="M339" s="2" t="str">
        <f>"強制"</f>
        <v>強制</v>
      </c>
      <c r="N339" s="2"/>
      <c r="O339" s="2"/>
      <c r="P339" s="2"/>
      <c r="Q339" s="2"/>
    </row>
    <row r="340" spans="1:17" x14ac:dyDescent="0.3">
      <c r="A340" s="2" t="str">
        <f>"2413"</f>
        <v>2413</v>
      </c>
      <c r="B340" s="2" t="s">
        <v>98</v>
      </c>
      <c r="C340" s="2" t="s">
        <v>1235</v>
      </c>
      <c r="D340" s="2" t="s">
        <v>6000</v>
      </c>
      <c r="E340" s="2" t="s">
        <v>1236</v>
      </c>
      <c r="F340" s="2" t="s">
        <v>41</v>
      </c>
      <c r="G340" s="2" t="str">
        <f>"04-23590096"</f>
        <v>04-23590096</v>
      </c>
      <c r="H340" s="2" t="s">
        <v>6161</v>
      </c>
      <c r="I340" s="2" t="str">
        <f>"02-23892999"</f>
        <v>02-23892999</v>
      </c>
      <c r="J340" s="2" t="str">
        <f t="shared" ref="J340:M343" si="47">"--"</f>
        <v>--</v>
      </c>
      <c r="K340" s="2" t="str">
        <f t="shared" si="47"/>
        <v>--</v>
      </c>
      <c r="L340" s="2" t="str">
        <f t="shared" si="47"/>
        <v>--</v>
      </c>
      <c r="M340" s="2" t="str">
        <f t="shared" si="47"/>
        <v>--</v>
      </c>
      <c r="N340" s="2"/>
      <c r="O340" s="2"/>
      <c r="P340" s="2"/>
      <c r="Q340" s="2"/>
    </row>
    <row r="341" spans="1:17" x14ac:dyDescent="0.3">
      <c r="A341" s="2" t="str">
        <f>"2414"</f>
        <v>2414</v>
      </c>
      <c r="B341" s="2" t="s">
        <v>1237</v>
      </c>
      <c r="C341" s="2" t="s">
        <v>1238</v>
      </c>
      <c r="D341" s="2" t="s">
        <v>6010</v>
      </c>
      <c r="E341" s="2" t="s">
        <v>1239</v>
      </c>
      <c r="F341" s="2" t="s">
        <v>2</v>
      </c>
      <c r="G341" s="2" t="str">
        <f>"(02)27962345"</f>
        <v>(02)27962345</v>
      </c>
      <c r="H341" s="2" t="s">
        <v>451</v>
      </c>
      <c r="I341" s="2" t="str">
        <f>"(02)2389-2999"</f>
        <v>(02)2389-2999</v>
      </c>
      <c r="J341" s="2" t="str">
        <f t="shared" si="47"/>
        <v>--</v>
      </c>
      <c r="K341" s="2" t="str">
        <f t="shared" si="47"/>
        <v>--</v>
      </c>
      <c r="L341" s="2" t="str">
        <f t="shared" si="47"/>
        <v>--</v>
      </c>
      <c r="M341" s="2" t="str">
        <f t="shared" si="47"/>
        <v>--</v>
      </c>
      <c r="N341" s="2"/>
      <c r="O341" s="2"/>
      <c r="P341" s="2"/>
      <c r="Q341" s="2"/>
    </row>
    <row r="342" spans="1:17" x14ac:dyDescent="0.3">
      <c r="A342" s="2" t="str">
        <f>"2415"</f>
        <v>2415</v>
      </c>
      <c r="B342" s="2" t="s">
        <v>1240</v>
      </c>
      <c r="C342" s="2" t="s">
        <v>1241</v>
      </c>
      <c r="D342" s="2" t="s">
        <v>6001</v>
      </c>
      <c r="E342" s="2" t="s">
        <v>1242</v>
      </c>
      <c r="F342" s="2" t="s">
        <v>2</v>
      </c>
      <c r="G342" s="2" t="str">
        <f>"02-23898686"</f>
        <v>02-23898686</v>
      </c>
      <c r="H342" s="2" t="s">
        <v>667</v>
      </c>
      <c r="I342" s="2" t="str">
        <f>"(02)2361-1300"</f>
        <v>(02)2361-1300</v>
      </c>
      <c r="J342" s="2" t="str">
        <f t="shared" si="47"/>
        <v>--</v>
      </c>
      <c r="K342" s="2" t="str">
        <f t="shared" si="47"/>
        <v>--</v>
      </c>
      <c r="L342" s="2" t="str">
        <f t="shared" si="47"/>
        <v>--</v>
      </c>
      <c r="M342" s="2" t="str">
        <f t="shared" si="47"/>
        <v>--</v>
      </c>
      <c r="N342" s="2"/>
      <c r="O342" s="2"/>
      <c r="P342" s="2"/>
      <c r="Q342" s="2"/>
    </row>
    <row r="343" spans="1:17" x14ac:dyDescent="0.3">
      <c r="A343" s="2" t="str">
        <f>"2417"</f>
        <v>2417</v>
      </c>
      <c r="B343" s="2" t="s">
        <v>338</v>
      </c>
      <c r="C343" s="2" t="s">
        <v>1243</v>
      </c>
      <c r="D343" s="2" t="s">
        <v>6016</v>
      </c>
      <c r="E343" s="2" t="s">
        <v>6162</v>
      </c>
      <c r="F343" s="2" t="s">
        <v>2</v>
      </c>
      <c r="G343" s="2" t="str">
        <f>"02-22263630"</f>
        <v>02-22263630</v>
      </c>
      <c r="H343" s="2" t="s">
        <v>667</v>
      </c>
      <c r="I343" s="2" t="str">
        <f>"02-2361-1300"</f>
        <v>02-2361-1300</v>
      </c>
      <c r="J343" s="2" t="str">
        <f t="shared" si="47"/>
        <v>--</v>
      </c>
      <c r="K343" s="2" t="str">
        <f t="shared" si="47"/>
        <v>--</v>
      </c>
      <c r="L343" s="2" t="str">
        <f t="shared" si="47"/>
        <v>--</v>
      </c>
      <c r="M343" s="2" t="str">
        <f t="shared" si="47"/>
        <v>--</v>
      </c>
      <c r="N343" s="2"/>
      <c r="O343" s="2"/>
      <c r="P343" s="2"/>
      <c r="Q343" s="2"/>
    </row>
    <row r="344" spans="1:17" x14ac:dyDescent="0.3">
      <c r="A344" s="2" t="str">
        <f>"2419"</f>
        <v>2419</v>
      </c>
      <c r="B344" s="2" t="s">
        <v>99</v>
      </c>
      <c r="C344" s="2" t="s">
        <v>1244</v>
      </c>
      <c r="D344" s="2" t="s">
        <v>6016</v>
      </c>
      <c r="E344" s="2" t="s">
        <v>1245</v>
      </c>
      <c r="F344" s="2" t="s">
        <v>2</v>
      </c>
      <c r="G344" s="2" t="str">
        <f>"03-5786658"</f>
        <v>03-5786658</v>
      </c>
      <c r="H344" s="2" t="s">
        <v>431</v>
      </c>
      <c r="I344" s="2" t="str">
        <f>"02-27023999"</f>
        <v>02-27023999</v>
      </c>
      <c r="J344" s="2" t="str">
        <f>"自105年05月15日至105年06月11日止"</f>
        <v>自105年05月15日至105年06月11日止</v>
      </c>
      <c r="K344" s="2" t="str">
        <f>"台灣集中保管結算所股份有限公司"</f>
        <v>台灣集中保管結算所股份有限公司</v>
      </c>
      <c r="L344" s="2" t="str">
        <f>"http://www.stockvote.com.tw"</f>
        <v>http://www.stockvote.com.tw</v>
      </c>
      <c r="M344" s="2" t="str">
        <f>"強制"</f>
        <v>強制</v>
      </c>
      <c r="N344" s="2"/>
      <c r="O344" s="2"/>
      <c r="P344" s="2"/>
      <c r="Q344" s="2"/>
    </row>
    <row r="345" spans="1:17" x14ac:dyDescent="0.3">
      <c r="A345" s="2" t="str">
        <f>"2420"</f>
        <v>2420</v>
      </c>
      <c r="B345" s="2" t="s">
        <v>1246</v>
      </c>
      <c r="C345" s="2" t="s">
        <v>1247</v>
      </c>
      <c r="D345" s="2" t="s">
        <v>6025</v>
      </c>
      <c r="E345" s="2" t="s">
        <v>6163</v>
      </c>
      <c r="F345" s="2" t="s">
        <v>41</v>
      </c>
      <c r="G345" s="2" t="str">
        <f>"(02)29188512"</f>
        <v>(02)29188512</v>
      </c>
      <c r="H345" s="2" t="s">
        <v>465</v>
      </c>
      <c r="I345" s="2" t="str">
        <f>"(02)23816288"</f>
        <v>(02)23816288</v>
      </c>
      <c r="J345" s="2" t="str">
        <f>"--"</f>
        <v>--</v>
      </c>
      <c r="K345" s="2" t="str">
        <f>"--"</f>
        <v>--</v>
      </c>
      <c r="L345" s="2" t="str">
        <f>"--"</f>
        <v>--</v>
      </c>
      <c r="M345" s="2" t="str">
        <f>"否"</f>
        <v>否</v>
      </c>
      <c r="N345" s="2"/>
      <c r="O345" s="2"/>
      <c r="P345" s="2"/>
      <c r="Q345" s="2"/>
    </row>
    <row r="346" spans="1:17" x14ac:dyDescent="0.3">
      <c r="A346" s="2" t="str">
        <f>"2421"</f>
        <v>2421</v>
      </c>
      <c r="B346" s="2" t="s">
        <v>1248</v>
      </c>
      <c r="C346" s="2" t="s">
        <v>1249</v>
      </c>
      <c r="D346" s="2" t="s">
        <v>6051</v>
      </c>
      <c r="E346" s="2" t="s">
        <v>1250</v>
      </c>
      <c r="F346" s="2" t="s">
        <v>2</v>
      </c>
      <c r="G346" s="2" t="str">
        <f>"07-8135888"</f>
        <v>07-8135888</v>
      </c>
      <c r="H346" s="2" t="s">
        <v>1251</v>
      </c>
      <c r="I346" s="2" t="str">
        <f>"(02)2371-1658"</f>
        <v>(02)2371-1658</v>
      </c>
      <c r="J346" s="2" t="str">
        <f>"自105年05月04日至105年05月31日止"</f>
        <v>自105年05月04日至105年05月31日止</v>
      </c>
      <c r="K346" s="2" t="str">
        <f>"台灣集中保管結算所股份有限公司"</f>
        <v>台灣集中保管結算所股份有限公司</v>
      </c>
      <c r="L346" s="2" t="str">
        <f>"http://www.stockvote.com.tw"</f>
        <v>http://www.stockvote.com.tw</v>
      </c>
      <c r="M346" s="2" t="str">
        <f>"強制"</f>
        <v>強制</v>
      </c>
      <c r="N346" s="2"/>
      <c r="O346" s="2"/>
      <c r="P346" s="2"/>
      <c r="Q346" s="2"/>
    </row>
    <row r="347" spans="1:17" x14ac:dyDescent="0.3">
      <c r="A347" s="2" t="str">
        <f>"2423"</f>
        <v>2423</v>
      </c>
      <c r="B347" s="2" t="s">
        <v>1252</v>
      </c>
      <c r="C347" s="2" t="s">
        <v>1253</v>
      </c>
      <c r="D347" s="2" t="s">
        <v>6015</v>
      </c>
      <c r="E347" s="2" t="s">
        <v>1254</v>
      </c>
      <c r="F347" s="2" t="s">
        <v>2</v>
      </c>
      <c r="G347" s="2" t="str">
        <f>"(02)22680389"</f>
        <v>(02)22680389</v>
      </c>
      <c r="H347" s="2" t="s">
        <v>456</v>
      </c>
      <c r="I347" s="2" t="str">
        <f>"(02)25048125"</f>
        <v>(02)25048125</v>
      </c>
      <c r="J347" s="2" t="str">
        <f>"--"</f>
        <v>--</v>
      </c>
      <c r="K347" s="2" t="str">
        <f>"--"</f>
        <v>--</v>
      </c>
      <c r="L347" s="2" t="str">
        <f>"--"</f>
        <v>--</v>
      </c>
      <c r="M347" s="2" t="str">
        <f>"--"</f>
        <v>--</v>
      </c>
      <c r="N347" s="2"/>
      <c r="O347" s="2"/>
      <c r="P347" s="2"/>
      <c r="Q347" s="2"/>
    </row>
    <row r="348" spans="1:17" x14ac:dyDescent="0.3">
      <c r="A348" s="2" t="str">
        <f>"2424"</f>
        <v>2424</v>
      </c>
      <c r="B348" s="2" t="s">
        <v>1255</v>
      </c>
      <c r="C348" s="2" t="s">
        <v>1256</v>
      </c>
      <c r="D348" s="2" t="s">
        <v>6004</v>
      </c>
      <c r="E348" s="2" t="s">
        <v>6164</v>
      </c>
      <c r="F348" s="2" t="s">
        <v>2</v>
      </c>
      <c r="G348" s="2" t="str">
        <f>"(02)2707-7720"</f>
        <v>(02)2707-7720</v>
      </c>
      <c r="H348" s="2" t="s">
        <v>6006</v>
      </c>
      <c r="I348" s="2" t="str">
        <f>"(02)2586-5859"</f>
        <v>(02)2586-5859</v>
      </c>
      <c r="J348" s="2" t="str">
        <f t="shared" ref="J348:L349" si="48">"--"</f>
        <v>--</v>
      </c>
      <c r="K348" s="2" t="str">
        <f t="shared" si="48"/>
        <v>--</v>
      </c>
      <c r="L348" s="2" t="str">
        <f t="shared" si="48"/>
        <v>--</v>
      </c>
      <c r="M348" s="2" t="str">
        <f>"否"</f>
        <v>否</v>
      </c>
      <c r="N348" s="2"/>
      <c r="O348" s="2"/>
      <c r="P348" s="2"/>
      <c r="Q348" s="2"/>
    </row>
    <row r="349" spans="1:17" x14ac:dyDescent="0.3">
      <c r="A349" s="2" t="str">
        <f>"2425"</f>
        <v>2425</v>
      </c>
      <c r="B349" s="2" t="s">
        <v>1257</v>
      </c>
      <c r="C349" s="2" t="s">
        <v>1258</v>
      </c>
      <c r="D349" s="2" t="s">
        <v>6016</v>
      </c>
      <c r="E349" s="2" t="s">
        <v>1259</v>
      </c>
      <c r="F349" s="2" t="s">
        <v>41</v>
      </c>
      <c r="G349" s="2" t="str">
        <f>"(02)2913-8833"</f>
        <v>(02)2913-8833</v>
      </c>
      <c r="H349" s="2" t="s">
        <v>640</v>
      </c>
      <c r="I349" s="2" t="str">
        <f>"02-23711658"</f>
        <v>02-23711658</v>
      </c>
      <c r="J349" s="2" t="str">
        <f t="shared" si="48"/>
        <v>--</v>
      </c>
      <c r="K349" s="2" t="str">
        <f t="shared" si="48"/>
        <v>--</v>
      </c>
      <c r="L349" s="2" t="str">
        <f t="shared" si="48"/>
        <v>--</v>
      </c>
      <c r="M349" s="2" t="str">
        <f>"否"</f>
        <v>否</v>
      </c>
      <c r="N349" s="2"/>
      <c r="O349" s="2"/>
      <c r="P349" s="2"/>
      <c r="Q349" s="2"/>
    </row>
    <row r="350" spans="1:17" x14ac:dyDescent="0.3">
      <c r="A350" s="2" t="str">
        <f>"2426"</f>
        <v>2426</v>
      </c>
      <c r="B350" s="2" t="s">
        <v>101</v>
      </c>
      <c r="C350" s="2" t="s">
        <v>1260</v>
      </c>
      <c r="D350" s="2" t="s">
        <v>6007</v>
      </c>
      <c r="E350" s="2" t="s">
        <v>1261</v>
      </c>
      <c r="F350" s="2" t="s">
        <v>2</v>
      </c>
      <c r="G350" s="2" t="str">
        <f>"(037)582997"</f>
        <v>(037)582997</v>
      </c>
      <c r="H350" s="2" t="s">
        <v>667</v>
      </c>
      <c r="I350" s="2" t="str">
        <f>"02-23611300"</f>
        <v>02-23611300</v>
      </c>
      <c r="J350" s="2" t="str">
        <f>"自105年05月28日至105年06月25日止"</f>
        <v>自105年05月28日至105年06月25日止</v>
      </c>
      <c r="K350" s="2" t="str">
        <f>"台灣集中保管結算所股份有限公司"</f>
        <v>台灣集中保管結算所股份有限公司</v>
      </c>
      <c r="L350" s="2" t="str">
        <f>"http://www.stockvote.com.tw"</f>
        <v>http://www.stockvote.com.tw</v>
      </c>
      <c r="M350" s="2" t="str">
        <f>"強制"</f>
        <v>強制</v>
      </c>
      <c r="N350" s="2"/>
      <c r="O350" s="2"/>
      <c r="P350" s="2"/>
      <c r="Q350" s="2"/>
    </row>
    <row r="351" spans="1:17" x14ac:dyDescent="0.3">
      <c r="A351" s="2" t="str">
        <f>"2427"</f>
        <v>2427</v>
      </c>
      <c r="B351" s="2" t="s">
        <v>1262</v>
      </c>
      <c r="C351" s="2" t="s">
        <v>1263</v>
      </c>
      <c r="D351" s="2" t="s">
        <v>6024</v>
      </c>
      <c r="E351" s="2" t="s">
        <v>6165</v>
      </c>
      <c r="F351" s="2" t="s">
        <v>41</v>
      </c>
      <c r="G351" s="2" t="str">
        <f>"2722-5333"</f>
        <v>2722-5333</v>
      </c>
      <c r="H351" s="2" t="s">
        <v>1264</v>
      </c>
      <c r="I351" s="2" t="str">
        <f>"02-7719-8899"</f>
        <v>02-7719-8899</v>
      </c>
      <c r="J351" s="2" t="str">
        <f t="shared" ref="J351:L353" si="49">"--"</f>
        <v>--</v>
      </c>
      <c r="K351" s="2" t="str">
        <f t="shared" si="49"/>
        <v>--</v>
      </c>
      <c r="L351" s="2" t="str">
        <f t="shared" si="49"/>
        <v>--</v>
      </c>
      <c r="M351" s="2" t="str">
        <f>"否"</f>
        <v>否</v>
      </c>
      <c r="N351" s="2"/>
      <c r="O351" s="2"/>
      <c r="P351" s="2"/>
      <c r="Q351" s="2"/>
    </row>
    <row r="352" spans="1:17" x14ac:dyDescent="0.3">
      <c r="A352" s="2" t="str">
        <f>"2428"</f>
        <v>2428</v>
      </c>
      <c r="B352" s="2" t="s">
        <v>1265</v>
      </c>
      <c r="C352" s="2" t="s">
        <v>1266</v>
      </c>
      <c r="D352" s="2" t="s">
        <v>6004</v>
      </c>
      <c r="E352" s="2" t="s">
        <v>6166</v>
      </c>
      <c r="F352" s="2" t="s">
        <v>2</v>
      </c>
      <c r="G352" s="2" t="str">
        <f>"07-5577660"</f>
        <v>07-5577660</v>
      </c>
      <c r="H352" s="2" t="s">
        <v>444</v>
      </c>
      <c r="I352" s="2" t="str">
        <f>"02-27463797"</f>
        <v>02-27463797</v>
      </c>
      <c r="J352" s="2" t="str">
        <f t="shared" si="49"/>
        <v>--</v>
      </c>
      <c r="K352" s="2" t="str">
        <f t="shared" si="49"/>
        <v>--</v>
      </c>
      <c r="L352" s="2" t="str">
        <f t="shared" si="49"/>
        <v>--</v>
      </c>
      <c r="M352" s="2" t="str">
        <f>"--"</f>
        <v>--</v>
      </c>
      <c r="N352" s="2"/>
      <c r="O352" s="2"/>
      <c r="P352" s="2"/>
      <c r="Q352" s="2"/>
    </row>
    <row r="353" spans="1:17" x14ac:dyDescent="0.3">
      <c r="A353" s="2" t="str">
        <f>"2429"</f>
        <v>2429</v>
      </c>
      <c r="B353" s="2" t="s">
        <v>1267</v>
      </c>
      <c r="C353" s="2" t="s">
        <v>1268</v>
      </c>
      <c r="D353" s="2" t="s">
        <v>6014</v>
      </c>
      <c r="E353" s="2" t="s">
        <v>1269</v>
      </c>
      <c r="F353" s="2" t="s">
        <v>41</v>
      </c>
      <c r="G353" s="2" t="str">
        <f>"(03)4526136"</f>
        <v>(03)4526136</v>
      </c>
      <c r="H353" s="2" t="s">
        <v>456</v>
      </c>
      <c r="I353" s="2" t="str">
        <f>"(02)25048125"</f>
        <v>(02)25048125</v>
      </c>
      <c r="J353" s="2" t="str">
        <f t="shared" si="49"/>
        <v>--</v>
      </c>
      <c r="K353" s="2" t="str">
        <f t="shared" si="49"/>
        <v>--</v>
      </c>
      <c r="L353" s="2" t="str">
        <f t="shared" si="49"/>
        <v>--</v>
      </c>
      <c r="M353" s="2" t="str">
        <f>"--"</f>
        <v>--</v>
      </c>
      <c r="N353" s="2"/>
      <c r="O353" s="2"/>
      <c r="P353" s="2"/>
      <c r="Q353" s="2"/>
    </row>
    <row r="354" spans="1:17" x14ac:dyDescent="0.3">
      <c r="A354" s="2" t="str">
        <f>"2430"</f>
        <v>2430</v>
      </c>
      <c r="B354" s="2" t="s">
        <v>1270</v>
      </c>
      <c r="C354" s="2" t="s">
        <v>1271</v>
      </c>
      <c r="D354" s="2" t="s">
        <v>6167</v>
      </c>
      <c r="E354" s="2" t="s">
        <v>1272</v>
      </c>
      <c r="F354" s="2" t="s">
        <v>2</v>
      </c>
      <c r="G354" s="2" t="str">
        <f>"02-27953988"</f>
        <v>02-27953988</v>
      </c>
      <c r="H354" s="2" t="s">
        <v>6006</v>
      </c>
      <c r="I354" s="2" t="str">
        <f>"02-25865859"</f>
        <v>02-25865859</v>
      </c>
      <c r="J354" s="2" t="str">
        <f>"自105年03月23日至105年04月19日止"</f>
        <v>自105年03月23日至105年04月19日止</v>
      </c>
      <c r="K354" s="2" t="str">
        <f>"台灣集中保管結算所股份有限公司"</f>
        <v>台灣集中保管結算所股份有限公司</v>
      </c>
      <c r="L354" s="2" t="str">
        <f>"http://www.stockvote.com.tw"</f>
        <v>http://www.stockvote.com.tw</v>
      </c>
      <c r="M354" s="2" t="str">
        <f>"&lt;b&gt;&lt;font color='red'&gt;自願&lt;/font&gt;&lt;/b&gt;"</f>
        <v>&lt;b&gt;&lt;font color='red'&gt;自願&lt;/font&gt;&lt;/b&gt;</v>
      </c>
      <c r="N354" s="2"/>
      <c r="O354" s="2"/>
      <c r="P354" s="2"/>
      <c r="Q354" s="2"/>
    </row>
    <row r="355" spans="1:17" x14ac:dyDescent="0.3">
      <c r="A355" s="2" t="str">
        <f>"2431"</f>
        <v>2431</v>
      </c>
      <c r="B355" s="2" t="s">
        <v>1273</v>
      </c>
      <c r="C355" s="2" t="s">
        <v>1274</v>
      </c>
      <c r="D355" s="2" t="s">
        <v>6016</v>
      </c>
      <c r="E355" s="2" t="s">
        <v>6168</v>
      </c>
      <c r="F355" s="2" t="s">
        <v>2</v>
      </c>
      <c r="G355" s="2" t="str">
        <f>"8792-1666"</f>
        <v>8792-1666</v>
      </c>
      <c r="H355" s="2" t="s">
        <v>404</v>
      </c>
      <c r="I355" s="2" t="str">
        <f>"66365566"</f>
        <v>66365566</v>
      </c>
      <c r="J355" s="2" t="str">
        <f>"--"</f>
        <v>--</v>
      </c>
      <c r="K355" s="2" t="str">
        <f>"--"</f>
        <v>--</v>
      </c>
      <c r="L355" s="2" t="str">
        <f>"--"</f>
        <v>--</v>
      </c>
      <c r="M355" s="2" t="str">
        <f>"--"</f>
        <v>--</v>
      </c>
      <c r="N355" s="2"/>
      <c r="O355" s="2"/>
      <c r="P355" s="2"/>
      <c r="Q355" s="2"/>
    </row>
    <row r="356" spans="1:17" x14ac:dyDescent="0.3">
      <c r="A356" s="2" t="str">
        <f>"2433"</f>
        <v>2433</v>
      </c>
      <c r="B356" s="2" t="s">
        <v>1276</v>
      </c>
      <c r="C356" s="2" t="s">
        <v>1277</v>
      </c>
      <c r="D356" s="2" t="s">
        <v>6024</v>
      </c>
      <c r="E356" s="2" t="s">
        <v>6169</v>
      </c>
      <c r="F356" s="2" t="s">
        <v>2</v>
      </c>
      <c r="G356" s="2" t="str">
        <f>"27476789"</f>
        <v>27476789</v>
      </c>
      <c r="H356" s="2" t="s">
        <v>6006</v>
      </c>
      <c r="I356" s="2" t="str">
        <f>"2586-5859"</f>
        <v>2586-5859</v>
      </c>
      <c r="J356" s="2" t="str">
        <f t="shared" ref="J356:L357" si="50">"--"</f>
        <v>--</v>
      </c>
      <c r="K356" s="2" t="str">
        <f t="shared" si="50"/>
        <v>--</v>
      </c>
      <c r="L356" s="2" t="str">
        <f t="shared" si="50"/>
        <v>--</v>
      </c>
      <c r="M356" s="2" t="str">
        <f>"否"</f>
        <v>否</v>
      </c>
      <c r="N356" s="2"/>
      <c r="O356" s="2"/>
      <c r="P356" s="2"/>
      <c r="Q356" s="2"/>
    </row>
    <row r="357" spans="1:17" x14ac:dyDescent="0.3">
      <c r="A357" s="2" t="str">
        <f>"2434"</f>
        <v>2434</v>
      </c>
      <c r="B357" s="2" t="s">
        <v>1278</v>
      </c>
      <c r="C357" s="2" t="s">
        <v>1279</v>
      </c>
      <c r="D357" s="2" t="s">
        <v>6010</v>
      </c>
      <c r="E357" s="2" t="s">
        <v>6170</v>
      </c>
      <c r="F357" s="2" t="s">
        <v>2</v>
      </c>
      <c r="G357" s="2" t="str">
        <f>"06-5991621"</f>
        <v>06-5991621</v>
      </c>
      <c r="H357" s="2" t="s">
        <v>444</v>
      </c>
      <c r="I357" s="2" t="str">
        <f>"02-27463797"</f>
        <v>02-27463797</v>
      </c>
      <c r="J357" s="2" t="str">
        <f t="shared" si="50"/>
        <v>--</v>
      </c>
      <c r="K357" s="2" t="str">
        <f t="shared" si="50"/>
        <v>--</v>
      </c>
      <c r="L357" s="2" t="str">
        <f t="shared" si="50"/>
        <v>--</v>
      </c>
      <c r="M357" s="2" t="str">
        <f>"否"</f>
        <v>否</v>
      </c>
      <c r="N357" s="2"/>
      <c r="O357" s="2"/>
      <c r="P357" s="2"/>
      <c r="Q357" s="2"/>
    </row>
    <row r="358" spans="1:17" x14ac:dyDescent="0.3">
      <c r="A358" s="2" t="str">
        <f>"2436"</f>
        <v>2436</v>
      </c>
      <c r="B358" s="2" t="s">
        <v>1280</v>
      </c>
      <c r="C358" s="2" t="s">
        <v>1281</v>
      </c>
      <c r="D358" s="2" t="s">
        <v>6025</v>
      </c>
      <c r="E358" s="2" t="s">
        <v>1282</v>
      </c>
      <c r="F358" s="2" t="s">
        <v>41</v>
      </c>
      <c r="G358" s="2" t="str">
        <f>"(03)5780241"</f>
        <v>(03)5780241</v>
      </c>
      <c r="H358" s="2" t="s">
        <v>404</v>
      </c>
      <c r="I358" s="2" t="str">
        <f>"(02)66365566"</f>
        <v>(02)66365566</v>
      </c>
      <c r="J358" s="2" t="str">
        <f>"自105年05月07日至105年06月05日止"</f>
        <v>自105年05月07日至105年06月05日止</v>
      </c>
      <c r="K358" s="2" t="str">
        <f>"台灣集中保管結算所股份有限公司"</f>
        <v>台灣集中保管結算所股份有限公司</v>
      </c>
      <c r="L358" s="2" t="str">
        <f>"http://www.stockvote.com.tw"</f>
        <v>http://www.stockvote.com.tw</v>
      </c>
      <c r="M358" s="2" t="str">
        <f>"強制"</f>
        <v>強制</v>
      </c>
      <c r="N358" s="2"/>
      <c r="O358" s="2"/>
      <c r="P358" s="2"/>
      <c r="Q358" s="2"/>
    </row>
    <row r="359" spans="1:17" x14ac:dyDescent="0.3">
      <c r="A359" s="2" t="str">
        <f>"2437"</f>
        <v>2437</v>
      </c>
      <c r="B359" s="2" t="s">
        <v>351</v>
      </c>
      <c r="C359" s="2" t="s">
        <v>1283</v>
      </c>
      <c r="D359" s="2" t="s">
        <v>6016</v>
      </c>
      <c r="E359" s="2" t="s">
        <v>6171</v>
      </c>
      <c r="F359" s="2" t="s">
        <v>2</v>
      </c>
      <c r="G359" s="2" t="str">
        <f>"(07)366-1067"</f>
        <v>(07)366-1067</v>
      </c>
      <c r="H359" s="2" t="s">
        <v>456</v>
      </c>
      <c r="I359" s="2" t="str">
        <f>"(02)2504-8125"</f>
        <v>(02)2504-8125</v>
      </c>
      <c r="J359" s="2" t="str">
        <f t="shared" ref="J359:L362" si="51">"--"</f>
        <v>--</v>
      </c>
      <c r="K359" s="2" t="str">
        <f t="shared" si="51"/>
        <v>--</v>
      </c>
      <c r="L359" s="2" t="str">
        <f t="shared" si="51"/>
        <v>--</v>
      </c>
      <c r="M359" s="2" t="str">
        <f t="shared" ref="M359:M364" si="52">"否"</f>
        <v>否</v>
      </c>
      <c r="N359" s="2"/>
      <c r="O359" s="2"/>
      <c r="P359" s="2"/>
      <c r="Q359" s="2"/>
    </row>
    <row r="360" spans="1:17" x14ac:dyDescent="0.3">
      <c r="A360" s="2" t="str">
        <f>"2438"</f>
        <v>2438</v>
      </c>
      <c r="B360" s="2" t="s">
        <v>1284</v>
      </c>
      <c r="C360" s="2" t="s">
        <v>1285</v>
      </c>
      <c r="D360" s="2" t="s">
        <v>6031</v>
      </c>
      <c r="E360" s="2" t="s">
        <v>1286</v>
      </c>
      <c r="F360" s="2" t="s">
        <v>41</v>
      </c>
      <c r="G360" s="2" t="str">
        <f>"03-3508001"</f>
        <v>03-3508001</v>
      </c>
      <c r="H360" s="2" t="s">
        <v>6006</v>
      </c>
      <c r="I360" s="2" t="str">
        <f>"02-25865859"</f>
        <v>02-25865859</v>
      </c>
      <c r="J360" s="2" t="str">
        <f t="shared" si="51"/>
        <v>--</v>
      </c>
      <c r="K360" s="2" t="str">
        <f t="shared" si="51"/>
        <v>--</v>
      </c>
      <c r="L360" s="2" t="str">
        <f t="shared" si="51"/>
        <v>--</v>
      </c>
      <c r="M360" s="2" t="str">
        <f t="shared" si="52"/>
        <v>否</v>
      </c>
      <c r="N360" s="2"/>
      <c r="O360" s="2"/>
      <c r="P360" s="2"/>
      <c r="Q360" s="2"/>
    </row>
    <row r="361" spans="1:17" x14ac:dyDescent="0.3">
      <c r="A361" s="2"/>
      <c r="B361" s="2"/>
      <c r="C361" s="2"/>
      <c r="D361" s="2"/>
      <c r="E361" s="2"/>
      <c r="F361" s="2"/>
      <c r="G361" s="2"/>
      <c r="H361" s="2"/>
      <c r="I361" s="2"/>
      <c r="J361" s="2"/>
      <c r="K361" s="2"/>
      <c r="L361" s="2"/>
      <c r="M361" s="2"/>
      <c r="N361" s="2"/>
      <c r="O361" s="2"/>
      <c r="P361" s="2"/>
      <c r="Q361" s="2"/>
    </row>
    <row r="362" spans="1:17" x14ac:dyDescent="0.3">
      <c r="A362" s="2" t="str">
        <f>"2439"</f>
        <v>2439</v>
      </c>
      <c r="B362" s="2" t="s">
        <v>321</v>
      </c>
      <c r="C362" s="2" t="s">
        <v>1287</v>
      </c>
      <c r="D362" s="2" t="s">
        <v>6014</v>
      </c>
      <c r="E362" s="2" t="s">
        <v>6172</v>
      </c>
      <c r="F362" s="2" t="s">
        <v>41</v>
      </c>
      <c r="G362" s="2" t="str">
        <f>"04-23590811"</f>
        <v>04-23590811</v>
      </c>
      <c r="H362" s="2" t="s">
        <v>451</v>
      </c>
      <c r="I362" s="2" t="str">
        <f>"(02)23892999"</f>
        <v>(02)23892999</v>
      </c>
      <c r="J362" s="2" t="str">
        <f t="shared" si="51"/>
        <v>--</v>
      </c>
      <c r="K362" s="2" t="str">
        <f t="shared" si="51"/>
        <v>--</v>
      </c>
      <c r="L362" s="2" t="str">
        <f t="shared" si="51"/>
        <v>--</v>
      </c>
      <c r="M362" s="2" t="str">
        <f t="shared" si="52"/>
        <v>否</v>
      </c>
      <c r="N362" s="2"/>
      <c r="O362" s="2"/>
      <c r="P362" s="2"/>
      <c r="Q362" s="2"/>
    </row>
    <row r="363" spans="1:17" x14ac:dyDescent="0.3">
      <c r="A363" s="2"/>
      <c r="B363" s="2"/>
      <c r="C363" s="2"/>
      <c r="D363" s="2"/>
      <c r="E363" s="2"/>
      <c r="F363" s="2"/>
      <c r="G363" s="2"/>
      <c r="H363" s="2"/>
      <c r="I363" s="2"/>
      <c r="J363" s="2"/>
      <c r="K363" s="2"/>
      <c r="L363" s="2"/>
      <c r="M363" s="2"/>
      <c r="N363" s="2"/>
      <c r="O363" s="2"/>
      <c r="P363" s="2"/>
      <c r="Q363" s="2"/>
    </row>
    <row r="364" spans="1:17" x14ac:dyDescent="0.3">
      <c r="A364" s="2" t="str">
        <f>"2440"</f>
        <v>2440</v>
      </c>
      <c r="B364" s="2" t="s">
        <v>1288</v>
      </c>
      <c r="C364" s="2" t="s">
        <v>1289</v>
      </c>
      <c r="D364" s="2" t="s">
        <v>6021</v>
      </c>
      <c r="E364" s="2" t="s">
        <v>1290</v>
      </c>
      <c r="F364" s="2" t="s">
        <v>2</v>
      </c>
      <c r="G364" s="2" t="str">
        <f>"03-5935588"</f>
        <v>03-5935588</v>
      </c>
      <c r="H364" s="2" t="s">
        <v>1291</v>
      </c>
      <c r="I364" s="2" t="str">
        <f>"02-66365566"</f>
        <v>02-66365566</v>
      </c>
      <c r="J364" s="2" t="str">
        <f>"--"</f>
        <v>--</v>
      </c>
      <c r="K364" s="2" t="str">
        <f>"--"</f>
        <v>--</v>
      </c>
      <c r="L364" s="2" t="str">
        <f>"--"</f>
        <v>--</v>
      </c>
      <c r="M364" s="2" t="str">
        <f t="shared" si="52"/>
        <v>否</v>
      </c>
      <c r="N364" s="2"/>
      <c r="O364" s="2"/>
      <c r="P364" s="2"/>
      <c r="Q364" s="2"/>
    </row>
    <row r="365" spans="1:17" x14ac:dyDescent="0.3">
      <c r="A365" s="2" t="str">
        <f>"2441"</f>
        <v>2441</v>
      </c>
      <c r="B365" s="2" t="s">
        <v>1292</v>
      </c>
      <c r="C365" s="2" t="s">
        <v>1293</v>
      </c>
      <c r="D365" s="2" t="s">
        <v>6024</v>
      </c>
      <c r="E365" s="2" t="s">
        <v>1294</v>
      </c>
      <c r="F365" s="2" t="s">
        <v>2</v>
      </c>
      <c r="G365" s="2" t="str">
        <f>"037-638568"</f>
        <v>037-638568</v>
      </c>
      <c r="H365" s="2" t="s">
        <v>539</v>
      </c>
      <c r="I365" s="2" t="str">
        <f>"02-25865859"</f>
        <v>02-25865859</v>
      </c>
      <c r="J365" s="2" t="str">
        <f>"自105年05月07日至105年06月04日止"</f>
        <v>自105年05月07日至105年06月04日止</v>
      </c>
      <c r="K365" s="2" t="str">
        <f>"台灣集中保管結算所股份有限公司"</f>
        <v>台灣集中保管結算所股份有限公司</v>
      </c>
      <c r="L365" s="2" t="str">
        <f>"http://www.stockvote.com.tw"</f>
        <v>http://www.stockvote.com.tw</v>
      </c>
      <c r="M365" s="2" t="str">
        <f>"強制"</f>
        <v>強制</v>
      </c>
      <c r="N365" s="2"/>
      <c r="O365" s="2"/>
      <c r="P365" s="2"/>
      <c r="Q365" s="2"/>
    </row>
    <row r="366" spans="1:17" x14ac:dyDescent="0.3">
      <c r="A366" s="2" t="str">
        <f>"2442"</f>
        <v>2442</v>
      </c>
      <c r="B366" s="2" t="s">
        <v>1295</v>
      </c>
      <c r="C366" s="2" t="s">
        <v>1296</v>
      </c>
      <c r="D366" s="2" t="s">
        <v>6173</v>
      </c>
      <c r="E366" s="2" t="s">
        <v>6174</v>
      </c>
      <c r="F366" s="2" t="s">
        <v>2</v>
      </c>
      <c r="G366" s="2" t="str">
        <f>"(02)5582-8168"</f>
        <v>(02)5582-8168</v>
      </c>
      <c r="H366" s="2" t="s">
        <v>404</v>
      </c>
      <c r="I366" s="2" t="str">
        <f>"(02)6636-5566"</f>
        <v>(02)6636-5566</v>
      </c>
      <c r="J366" s="2" t="str">
        <f>"自105年04月19日至105年05月16日止"</f>
        <v>自105年04月19日至105年05月16日止</v>
      </c>
      <c r="K366" s="2" t="str">
        <f>"台灣集中保管結算所股份有限公司"</f>
        <v>台灣集中保管結算所股份有限公司</v>
      </c>
      <c r="L366" s="2" t="str">
        <f>"http://www.stockvote.com.tw"</f>
        <v>http://www.stockvote.com.tw</v>
      </c>
      <c r="M366" s="2" t="str">
        <f>"&lt;b&gt;&lt;font color='red'&gt;自願&lt;/font&gt;&lt;/b&gt;"</f>
        <v>&lt;b&gt;&lt;font color='red'&gt;自願&lt;/font&gt;&lt;/b&gt;</v>
      </c>
      <c r="N366" s="2"/>
      <c r="O366" s="2"/>
      <c r="P366" s="2"/>
      <c r="Q366" s="2"/>
    </row>
    <row r="367" spans="1:17" x14ac:dyDescent="0.3">
      <c r="A367" s="2" t="str">
        <f>"2443"</f>
        <v>2443</v>
      </c>
      <c r="B367" s="2" t="s">
        <v>103</v>
      </c>
      <c r="C367" s="2" t="s">
        <v>6175</v>
      </c>
      <c r="D367" s="2" t="s">
        <v>6042</v>
      </c>
      <c r="E367" s="2" t="s">
        <v>1297</v>
      </c>
      <c r="F367" s="2" t="s">
        <v>41</v>
      </c>
      <c r="G367" s="2" t="str">
        <f>"03-5907070"</f>
        <v>03-5907070</v>
      </c>
      <c r="H367" s="2" t="s">
        <v>456</v>
      </c>
      <c r="I367" s="2" t="str">
        <f>"02-25048125"</f>
        <v>02-25048125</v>
      </c>
      <c r="J367" s="2" t="str">
        <f>"--"</f>
        <v>--</v>
      </c>
      <c r="K367" s="2" t="str">
        <f>"--"</f>
        <v>--</v>
      </c>
      <c r="L367" s="2" t="str">
        <f>"--"</f>
        <v>--</v>
      </c>
      <c r="M367" s="2" t="str">
        <f>"--"</f>
        <v>--</v>
      </c>
      <c r="N367" s="2"/>
      <c r="O367" s="2"/>
      <c r="P367" s="2"/>
      <c r="Q367" s="2"/>
    </row>
    <row r="368" spans="1:17" x14ac:dyDescent="0.3">
      <c r="A368" s="2" t="str">
        <f>"2444"</f>
        <v>2444</v>
      </c>
      <c r="B368" s="2" t="s">
        <v>1298</v>
      </c>
      <c r="C368" s="2" t="s">
        <v>1299</v>
      </c>
      <c r="D368" s="2" t="s">
        <v>6025</v>
      </c>
      <c r="E368" s="2" t="s">
        <v>6176</v>
      </c>
      <c r="F368" s="2" t="s">
        <v>41</v>
      </c>
      <c r="G368" s="2" t="str">
        <f>"037-580777"</f>
        <v>037-580777</v>
      </c>
      <c r="H368" s="2" t="s">
        <v>1063</v>
      </c>
      <c r="I368" s="2" t="str">
        <f>"02-23268818"</f>
        <v>02-23268818</v>
      </c>
      <c r="J368" s="2" t="str">
        <f>"--"</f>
        <v>--</v>
      </c>
      <c r="K368" s="2" t="str">
        <f>"--"</f>
        <v>--</v>
      </c>
      <c r="L368" s="2" t="str">
        <f>"--"</f>
        <v>--</v>
      </c>
      <c r="M368" s="2" t="str">
        <f>"否"</f>
        <v>否</v>
      </c>
      <c r="N368" s="2"/>
      <c r="O368" s="2"/>
      <c r="P368" s="2"/>
      <c r="Q368" s="2"/>
    </row>
    <row r="369" spans="1:17" x14ac:dyDescent="0.3">
      <c r="A369" s="2" t="str">
        <f>"2448"</f>
        <v>2448</v>
      </c>
      <c r="B369" s="2" t="s">
        <v>59</v>
      </c>
      <c r="C369" s="2" t="s">
        <v>1300</v>
      </c>
      <c r="D369" s="2" t="s">
        <v>6004</v>
      </c>
      <c r="E369" s="2" t="s">
        <v>6177</v>
      </c>
      <c r="F369" s="2" t="s">
        <v>41</v>
      </c>
      <c r="G369" s="2" t="str">
        <f>"03-5678000"</f>
        <v>03-5678000</v>
      </c>
      <c r="H369" s="2" t="s">
        <v>1063</v>
      </c>
      <c r="I369" s="2" t="str">
        <f>"02-23268818"</f>
        <v>02-23268818</v>
      </c>
      <c r="J369" s="2" t="str">
        <f>"自105年05月18日至105年06月14日止"</f>
        <v>自105年05月18日至105年06月14日止</v>
      </c>
      <c r="K369" s="2" t="str">
        <f>"台灣集中保管結算所股份有限公司"</f>
        <v>台灣集中保管結算所股份有限公司</v>
      </c>
      <c r="L369" s="2" t="str">
        <f>"http://www.stockvote.com.tw"</f>
        <v>http://www.stockvote.com.tw</v>
      </c>
      <c r="M369" s="2" t="str">
        <f>"強制"</f>
        <v>強制</v>
      </c>
      <c r="N369" s="2"/>
      <c r="O369" s="2"/>
      <c r="P369" s="2"/>
      <c r="Q369" s="2"/>
    </row>
    <row r="370" spans="1:17" x14ac:dyDescent="0.3">
      <c r="A370" s="2" t="str">
        <f>"2449"</f>
        <v>2449</v>
      </c>
      <c r="B370" s="2" t="s">
        <v>133</v>
      </c>
      <c r="C370" s="2" t="s">
        <v>1301</v>
      </c>
      <c r="D370" s="2" t="s">
        <v>6025</v>
      </c>
      <c r="E370" s="2" t="s">
        <v>6178</v>
      </c>
      <c r="F370" s="2" t="s">
        <v>2</v>
      </c>
      <c r="G370" s="2" t="str">
        <f>"(03)575-1888"</f>
        <v>(03)575-1888</v>
      </c>
      <c r="H370" s="2" t="s">
        <v>1063</v>
      </c>
      <c r="I370" s="2" t="str">
        <f>"(02)7719-8899"</f>
        <v>(02)7719-8899</v>
      </c>
      <c r="J370" s="2" t="str">
        <f>"自105年05月09日至105年06月05日止"</f>
        <v>自105年05月09日至105年06月05日止</v>
      </c>
      <c r="K370" s="2" t="str">
        <f>"TDCC臺灣集中保管結算所股東會電子投票平台"</f>
        <v>TDCC臺灣集中保管結算所股東會電子投票平台</v>
      </c>
      <c r="L370" s="2" t="str">
        <f>"http://www.stockvote.com.tw/evote/login/shareholder.html"</f>
        <v>http://www.stockvote.com.tw/evote/login/shareholder.html</v>
      </c>
      <c r="M370" s="2" t="str">
        <f>"強制"</f>
        <v>強制</v>
      </c>
      <c r="N370" s="2"/>
      <c r="O370" s="2"/>
      <c r="P370" s="2"/>
      <c r="Q370" s="2"/>
    </row>
    <row r="371" spans="1:17" x14ac:dyDescent="0.3">
      <c r="A371" s="2" t="str">
        <f>"2450"</f>
        <v>2450</v>
      </c>
      <c r="B371" s="2" t="s">
        <v>1302</v>
      </c>
      <c r="C371" s="2" t="s">
        <v>1303</v>
      </c>
      <c r="D371" s="2" t="s">
        <v>6001</v>
      </c>
      <c r="E371" s="2" t="s">
        <v>1304</v>
      </c>
      <c r="F371" s="2" t="s">
        <v>41</v>
      </c>
      <c r="G371" s="2" t="str">
        <f>"02-22183588"</f>
        <v>02-22183588</v>
      </c>
      <c r="H371" s="2" t="s">
        <v>456</v>
      </c>
      <c r="I371" s="2" t="str">
        <f>"02-25048125"</f>
        <v>02-25048125</v>
      </c>
      <c r="J371" s="2" t="str">
        <f>"自105年05月28日至105年06月24日止"</f>
        <v>自105年05月28日至105年06月24日止</v>
      </c>
      <c r="K371" s="2" t="str">
        <f>"台灣集中保管結算所股份有限公司"</f>
        <v>台灣集中保管結算所股份有限公司</v>
      </c>
      <c r="L371" s="2" t="str">
        <f>"http://www.stockvote.com.tw"</f>
        <v>http://www.stockvote.com.tw</v>
      </c>
      <c r="M371" s="2" t="str">
        <f>"--"</f>
        <v>--</v>
      </c>
      <c r="N371" s="2"/>
      <c r="O371" s="2"/>
      <c r="P371" s="2"/>
      <c r="Q371" s="2"/>
    </row>
    <row r="372" spans="1:17" x14ac:dyDescent="0.3">
      <c r="A372" s="2" t="str">
        <f>"2451"</f>
        <v>2451</v>
      </c>
      <c r="B372" s="2" t="s">
        <v>1305</v>
      </c>
      <c r="C372" s="2" t="s">
        <v>1306</v>
      </c>
      <c r="D372" s="2" t="s">
        <v>6016</v>
      </c>
      <c r="E372" s="2" t="s">
        <v>1307</v>
      </c>
      <c r="F372" s="2" t="s">
        <v>2</v>
      </c>
      <c r="G372" s="2" t="str">
        <f>"02-27928000"</f>
        <v>02-27928000</v>
      </c>
      <c r="H372" s="2" t="s">
        <v>817</v>
      </c>
      <c r="I372" s="2" t="str">
        <f>"02-6636-5566"</f>
        <v>02-6636-5566</v>
      </c>
      <c r="J372" s="2" t="str">
        <f>"自105年05月14日至105年06月11日止"</f>
        <v>自105年05月14日至105年06月11日止</v>
      </c>
      <c r="K372" s="2" t="str">
        <f>"台灣集中保管結算所股份有限公司"</f>
        <v>台灣集中保管結算所股份有限公司</v>
      </c>
      <c r="L372" s="2" t="str">
        <f>"http://www.stockvote.com.tw"</f>
        <v>http://www.stockvote.com.tw</v>
      </c>
      <c r="M372" s="2" t="str">
        <f>"強制"</f>
        <v>強制</v>
      </c>
      <c r="N372" s="2"/>
      <c r="O372" s="2"/>
      <c r="P372" s="2"/>
      <c r="Q372" s="2"/>
    </row>
    <row r="373" spans="1:17" x14ac:dyDescent="0.3">
      <c r="A373" s="2" t="str">
        <f>"2453"</f>
        <v>2453</v>
      </c>
      <c r="B373" s="2" t="s">
        <v>1308</v>
      </c>
      <c r="C373" s="2" t="s">
        <v>1309</v>
      </c>
      <c r="D373" s="2" t="s">
        <v>6028</v>
      </c>
      <c r="E373" s="2" t="s">
        <v>1310</v>
      </c>
      <c r="F373" s="2" t="s">
        <v>2</v>
      </c>
      <c r="G373" s="2" t="str">
        <f>"(02)2191-6066"</f>
        <v>(02)2191-6066</v>
      </c>
      <c r="H373" s="2" t="s">
        <v>431</v>
      </c>
      <c r="I373" s="2" t="str">
        <f>"(02)2702-3999"</f>
        <v>(02)2702-3999</v>
      </c>
      <c r="J373" s="2" t="str">
        <f>"--"</f>
        <v>--</v>
      </c>
      <c r="K373" s="2" t="str">
        <f>"--"</f>
        <v>--</v>
      </c>
      <c r="L373" s="2" t="str">
        <f>"--"</f>
        <v>--</v>
      </c>
      <c r="M373" s="2" t="str">
        <f>"--"</f>
        <v>--</v>
      </c>
      <c r="N373" s="2"/>
      <c r="O373" s="2"/>
      <c r="P373" s="2"/>
      <c r="Q373" s="2"/>
    </row>
    <row r="374" spans="1:17" x14ac:dyDescent="0.3">
      <c r="A374" s="2" t="str">
        <f>"2454"</f>
        <v>2454</v>
      </c>
      <c r="B374" s="2" t="s">
        <v>1311</v>
      </c>
      <c r="C374" s="2" t="s">
        <v>1312</v>
      </c>
      <c r="D374" s="2" t="s">
        <v>6010</v>
      </c>
      <c r="E374" s="2" t="s">
        <v>1313</v>
      </c>
      <c r="F374" s="2" t="s">
        <v>2</v>
      </c>
      <c r="G374" s="2" t="str">
        <f>"(03)5670766"</f>
        <v>(03)5670766</v>
      </c>
      <c r="H374" s="2" t="s">
        <v>1314</v>
      </c>
      <c r="I374" s="2" t="str">
        <f>"02-6636-5566"</f>
        <v>02-6636-5566</v>
      </c>
      <c r="J374" s="2" t="str">
        <f>"自105年05月25日至105年06月21日止"</f>
        <v>自105年05月25日至105年06月21日止</v>
      </c>
      <c r="K374" s="2" t="str">
        <f>"台灣集中保管結算所股份有限公司"</f>
        <v>台灣集中保管結算所股份有限公司</v>
      </c>
      <c r="L374" s="2" t="str">
        <f>"http://www.stockvote.com.tw"</f>
        <v>http://www.stockvote.com.tw</v>
      </c>
      <c r="M374" s="2" t="str">
        <f>"--"</f>
        <v>--</v>
      </c>
      <c r="N374" s="2"/>
      <c r="O374" s="2"/>
      <c r="P374" s="2"/>
      <c r="Q374" s="2"/>
    </row>
    <row r="375" spans="1:17" x14ac:dyDescent="0.3">
      <c r="A375" s="2" t="str">
        <f>"2455"</f>
        <v>2455</v>
      </c>
      <c r="B375" s="2" t="s">
        <v>95</v>
      </c>
      <c r="C375" s="2" t="s">
        <v>1315</v>
      </c>
      <c r="D375" s="2" t="s">
        <v>6000</v>
      </c>
      <c r="E375" s="2" t="s">
        <v>6179</v>
      </c>
      <c r="F375" s="2" t="s">
        <v>2</v>
      </c>
      <c r="G375" s="2" t="str">
        <f>"03-4192969"</f>
        <v>03-4192969</v>
      </c>
      <c r="H375" s="2" t="s">
        <v>1316</v>
      </c>
      <c r="I375" s="2" t="str">
        <f>"02-25048125"</f>
        <v>02-25048125</v>
      </c>
      <c r="J375" s="2" t="str">
        <f>"自105年05月21日至105年06月18日止"</f>
        <v>自105年05月21日至105年06月18日止</v>
      </c>
      <c r="K375" s="2" t="str">
        <f>"台灣集中保管結算所股份有限公司"</f>
        <v>台灣集中保管結算所股份有限公司</v>
      </c>
      <c r="L375" s="2" t="str">
        <f>"http://www.stockvote.com.tw"</f>
        <v>http://www.stockvote.com.tw</v>
      </c>
      <c r="M375" s="2" t="str">
        <f>"--"</f>
        <v>--</v>
      </c>
      <c r="N375" s="2"/>
      <c r="O375" s="2"/>
      <c r="P375" s="2"/>
      <c r="Q375" s="2"/>
    </row>
    <row r="376" spans="1:17" x14ac:dyDescent="0.3">
      <c r="A376" s="2" t="str">
        <f>"2456"</f>
        <v>2456</v>
      </c>
      <c r="B376" s="2" t="s">
        <v>53</v>
      </c>
      <c r="C376" s="2" t="s">
        <v>1317</v>
      </c>
      <c r="D376" s="2" t="s">
        <v>6051</v>
      </c>
      <c r="E376" s="2" t="s">
        <v>1318</v>
      </c>
      <c r="F376" s="2" t="s">
        <v>2</v>
      </c>
      <c r="G376" s="2" t="str">
        <f>"03-5992646"</f>
        <v>03-5992646</v>
      </c>
      <c r="H376" s="2" t="s">
        <v>653</v>
      </c>
      <c r="I376" s="2" t="str">
        <f>"02-2768-6668"</f>
        <v>02-2768-6668</v>
      </c>
      <c r="J376" s="2" t="str">
        <f>"--"</f>
        <v>--</v>
      </c>
      <c r="K376" s="2" t="str">
        <f>"--"</f>
        <v>--</v>
      </c>
      <c r="L376" s="2" t="str">
        <f>"--"</f>
        <v>--</v>
      </c>
      <c r="M376" s="2" t="str">
        <f>"否"</f>
        <v>否</v>
      </c>
      <c r="N376" s="2"/>
      <c r="O376" s="2"/>
      <c r="P376" s="2"/>
      <c r="Q376" s="2"/>
    </row>
    <row r="377" spans="1:17" x14ac:dyDescent="0.3">
      <c r="A377" s="2" t="str">
        <f>"2457"</f>
        <v>2457</v>
      </c>
      <c r="B377" s="2" t="s">
        <v>1319</v>
      </c>
      <c r="C377" s="2" t="s">
        <v>6180</v>
      </c>
      <c r="D377" s="2" t="s">
        <v>6025</v>
      </c>
      <c r="E377" s="2" t="s">
        <v>1320</v>
      </c>
      <c r="F377" s="2" t="s">
        <v>2</v>
      </c>
      <c r="G377" s="2" t="str">
        <f>"(03)3277288"</f>
        <v>(03)3277288</v>
      </c>
      <c r="H377" s="2" t="s">
        <v>404</v>
      </c>
      <c r="I377" s="2" t="str">
        <f>"(02)6636-5566"</f>
        <v>(02)6636-5566</v>
      </c>
      <c r="J377" s="2" t="str">
        <f>"自105年05月09日至105年06月05日止"</f>
        <v>自105年05月09日至105年06月05日止</v>
      </c>
      <c r="K377" s="2" t="str">
        <f>"台灣集中保管結算所股份有限公司"</f>
        <v>台灣集中保管結算所股份有限公司</v>
      </c>
      <c r="L377" s="2" t="str">
        <f>"http://www.stockvote.com.tw"</f>
        <v>http://www.stockvote.com.tw</v>
      </c>
      <c r="M377" s="2" t="str">
        <f>"強制"</f>
        <v>強制</v>
      </c>
      <c r="N377" s="2"/>
      <c r="O377" s="2"/>
      <c r="P377" s="2"/>
      <c r="Q377" s="2"/>
    </row>
    <row r="378" spans="1:17" x14ac:dyDescent="0.3">
      <c r="A378" s="2" t="str">
        <f>"2458"</f>
        <v>2458</v>
      </c>
      <c r="B378" s="2" t="s">
        <v>1321</v>
      </c>
      <c r="C378" s="2" t="s">
        <v>1322</v>
      </c>
      <c r="D378" s="2" t="s">
        <v>6025</v>
      </c>
      <c r="E378" s="2" t="s">
        <v>1323</v>
      </c>
      <c r="F378" s="2" t="s">
        <v>2</v>
      </c>
      <c r="G378" s="2" t="str">
        <f>"03-5639977"</f>
        <v>03-5639977</v>
      </c>
      <c r="H378" s="2" t="s">
        <v>653</v>
      </c>
      <c r="I378" s="2" t="str">
        <f>"02-27686668"</f>
        <v>02-27686668</v>
      </c>
      <c r="J378" s="2" t="str">
        <f>"自105年05月09日至105年06月05日止"</f>
        <v>自105年05月09日至105年06月05日止</v>
      </c>
      <c r="K378" s="2" t="str">
        <f>"台灣集中保管結算所股份有限公司"</f>
        <v>台灣集中保管結算所股份有限公司</v>
      </c>
      <c r="L378" s="2" t="str">
        <f>"http://www.stockvote.com.tw"</f>
        <v>http://www.stockvote.com.tw</v>
      </c>
      <c r="M378" s="2" t="str">
        <f>"--"</f>
        <v>--</v>
      </c>
      <c r="N378" s="2"/>
      <c r="O378" s="2"/>
      <c r="P378" s="2"/>
      <c r="Q378" s="2"/>
    </row>
    <row r="379" spans="1:17" x14ac:dyDescent="0.3">
      <c r="A379" s="2" t="str">
        <f>"2459"</f>
        <v>2459</v>
      </c>
      <c r="B379" s="2" t="s">
        <v>316</v>
      </c>
      <c r="C379" s="2" t="s">
        <v>1324</v>
      </c>
      <c r="D379" s="2" t="s">
        <v>6002</v>
      </c>
      <c r="E379" s="2" t="s">
        <v>1325</v>
      </c>
      <c r="F379" s="2" t="s">
        <v>41</v>
      </c>
      <c r="G379" s="2" t="str">
        <f>"02-87976688"</f>
        <v>02-87976688</v>
      </c>
      <c r="H379" s="2" t="s">
        <v>831</v>
      </c>
      <c r="I379" s="2" t="str">
        <f>"02-33930898"</f>
        <v>02-33930898</v>
      </c>
      <c r="J379" s="2" t="str">
        <f t="shared" ref="J379:L389" si="53">"--"</f>
        <v>--</v>
      </c>
      <c r="K379" s="2" t="str">
        <f t="shared" si="53"/>
        <v>--</v>
      </c>
      <c r="L379" s="2" t="str">
        <f t="shared" si="53"/>
        <v>--</v>
      </c>
      <c r="M379" s="2" t="str">
        <f>"--"</f>
        <v>--</v>
      </c>
      <c r="N379" s="2"/>
      <c r="O379" s="2"/>
      <c r="P379" s="2"/>
      <c r="Q379" s="2"/>
    </row>
    <row r="380" spans="1:17" x14ac:dyDescent="0.3">
      <c r="A380" s="2" t="str">
        <f>"2460"</f>
        <v>2460</v>
      </c>
      <c r="B380" s="2" t="s">
        <v>1326</v>
      </c>
      <c r="C380" s="2" t="s">
        <v>1327</v>
      </c>
      <c r="D380" s="2" t="s">
        <v>5999</v>
      </c>
      <c r="E380" s="2" t="s">
        <v>1327</v>
      </c>
      <c r="F380" s="2" t="s">
        <v>2</v>
      </c>
      <c r="G380" s="2" t="str">
        <f>"(07)6963037"</f>
        <v>(07)6963037</v>
      </c>
      <c r="H380" s="2" t="s">
        <v>465</v>
      </c>
      <c r="I380" s="2" t="str">
        <f>"02-23816288"</f>
        <v>02-23816288</v>
      </c>
      <c r="J380" s="2" t="str">
        <f t="shared" si="53"/>
        <v>--</v>
      </c>
      <c r="K380" s="2" t="str">
        <f t="shared" si="53"/>
        <v>--</v>
      </c>
      <c r="L380" s="2" t="str">
        <f t="shared" si="53"/>
        <v>--</v>
      </c>
      <c r="M380" s="2" t="str">
        <f>"--"</f>
        <v>--</v>
      </c>
      <c r="N380" s="2"/>
      <c r="O380" s="2"/>
      <c r="P380" s="2"/>
      <c r="Q380" s="2"/>
    </row>
    <row r="381" spans="1:17" x14ac:dyDescent="0.3">
      <c r="A381" s="2" t="str">
        <f>"2461"</f>
        <v>2461</v>
      </c>
      <c r="B381" s="2" t="s">
        <v>1328</v>
      </c>
      <c r="C381" s="2" t="s">
        <v>1329</v>
      </c>
      <c r="D381" s="2" t="s">
        <v>6034</v>
      </c>
      <c r="E381" s="2" t="s">
        <v>1330</v>
      </c>
      <c r="F381" s="2" t="s">
        <v>2</v>
      </c>
      <c r="G381" s="2" t="str">
        <f>"03-5770316"</f>
        <v>03-5770316</v>
      </c>
      <c r="H381" s="2" t="s">
        <v>556</v>
      </c>
      <c r="I381" s="2" t="str">
        <f>"02- 2371-1658"</f>
        <v>02- 2371-1658</v>
      </c>
      <c r="J381" s="2" t="str">
        <f t="shared" si="53"/>
        <v>--</v>
      </c>
      <c r="K381" s="2" t="str">
        <f t="shared" si="53"/>
        <v>--</v>
      </c>
      <c r="L381" s="2" t="str">
        <f t="shared" si="53"/>
        <v>--</v>
      </c>
      <c r="M381" s="2" t="str">
        <f>"否"</f>
        <v>否</v>
      </c>
      <c r="N381" s="2"/>
      <c r="O381" s="2"/>
      <c r="P381" s="2"/>
      <c r="Q381" s="2"/>
    </row>
    <row r="382" spans="1:17" x14ac:dyDescent="0.3">
      <c r="A382" s="2" t="str">
        <f>"2462"</f>
        <v>2462</v>
      </c>
      <c r="B382" s="2" t="s">
        <v>1331</v>
      </c>
      <c r="C382" s="2" t="s">
        <v>1332</v>
      </c>
      <c r="D382" s="2" t="s">
        <v>6034</v>
      </c>
      <c r="E382" s="2" t="s">
        <v>1333</v>
      </c>
      <c r="F382" s="2" t="s">
        <v>2</v>
      </c>
      <c r="G382" s="2" t="str">
        <f>"(02)2662-5600"</f>
        <v>(02)2662-5600</v>
      </c>
      <c r="H382" s="2" t="s">
        <v>469</v>
      </c>
      <c r="I382" s="2" t="str">
        <f>"2746-3797"</f>
        <v>2746-3797</v>
      </c>
      <c r="J382" s="2" t="str">
        <f t="shared" si="53"/>
        <v>--</v>
      </c>
      <c r="K382" s="2" t="str">
        <f t="shared" si="53"/>
        <v>--</v>
      </c>
      <c r="L382" s="2" t="str">
        <f t="shared" si="53"/>
        <v>--</v>
      </c>
      <c r="M382" s="2" t="str">
        <f>"否"</f>
        <v>否</v>
      </c>
      <c r="N382" s="2"/>
      <c r="O382" s="2"/>
      <c r="P382" s="2"/>
      <c r="Q382" s="2"/>
    </row>
    <row r="383" spans="1:17" x14ac:dyDescent="0.3">
      <c r="A383" s="2" t="str">
        <f>"2464"</f>
        <v>2464</v>
      </c>
      <c r="B383" s="2" t="s">
        <v>1334</v>
      </c>
      <c r="C383" s="2" t="s">
        <v>1335</v>
      </c>
      <c r="D383" s="2" t="s">
        <v>6002</v>
      </c>
      <c r="E383" s="2" t="s">
        <v>6181</v>
      </c>
      <c r="F383" s="2" t="s">
        <v>41</v>
      </c>
      <c r="G383" s="2" t="str">
        <f>"(03)5783280"</f>
        <v>(03)5783280</v>
      </c>
      <c r="H383" s="2" t="s">
        <v>404</v>
      </c>
      <c r="I383" s="2" t="str">
        <f>"(02)6636-5566"</f>
        <v>(02)6636-5566</v>
      </c>
      <c r="J383" s="2" t="str">
        <f t="shared" si="53"/>
        <v>--</v>
      </c>
      <c r="K383" s="2" t="str">
        <f t="shared" si="53"/>
        <v>--</v>
      </c>
      <c r="L383" s="2" t="str">
        <f t="shared" si="53"/>
        <v>--</v>
      </c>
      <c r="M383" s="2" t="str">
        <f>"否"</f>
        <v>否</v>
      </c>
      <c r="N383" s="2"/>
      <c r="O383" s="2"/>
      <c r="P383" s="2"/>
      <c r="Q383" s="2"/>
    </row>
    <row r="384" spans="1:17" x14ac:dyDescent="0.3">
      <c r="A384" s="2" t="str">
        <f>"2465"</f>
        <v>2465</v>
      </c>
      <c r="B384" s="2" t="s">
        <v>1336</v>
      </c>
      <c r="C384" s="2" t="s">
        <v>1337</v>
      </c>
      <c r="D384" s="2" t="s">
        <v>6051</v>
      </c>
      <c r="E384" s="2" t="s">
        <v>6182</v>
      </c>
      <c r="F384" s="2" t="s">
        <v>2</v>
      </c>
      <c r="G384" s="2" t="str">
        <f>"02-82265800"</f>
        <v>02-82265800</v>
      </c>
      <c r="H384" s="2" t="s">
        <v>456</v>
      </c>
      <c r="I384" s="2" t="str">
        <f>"(02)2504-8125"</f>
        <v>(02)2504-8125</v>
      </c>
      <c r="J384" s="2" t="str">
        <f t="shared" si="53"/>
        <v>--</v>
      </c>
      <c r="K384" s="2" t="str">
        <f t="shared" si="53"/>
        <v>--</v>
      </c>
      <c r="L384" s="2" t="str">
        <f t="shared" si="53"/>
        <v>--</v>
      </c>
      <c r="M384" s="2" t="str">
        <f>"--"</f>
        <v>--</v>
      </c>
      <c r="N384" s="2"/>
      <c r="O384" s="2"/>
      <c r="P384" s="2"/>
      <c r="Q384" s="2"/>
    </row>
    <row r="385" spans="1:17" x14ac:dyDescent="0.3">
      <c r="A385" s="2" t="str">
        <f>"2466"</f>
        <v>2466</v>
      </c>
      <c r="B385" s="2" t="s">
        <v>1338</v>
      </c>
      <c r="C385" s="2" t="s">
        <v>1339</v>
      </c>
      <c r="D385" s="2" t="s">
        <v>5999</v>
      </c>
      <c r="E385" s="2" t="s">
        <v>1340</v>
      </c>
      <c r="F385" s="2" t="s">
        <v>41</v>
      </c>
      <c r="G385" s="2" t="str">
        <f>"(02)8226-9893"</f>
        <v>(02)8226-9893</v>
      </c>
      <c r="H385" s="2" t="s">
        <v>640</v>
      </c>
      <c r="I385" s="2" t="str">
        <f>"(02)2371-1658"</f>
        <v>(02)2371-1658</v>
      </c>
      <c r="J385" s="2" t="str">
        <f t="shared" si="53"/>
        <v>--</v>
      </c>
      <c r="K385" s="2" t="str">
        <f t="shared" si="53"/>
        <v>--</v>
      </c>
      <c r="L385" s="2" t="str">
        <f t="shared" si="53"/>
        <v>--</v>
      </c>
      <c r="M385" s="2" t="str">
        <f>"否"</f>
        <v>否</v>
      </c>
      <c r="N385" s="2"/>
      <c r="O385" s="2"/>
      <c r="P385" s="2"/>
      <c r="Q385" s="2"/>
    </row>
    <row r="386" spans="1:17" x14ac:dyDescent="0.3">
      <c r="A386" s="2" t="str">
        <f>"2467"</f>
        <v>2467</v>
      </c>
      <c r="B386" s="2" t="s">
        <v>1341</v>
      </c>
      <c r="C386" s="2" t="s">
        <v>1342</v>
      </c>
      <c r="D386" s="2" t="s">
        <v>6016</v>
      </c>
      <c r="E386" s="2" t="s">
        <v>6183</v>
      </c>
      <c r="F386" s="2" t="s">
        <v>41</v>
      </c>
      <c r="G386" s="2" t="str">
        <f>"02-26010700"</f>
        <v>02-26010700</v>
      </c>
      <c r="H386" s="2" t="s">
        <v>469</v>
      </c>
      <c r="I386" s="2" t="str">
        <f>"02-27463797"</f>
        <v>02-27463797</v>
      </c>
      <c r="J386" s="2" t="str">
        <f t="shared" si="53"/>
        <v>--</v>
      </c>
      <c r="K386" s="2" t="str">
        <f t="shared" si="53"/>
        <v>--</v>
      </c>
      <c r="L386" s="2" t="str">
        <f t="shared" si="53"/>
        <v>--</v>
      </c>
      <c r="M386" s="2" t="str">
        <f>"否"</f>
        <v>否</v>
      </c>
      <c r="N386" s="2"/>
      <c r="O386" s="2"/>
      <c r="P386" s="2"/>
      <c r="Q386" s="2"/>
    </row>
    <row r="387" spans="1:17" x14ac:dyDescent="0.3">
      <c r="A387" s="2" t="str">
        <f>"2468"</f>
        <v>2468</v>
      </c>
      <c r="B387" s="2" t="s">
        <v>1343</v>
      </c>
      <c r="C387" s="2" t="s">
        <v>1344</v>
      </c>
      <c r="D387" s="2" t="s">
        <v>6000</v>
      </c>
      <c r="E387" s="2" t="s">
        <v>1345</v>
      </c>
      <c r="F387" s="2" t="s">
        <v>2</v>
      </c>
      <c r="G387" s="2" t="str">
        <f>"27935566"</f>
        <v>27935566</v>
      </c>
      <c r="H387" s="2" t="s">
        <v>415</v>
      </c>
      <c r="I387" s="2" t="str">
        <f>"2389-2999"</f>
        <v>2389-2999</v>
      </c>
      <c r="J387" s="2" t="str">
        <f t="shared" si="53"/>
        <v>--</v>
      </c>
      <c r="K387" s="2" t="str">
        <f t="shared" si="53"/>
        <v>--</v>
      </c>
      <c r="L387" s="2" t="str">
        <f t="shared" si="53"/>
        <v>--</v>
      </c>
      <c r="M387" s="2" t="str">
        <f>"--"</f>
        <v>--</v>
      </c>
      <c r="N387" s="2"/>
      <c r="O387" s="2"/>
      <c r="P387" s="2"/>
      <c r="Q387" s="2"/>
    </row>
    <row r="388" spans="1:17" x14ac:dyDescent="0.3">
      <c r="A388" s="2" t="str">
        <f>"2471"</f>
        <v>2471</v>
      </c>
      <c r="B388" s="2" t="s">
        <v>274</v>
      </c>
      <c r="C388" s="2" t="s">
        <v>1346</v>
      </c>
      <c r="D388" s="2" t="s">
        <v>5999</v>
      </c>
      <c r="E388" s="2" t="s">
        <v>1347</v>
      </c>
      <c r="F388" s="2" t="s">
        <v>41</v>
      </c>
      <c r="G388" s="2" t="str">
        <f>"(02)25221351"</f>
        <v>(02)25221351</v>
      </c>
      <c r="H388" s="2" t="s">
        <v>456</v>
      </c>
      <c r="I388" s="2" t="str">
        <f>"02-25048125"</f>
        <v>02-25048125</v>
      </c>
      <c r="J388" s="2" t="str">
        <f t="shared" si="53"/>
        <v>--</v>
      </c>
      <c r="K388" s="2" t="str">
        <f t="shared" si="53"/>
        <v>--</v>
      </c>
      <c r="L388" s="2" t="str">
        <f t="shared" si="53"/>
        <v>--</v>
      </c>
      <c r="M388" s="2" t="str">
        <f>"--"</f>
        <v>--</v>
      </c>
      <c r="N388" s="2"/>
      <c r="O388" s="2"/>
      <c r="P388" s="2"/>
      <c r="Q388" s="2"/>
    </row>
    <row r="389" spans="1:17" x14ac:dyDescent="0.3">
      <c r="A389" s="2" t="str">
        <f>"2472"</f>
        <v>2472</v>
      </c>
      <c r="B389" s="2" t="s">
        <v>1348</v>
      </c>
      <c r="C389" s="2" t="s">
        <v>6184</v>
      </c>
      <c r="D389" s="2" t="s">
        <v>5999</v>
      </c>
      <c r="E389" s="2" t="s">
        <v>6185</v>
      </c>
      <c r="F389" s="2" t="s">
        <v>41</v>
      </c>
      <c r="G389" s="2" t="str">
        <f>"(04)24181856"</f>
        <v>(04)24181856</v>
      </c>
      <c r="H389" s="2" t="s">
        <v>456</v>
      </c>
      <c r="I389" s="2" t="str">
        <f>"(02)2504-8125"</f>
        <v>(02)2504-8125</v>
      </c>
      <c r="J389" s="2" t="str">
        <f t="shared" si="53"/>
        <v>--</v>
      </c>
      <c r="K389" s="2" t="str">
        <f t="shared" si="53"/>
        <v>--</v>
      </c>
      <c r="L389" s="2" t="str">
        <f t="shared" si="53"/>
        <v>--</v>
      </c>
      <c r="M389" s="2" t="str">
        <f>"否"</f>
        <v>否</v>
      </c>
      <c r="N389" s="2"/>
      <c r="O389" s="2"/>
      <c r="P389" s="2"/>
      <c r="Q389" s="2"/>
    </row>
    <row r="390" spans="1:17" x14ac:dyDescent="0.3">
      <c r="A390" s="2" t="str">
        <f>"2474"</f>
        <v>2474</v>
      </c>
      <c r="B390" s="2" t="s">
        <v>1349</v>
      </c>
      <c r="C390" s="2" t="s">
        <v>1350</v>
      </c>
      <c r="D390" s="2" t="s">
        <v>6173</v>
      </c>
      <c r="E390" s="2" t="s">
        <v>6186</v>
      </c>
      <c r="F390" s="2" t="s">
        <v>41</v>
      </c>
      <c r="G390" s="2" t="str">
        <f>"06-2539000"</f>
        <v>06-2539000</v>
      </c>
      <c r="H390" s="2" t="s">
        <v>415</v>
      </c>
      <c r="I390" s="2" t="str">
        <f>"02-23892999"</f>
        <v>02-23892999</v>
      </c>
      <c r="J390" s="2" t="str">
        <f>"自105年04月19日至105年05月16日止"</f>
        <v>自105年04月19日至105年05月16日止</v>
      </c>
      <c r="K390" s="2" t="str">
        <f>"台灣集中保管結算所股份有限公司"</f>
        <v>台灣集中保管結算所股份有限公司</v>
      </c>
      <c r="L390" s="2" t="str">
        <f>"http://www.stockvote.com.tw"</f>
        <v>http://www.stockvote.com.tw</v>
      </c>
      <c r="M390" s="2" t="str">
        <f>"強制"</f>
        <v>強制</v>
      </c>
      <c r="N390" s="2"/>
      <c r="O390" s="2"/>
      <c r="P390" s="2"/>
      <c r="Q390" s="2"/>
    </row>
    <row r="391" spans="1:17" x14ac:dyDescent="0.3">
      <c r="A391" s="2" t="str">
        <f>"2475"</f>
        <v>2475</v>
      </c>
      <c r="B391" s="2" t="s">
        <v>221</v>
      </c>
      <c r="C391" s="2" t="s">
        <v>1351</v>
      </c>
      <c r="D391" s="2" t="s">
        <v>5999</v>
      </c>
      <c r="E391" s="2" t="s">
        <v>1351</v>
      </c>
      <c r="F391" s="2" t="s">
        <v>41</v>
      </c>
      <c r="G391" s="2" t="str">
        <f>"03-4805678"</f>
        <v>03-4805678</v>
      </c>
      <c r="H391" s="2" t="s">
        <v>1352</v>
      </c>
      <c r="I391" s="2" t="str">
        <f>"(02)2592-5252"</f>
        <v>(02)2592-5252</v>
      </c>
      <c r="J391" s="2" t="str">
        <f>"自105年05月20日至105年06月17日止"</f>
        <v>自105年05月20日至105年06月17日止</v>
      </c>
      <c r="K391" s="2" t="str">
        <f>"台灣集中保管結算所股份有限公司"</f>
        <v>台灣集中保管結算所股份有限公司</v>
      </c>
      <c r="L391" s="2" t="str">
        <f>"http://www.stockvote.com.tw"</f>
        <v>http://www.stockvote.com.tw</v>
      </c>
      <c r="M391" s="2" t="str">
        <f>"--"</f>
        <v>--</v>
      </c>
      <c r="N391" s="2"/>
      <c r="O391" s="2"/>
      <c r="P391" s="2"/>
      <c r="Q391" s="2"/>
    </row>
    <row r="392" spans="1:17" x14ac:dyDescent="0.3">
      <c r="A392" s="2" t="str">
        <f>"2476"</f>
        <v>2476</v>
      </c>
      <c r="B392" s="2" t="s">
        <v>1353</v>
      </c>
      <c r="C392" s="2" t="s">
        <v>1354</v>
      </c>
      <c r="D392" s="2" t="s">
        <v>6028</v>
      </c>
      <c r="E392" s="2" t="s">
        <v>1355</v>
      </c>
      <c r="F392" s="2" t="s">
        <v>2</v>
      </c>
      <c r="G392" s="2" t="str">
        <f>"(03)4775141"</f>
        <v>(03)4775141</v>
      </c>
      <c r="H392" s="2" t="s">
        <v>411</v>
      </c>
      <c r="I392" s="2" t="str">
        <f>"(02)2702-3999"</f>
        <v>(02)2702-3999</v>
      </c>
      <c r="J392" s="2" t="str">
        <f t="shared" ref="J392:L393" si="54">"--"</f>
        <v>--</v>
      </c>
      <c r="K392" s="2" t="str">
        <f t="shared" si="54"/>
        <v>--</v>
      </c>
      <c r="L392" s="2" t="str">
        <f t="shared" si="54"/>
        <v>--</v>
      </c>
      <c r="M392" s="2" t="str">
        <f>"--"</f>
        <v>--</v>
      </c>
      <c r="N392" s="2"/>
      <c r="O392" s="2"/>
      <c r="P392" s="2"/>
      <c r="Q392" s="2"/>
    </row>
    <row r="393" spans="1:17" x14ac:dyDescent="0.3">
      <c r="A393" s="2" t="str">
        <f>"2477"</f>
        <v>2477</v>
      </c>
      <c r="B393" s="2" t="s">
        <v>1356</v>
      </c>
      <c r="C393" s="2" t="s">
        <v>6187</v>
      </c>
      <c r="D393" s="2" t="s">
        <v>6015</v>
      </c>
      <c r="E393" s="2" t="s">
        <v>6188</v>
      </c>
      <c r="F393" s="2" t="s">
        <v>2</v>
      </c>
      <c r="G393" s="2" t="str">
        <f>"03-3261611"</f>
        <v>03-3261611</v>
      </c>
      <c r="H393" s="2" t="s">
        <v>6006</v>
      </c>
      <c r="I393" s="2" t="str">
        <f>"2586-5859"</f>
        <v>2586-5859</v>
      </c>
      <c r="J393" s="2" t="str">
        <f t="shared" si="54"/>
        <v>--</v>
      </c>
      <c r="K393" s="2" t="str">
        <f t="shared" si="54"/>
        <v>--</v>
      </c>
      <c r="L393" s="2" t="str">
        <f t="shared" si="54"/>
        <v>--</v>
      </c>
      <c r="M393" s="2" t="str">
        <f>"--"</f>
        <v>--</v>
      </c>
      <c r="N393" s="2"/>
      <c r="O393" s="2"/>
      <c r="P393" s="2"/>
      <c r="Q393" s="2"/>
    </row>
    <row r="394" spans="1:17" x14ac:dyDescent="0.3">
      <c r="A394" s="2" t="str">
        <f>"2478"</f>
        <v>2478</v>
      </c>
      <c r="B394" s="2" t="s">
        <v>293</v>
      </c>
      <c r="C394" s="2" t="s">
        <v>6189</v>
      </c>
      <c r="D394" s="2" t="s">
        <v>6021</v>
      </c>
      <c r="E394" s="2" t="s">
        <v>1357</v>
      </c>
      <c r="F394" s="2" t="s">
        <v>2</v>
      </c>
      <c r="G394" s="2" t="str">
        <f>"03-3246169"</f>
        <v>03-3246169</v>
      </c>
      <c r="H394" s="2" t="s">
        <v>469</v>
      </c>
      <c r="I394" s="2" t="str">
        <f>"02-27478266"</f>
        <v>02-27478266</v>
      </c>
      <c r="J394" s="2" t="str">
        <f>"自105年05月14日至105年06月10日止"</f>
        <v>自105年05月14日至105年06月10日止</v>
      </c>
      <c r="K394" s="2" t="str">
        <f>"台灣集中保管結算所股份有限公司"</f>
        <v>台灣集中保管結算所股份有限公司</v>
      </c>
      <c r="L394" s="2" t="str">
        <f>"http://www.stockvote.com.tw"</f>
        <v>http://www.stockvote.com.tw</v>
      </c>
      <c r="M394" s="2" t="str">
        <f>"強制"</f>
        <v>強制</v>
      </c>
      <c r="N394" s="2"/>
      <c r="O394" s="2"/>
      <c r="P394" s="2"/>
      <c r="Q394" s="2"/>
    </row>
    <row r="395" spans="1:17" x14ac:dyDescent="0.3">
      <c r="A395" s="2" t="str">
        <f>"2480"</f>
        <v>2480</v>
      </c>
      <c r="B395" s="2" t="s">
        <v>1358</v>
      </c>
      <c r="C395" s="2" t="s">
        <v>1359</v>
      </c>
      <c r="D395" s="2" t="s">
        <v>6037</v>
      </c>
      <c r="E395" s="2" t="s">
        <v>1360</v>
      </c>
      <c r="F395" s="2" t="s">
        <v>41</v>
      </c>
      <c r="G395" s="2" t="str">
        <f>"03-5425566"</f>
        <v>03-5425566</v>
      </c>
      <c r="H395" s="2" t="s">
        <v>582</v>
      </c>
      <c r="I395" s="2" t="str">
        <f>"02-25865859"</f>
        <v>02-25865859</v>
      </c>
      <c r="J395" s="2" t="str">
        <f>"--"</f>
        <v>--</v>
      </c>
      <c r="K395" s="2" t="str">
        <f>"--"</f>
        <v>--</v>
      </c>
      <c r="L395" s="2" t="str">
        <f>"--"</f>
        <v>--</v>
      </c>
      <c r="M395" s="2" t="str">
        <f>"否"</f>
        <v>否</v>
      </c>
      <c r="N395" s="2"/>
      <c r="O395" s="2"/>
      <c r="P395" s="2"/>
      <c r="Q395" s="2"/>
    </row>
    <row r="396" spans="1:17" x14ac:dyDescent="0.3">
      <c r="A396" s="2" t="str">
        <f>"2481"</f>
        <v>2481</v>
      </c>
      <c r="B396" s="2" t="s">
        <v>160</v>
      </c>
      <c r="C396" s="2" t="s">
        <v>1361</v>
      </c>
      <c r="D396" s="2" t="s">
        <v>6028</v>
      </c>
      <c r="E396" s="2" t="s">
        <v>1362</v>
      </c>
      <c r="F396" s="2" t="s">
        <v>2</v>
      </c>
      <c r="G396" s="2" t="str">
        <f>"07-6213121"</f>
        <v>07-6213121</v>
      </c>
      <c r="H396" s="2" t="s">
        <v>6006</v>
      </c>
      <c r="I396" s="2" t="str">
        <f>"02-25865859"</f>
        <v>02-25865859</v>
      </c>
      <c r="J396" s="2" t="str">
        <f>"自105年05月17日至105年06月13日止"</f>
        <v>自105年05月17日至105年06月13日止</v>
      </c>
      <c r="K396" s="2" t="str">
        <f>"台灣集中保管結算所股份有限公司"</f>
        <v>台灣集中保管結算所股份有限公司</v>
      </c>
      <c r="L396" s="2" t="str">
        <f>"http://www.stockvote.com.tw"</f>
        <v>http://www.stockvote.com.tw</v>
      </c>
      <c r="M396" s="2" t="str">
        <f>"--"</f>
        <v>--</v>
      </c>
      <c r="N396" s="2"/>
      <c r="O396" s="2"/>
      <c r="P396" s="2"/>
      <c r="Q396" s="2"/>
    </row>
    <row r="397" spans="1:17" x14ac:dyDescent="0.3">
      <c r="A397" s="2" t="str">
        <f>"2482"</f>
        <v>2482</v>
      </c>
      <c r="B397" s="2" t="s">
        <v>1363</v>
      </c>
      <c r="C397" s="2" t="s">
        <v>1364</v>
      </c>
      <c r="D397" s="2" t="s">
        <v>6025</v>
      </c>
      <c r="E397" s="2" t="s">
        <v>1365</v>
      </c>
      <c r="F397" s="2" t="s">
        <v>2</v>
      </c>
      <c r="G397" s="2" t="str">
        <f>"2268-7075"</f>
        <v>2268-7075</v>
      </c>
      <c r="H397" s="2" t="s">
        <v>424</v>
      </c>
      <c r="I397" s="2" t="str">
        <f>"2586-5859"</f>
        <v>2586-5859</v>
      </c>
      <c r="J397" s="2" t="str">
        <f t="shared" ref="J397:L399" si="55">"--"</f>
        <v>--</v>
      </c>
      <c r="K397" s="2" t="str">
        <f t="shared" si="55"/>
        <v>--</v>
      </c>
      <c r="L397" s="2" t="str">
        <f t="shared" si="55"/>
        <v>--</v>
      </c>
      <c r="M397" s="2" t="str">
        <f>"否"</f>
        <v>否</v>
      </c>
      <c r="N397" s="2"/>
      <c r="O397" s="2"/>
      <c r="P397" s="2"/>
      <c r="Q397" s="2"/>
    </row>
    <row r="398" spans="1:17" x14ac:dyDescent="0.3">
      <c r="A398" s="2" t="str">
        <f>"2483"</f>
        <v>2483</v>
      </c>
      <c r="B398" s="2" t="s">
        <v>1366</v>
      </c>
      <c r="C398" s="2" t="s">
        <v>6190</v>
      </c>
      <c r="D398" s="2" t="s">
        <v>6025</v>
      </c>
      <c r="E398" s="2" t="s">
        <v>6191</v>
      </c>
      <c r="F398" s="2" t="s">
        <v>41</v>
      </c>
      <c r="G398" s="2" t="str">
        <f>"04-23598668"</f>
        <v>04-23598668</v>
      </c>
      <c r="H398" s="2" t="s">
        <v>465</v>
      </c>
      <c r="I398" s="2" t="str">
        <f>"02-23816288"</f>
        <v>02-23816288</v>
      </c>
      <c r="J398" s="2" t="str">
        <f t="shared" si="55"/>
        <v>--</v>
      </c>
      <c r="K398" s="2" t="str">
        <f t="shared" si="55"/>
        <v>--</v>
      </c>
      <c r="L398" s="2" t="str">
        <f t="shared" si="55"/>
        <v>--</v>
      </c>
      <c r="M398" s="2" t="str">
        <f>"否"</f>
        <v>否</v>
      </c>
      <c r="N398" s="2"/>
      <c r="O398" s="2"/>
      <c r="P398" s="2"/>
      <c r="Q398" s="2"/>
    </row>
    <row r="399" spans="1:17" x14ac:dyDescent="0.3">
      <c r="A399" s="2" t="str">
        <f>"2484"</f>
        <v>2484</v>
      </c>
      <c r="B399" s="2" t="s">
        <v>349</v>
      </c>
      <c r="C399" s="2" t="s">
        <v>1367</v>
      </c>
      <c r="D399" s="2" t="s">
        <v>5999</v>
      </c>
      <c r="E399" s="2" t="s">
        <v>6192</v>
      </c>
      <c r="F399" s="2" t="s">
        <v>2</v>
      </c>
      <c r="G399" s="2" t="str">
        <f>"04-25347909"</f>
        <v>04-25347909</v>
      </c>
      <c r="H399" s="2" t="s">
        <v>469</v>
      </c>
      <c r="I399" s="2" t="str">
        <f>"02-27463797"</f>
        <v>02-27463797</v>
      </c>
      <c r="J399" s="2" t="str">
        <f t="shared" si="55"/>
        <v>--</v>
      </c>
      <c r="K399" s="2" t="str">
        <f t="shared" si="55"/>
        <v>--</v>
      </c>
      <c r="L399" s="2" t="str">
        <f t="shared" si="55"/>
        <v>--</v>
      </c>
      <c r="M399" s="2" t="str">
        <f>"--"</f>
        <v>--</v>
      </c>
      <c r="N399" s="2"/>
      <c r="O399" s="2"/>
      <c r="P399" s="2"/>
      <c r="Q399" s="2"/>
    </row>
    <row r="400" spans="1:17" x14ac:dyDescent="0.3">
      <c r="A400" s="2" t="str">
        <f>"2485"</f>
        <v>2485</v>
      </c>
      <c r="B400" s="2" t="s">
        <v>1368</v>
      </c>
      <c r="C400" s="2" t="s">
        <v>1369</v>
      </c>
      <c r="D400" s="2" t="s">
        <v>6016</v>
      </c>
      <c r="E400" s="2" t="s">
        <v>1370</v>
      </c>
      <c r="F400" s="2" t="s">
        <v>41</v>
      </c>
      <c r="G400" s="2" t="str">
        <f>"(02)2225-1929"</f>
        <v>(02)2225-1929</v>
      </c>
      <c r="H400" s="2" t="s">
        <v>6006</v>
      </c>
      <c r="I400" s="2" t="str">
        <f>"(02)2586-5859"</f>
        <v>(02)2586-5859</v>
      </c>
      <c r="J400" s="2" t="str">
        <f>"自105年05月14日至105年06月11日止"</f>
        <v>自105年05月14日至105年06月11日止</v>
      </c>
      <c r="K400" s="2" t="str">
        <f>"台灣集中保管結算所股份有限公司"</f>
        <v>台灣集中保管結算所股份有限公司</v>
      </c>
      <c r="L400" s="2" t="str">
        <f>"http://www.stockvote.com.tw"</f>
        <v>http://www.stockvote.com.tw</v>
      </c>
      <c r="M400" s="2" t="str">
        <f>"--"</f>
        <v>--</v>
      </c>
      <c r="N400" s="2"/>
      <c r="O400" s="2"/>
      <c r="P400" s="2"/>
      <c r="Q400" s="2"/>
    </row>
    <row r="401" spans="1:17" x14ac:dyDescent="0.3">
      <c r="A401" s="2" t="str">
        <f>"2486"</f>
        <v>2486</v>
      </c>
      <c r="B401" s="2" t="s">
        <v>1371</v>
      </c>
      <c r="C401" s="2" t="s">
        <v>1372</v>
      </c>
      <c r="D401" s="2" t="s">
        <v>6004</v>
      </c>
      <c r="E401" s="2" t="s">
        <v>1373</v>
      </c>
      <c r="F401" s="2" t="s">
        <v>2</v>
      </c>
      <c r="G401" s="2" t="str">
        <f>"2299-0001"</f>
        <v>2299-0001</v>
      </c>
      <c r="H401" s="2" t="s">
        <v>631</v>
      </c>
      <c r="I401" s="2" t="str">
        <f>"2541-9977"</f>
        <v>2541-9977</v>
      </c>
      <c r="J401" s="2" t="str">
        <f>"自105年05月18日至105年06月14日止"</f>
        <v>自105年05月18日至105年06月14日止</v>
      </c>
      <c r="K401" s="2" t="str">
        <f>"台灣集中保管結算所股份有限公司"</f>
        <v>台灣集中保管結算所股份有限公司</v>
      </c>
      <c r="L401" s="2" t="str">
        <f>"http://www.stockvote.com.tw"</f>
        <v>http://www.stockvote.com.tw</v>
      </c>
      <c r="M401" s="2" t="str">
        <f>"--"</f>
        <v>--</v>
      </c>
      <c r="N401" s="2"/>
      <c r="O401" s="2"/>
      <c r="P401" s="2"/>
      <c r="Q401" s="2"/>
    </row>
    <row r="402" spans="1:17" x14ac:dyDescent="0.3">
      <c r="A402" s="2" t="str">
        <f>"2488"</f>
        <v>2488</v>
      </c>
      <c r="B402" s="2" t="s">
        <v>1374</v>
      </c>
      <c r="C402" s="2" t="s">
        <v>1375</v>
      </c>
      <c r="D402" s="2" t="s">
        <v>5999</v>
      </c>
      <c r="E402" s="2" t="s">
        <v>1376</v>
      </c>
      <c r="F402" s="2" t="s">
        <v>2</v>
      </c>
      <c r="G402" s="2" t="str">
        <f>"(06)2791717"</f>
        <v>(06)2791717</v>
      </c>
      <c r="H402" s="2" t="s">
        <v>404</v>
      </c>
      <c r="I402" s="2" t="str">
        <f>"(02)6636-5566"</f>
        <v>(02)6636-5566</v>
      </c>
      <c r="J402" s="2" t="str">
        <f>"--"</f>
        <v>--</v>
      </c>
      <c r="K402" s="2" t="str">
        <f>"--"</f>
        <v>--</v>
      </c>
      <c r="L402" s="2" t="str">
        <f>"--"</f>
        <v>--</v>
      </c>
      <c r="M402" s="2" t="str">
        <f>"--"</f>
        <v>--</v>
      </c>
      <c r="N402" s="2"/>
      <c r="O402" s="2"/>
      <c r="P402" s="2"/>
      <c r="Q402" s="2"/>
    </row>
    <row r="403" spans="1:17" x14ac:dyDescent="0.3">
      <c r="A403" s="2" t="str">
        <f>"2489"</f>
        <v>2489</v>
      </c>
      <c r="B403" s="2" t="s">
        <v>153</v>
      </c>
      <c r="C403" s="2" t="s">
        <v>1377</v>
      </c>
      <c r="D403" s="2" t="s">
        <v>6024</v>
      </c>
      <c r="E403" s="2" t="s">
        <v>1378</v>
      </c>
      <c r="F403" s="2" t="s">
        <v>2</v>
      </c>
      <c r="G403" s="2" t="str">
        <f>"(02)8228-0505"</f>
        <v>(02)8228-0505</v>
      </c>
      <c r="H403" s="2" t="s">
        <v>1251</v>
      </c>
      <c r="I403" s="2" t="str">
        <f>"(02)2371-1658"</f>
        <v>(02)2371-1658</v>
      </c>
      <c r="J403" s="2" t="str">
        <f>"自105年05月07日至105年06月04日止"</f>
        <v>自105年05月07日至105年06月04日止</v>
      </c>
      <c r="K403" s="2" t="str">
        <f>"台灣集中保管結算所股份有限公司"</f>
        <v>台灣集中保管結算所股份有限公司</v>
      </c>
      <c r="L403" s="2" t="str">
        <f>"http://www.stockvote.com.tw"</f>
        <v>http://www.stockvote.com.tw</v>
      </c>
      <c r="M403" s="2" t="str">
        <f>"強制"</f>
        <v>強制</v>
      </c>
      <c r="N403" s="2"/>
      <c r="O403" s="2"/>
      <c r="P403" s="2"/>
      <c r="Q403" s="2"/>
    </row>
    <row r="404" spans="1:17" x14ac:dyDescent="0.3">
      <c r="A404" s="2" t="str">
        <f>"2491"</f>
        <v>2491</v>
      </c>
      <c r="B404" s="2" t="s">
        <v>1379</v>
      </c>
      <c r="C404" s="2" t="s">
        <v>1380</v>
      </c>
      <c r="D404" s="2" t="s">
        <v>6025</v>
      </c>
      <c r="E404" s="2" t="s">
        <v>1381</v>
      </c>
      <c r="F404" s="2" t="s">
        <v>41</v>
      </c>
      <c r="G404" s="2" t="str">
        <f>"(02)8911-2000"</f>
        <v>(02)8911-2000</v>
      </c>
      <c r="H404" s="2" t="s">
        <v>451</v>
      </c>
      <c r="I404" s="2" t="str">
        <f>"(02)2314-8800"</f>
        <v>(02)2314-8800</v>
      </c>
      <c r="J404" s="2" t="str">
        <f>"--"</f>
        <v>--</v>
      </c>
      <c r="K404" s="2" t="str">
        <f>"--"</f>
        <v>--</v>
      </c>
      <c r="L404" s="2" t="str">
        <f>"--"</f>
        <v>--</v>
      </c>
      <c r="M404" s="2" t="str">
        <f>"否"</f>
        <v>否</v>
      </c>
      <c r="N404" s="2"/>
      <c r="O404" s="2"/>
      <c r="P404" s="2"/>
      <c r="Q404" s="2"/>
    </row>
    <row r="405" spans="1:17" x14ac:dyDescent="0.3">
      <c r="A405" s="2" t="str">
        <f>"2492"</f>
        <v>2492</v>
      </c>
      <c r="B405" s="2" t="s">
        <v>143</v>
      </c>
      <c r="C405" s="2" t="s">
        <v>1382</v>
      </c>
      <c r="D405" s="2" t="s">
        <v>5999</v>
      </c>
      <c r="E405" s="2" t="s">
        <v>1383</v>
      </c>
      <c r="F405" s="2" t="s">
        <v>41</v>
      </c>
      <c r="G405" s="2" t="str">
        <f>"(03)475-8711"</f>
        <v>(03)475-8711</v>
      </c>
      <c r="H405" s="2" t="s">
        <v>1384</v>
      </c>
      <c r="I405" s="2" t="str">
        <f>"(02)2790-5885"</f>
        <v>(02)2790-5885</v>
      </c>
      <c r="J405" s="2" t="str">
        <f>"自105年05月23日至105年06月19日止"</f>
        <v>自105年05月23日至105年06月19日止</v>
      </c>
      <c r="K405" s="2" t="str">
        <f>"台灣集中保管結算所股份有限公司"</f>
        <v>台灣集中保管結算所股份有限公司</v>
      </c>
      <c r="L405" s="2" t="str">
        <f>"http://www.stockvote.com.tw"</f>
        <v>http://www.stockvote.com.tw</v>
      </c>
      <c r="M405" s="2" t="str">
        <f>"強制"</f>
        <v>強制</v>
      </c>
      <c r="N405" s="2"/>
      <c r="O405" s="2"/>
      <c r="P405" s="2"/>
      <c r="Q405" s="2"/>
    </row>
    <row r="406" spans="1:17" x14ac:dyDescent="0.3">
      <c r="A406" s="2" t="str">
        <f>"2493"</f>
        <v>2493</v>
      </c>
      <c r="B406" s="2" t="s">
        <v>1385</v>
      </c>
      <c r="C406" s="2" t="s">
        <v>1386</v>
      </c>
      <c r="D406" s="2" t="s">
        <v>6004</v>
      </c>
      <c r="E406" s="2" t="s">
        <v>1387</v>
      </c>
      <c r="F406" s="2" t="s">
        <v>41</v>
      </c>
      <c r="G406" s="2" t="str">
        <f>"(02)2726-2220"</f>
        <v>(02)2726-2220</v>
      </c>
      <c r="H406" s="2" t="s">
        <v>404</v>
      </c>
      <c r="I406" s="2" t="str">
        <f>"(02)6636-5566"</f>
        <v>(02)6636-5566</v>
      </c>
      <c r="J406" s="2" t="str">
        <f>"--"</f>
        <v>--</v>
      </c>
      <c r="K406" s="2" t="str">
        <f>"--"</f>
        <v>--</v>
      </c>
      <c r="L406" s="2" t="str">
        <f>"--"</f>
        <v>--</v>
      </c>
      <c r="M406" s="2" t="str">
        <f>"否"</f>
        <v>否</v>
      </c>
      <c r="N406" s="2"/>
      <c r="O406" s="2"/>
      <c r="P406" s="2"/>
      <c r="Q406" s="2"/>
    </row>
    <row r="407" spans="1:17" x14ac:dyDescent="0.3">
      <c r="A407" s="2" t="str">
        <f>"2495"</f>
        <v>2495</v>
      </c>
      <c r="B407" s="2" t="s">
        <v>1388</v>
      </c>
      <c r="C407" s="2" t="s">
        <v>1389</v>
      </c>
      <c r="D407" s="2" t="s">
        <v>6025</v>
      </c>
      <c r="E407" s="2" t="s">
        <v>1390</v>
      </c>
      <c r="F407" s="2" t="s">
        <v>2</v>
      </c>
      <c r="G407" s="2" t="str">
        <f>"2226-0126"</f>
        <v>2226-0126</v>
      </c>
      <c r="H407" s="2" t="s">
        <v>585</v>
      </c>
      <c r="I407" s="2" t="str">
        <f>"(02)2586-5859"</f>
        <v>(02)2586-5859</v>
      </c>
      <c r="J407" s="2" t="str">
        <f>"自105年05月07日至105年06月05日止"</f>
        <v>自105年05月07日至105年06月05日止</v>
      </c>
      <c r="K407" s="2" t="str">
        <f>"台灣集中保管結算所股份有限公司"</f>
        <v>台灣集中保管結算所股份有限公司</v>
      </c>
      <c r="L407" s="2" t="str">
        <f>"http://www.stockvote.com.tw"</f>
        <v>http://www.stockvote.com.tw</v>
      </c>
      <c r="M407" s="2" t="str">
        <f>"強制"</f>
        <v>強制</v>
      </c>
      <c r="N407" s="2"/>
      <c r="O407" s="2"/>
      <c r="P407" s="2"/>
      <c r="Q407" s="2"/>
    </row>
    <row r="408" spans="1:17" x14ac:dyDescent="0.3">
      <c r="A408" s="2" t="str">
        <f>"2496"</f>
        <v>2496</v>
      </c>
      <c r="B408" s="2" t="s">
        <v>1391</v>
      </c>
      <c r="C408" s="2" t="s">
        <v>6193</v>
      </c>
      <c r="D408" s="2" t="s">
        <v>6194</v>
      </c>
      <c r="E408" s="2" t="s">
        <v>6193</v>
      </c>
      <c r="F408" s="2" t="s">
        <v>41</v>
      </c>
      <c r="G408" s="2" t="str">
        <f>"037-586999"</f>
        <v>037-586999</v>
      </c>
      <c r="H408" s="2" t="s">
        <v>6195</v>
      </c>
      <c r="I408" s="2" t="str">
        <f>"(02)6636-5566"</f>
        <v>(02)6636-5566</v>
      </c>
      <c r="J408" s="2" t="str">
        <f t="shared" ref="J408:L409" si="56">"--"</f>
        <v>--</v>
      </c>
      <c r="K408" s="2" t="str">
        <f t="shared" si="56"/>
        <v>--</v>
      </c>
      <c r="L408" s="2" t="str">
        <f t="shared" si="56"/>
        <v>--</v>
      </c>
      <c r="M408" s="2" t="str">
        <f>"否"</f>
        <v>否</v>
      </c>
      <c r="N408" s="2"/>
      <c r="O408" s="2"/>
      <c r="P408" s="2"/>
      <c r="Q408" s="2"/>
    </row>
    <row r="409" spans="1:17" x14ac:dyDescent="0.3">
      <c r="A409" s="2" t="str">
        <f>"2497"</f>
        <v>2497</v>
      </c>
      <c r="B409" s="2" t="s">
        <v>1392</v>
      </c>
      <c r="C409" s="2" t="s">
        <v>1393</v>
      </c>
      <c r="D409" s="2" t="s">
        <v>6025</v>
      </c>
      <c r="E409" s="2" t="s">
        <v>1394</v>
      </c>
      <c r="F409" s="2" t="s">
        <v>41</v>
      </c>
      <c r="G409" s="2" t="str">
        <f>"04-7977277"</f>
        <v>04-7977277</v>
      </c>
      <c r="H409" s="2" t="s">
        <v>675</v>
      </c>
      <c r="I409" s="2" t="str">
        <f>"02-2586-5859"</f>
        <v>02-2586-5859</v>
      </c>
      <c r="J409" s="2" t="str">
        <f t="shared" si="56"/>
        <v>--</v>
      </c>
      <c r="K409" s="2" t="str">
        <f t="shared" si="56"/>
        <v>--</v>
      </c>
      <c r="L409" s="2" t="str">
        <f t="shared" si="56"/>
        <v>--</v>
      </c>
      <c r="M409" s="2" t="str">
        <f>"否"</f>
        <v>否</v>
      </c>
      <c r="N409" s="2"/>
      <c r="O409" s="2"/>
      <c r="P409" s="2"/>
      <c r="Q409" s="2"/>
    </row>
    <row r="410" spans="1:17" x14ac:dyDescent="0.3">
      <c r="A410" s="2" t="str">
        <f>"2498"</f>
        <v>2498</v>
      </c>
      <c r="B410" s="2" t="s">
        <v>67</v>
      </c>
      <c r="C410" s="2" t="s">
        <v>1395</v>
      </c>
      <c r="D410" s="2" t="s">
        <v>6010</v>
      </c>
      <c r="E410" s="2" t="s">
        <v>6196</v>
      </c>
      <c r="F410" s="2" t="s">
        <v>41</v>
      </c>
      <c r="G410" s="2" t="str">
        <f>"(03)375-3252"</f>
        <v>(03)375-3252</v>
      </c>
      <c r="H410" s="2" t="s">
        <v>404</v>
      </c>
      <c r="I410" s="2" t="str">
        <f>"(02)6636-5566"</f>
        <v>(02)6636-5566</v>
      </c>
      <c r="J410" s="2" t="str">
        <f>"自105年05月25日至105年06月21日止"</f>
        <v>自105年05月25日至105年06月21日止</v>
      </c>
      <c r="K410" s="2" t="str">
        <f t="shared" ref="K410:K415" si="57">"台灣集中保管結算所股份有限公司"</f>
        <v>台灣集中保管結算所股份有限公司</v>
      </c>
      <c r="L410" s="2" t="str">
        <f t="shared" ref="L410:L415" si="58">"http://www.stockvote.com.tw"</f>
        <v>http://www.stockvote.com.tw</v>
      </c>
      <c r="M410" s="2" t="str">
        <f>"--"</f>
        <v>--</v>
      </c>
      <c r="N410" s="2"/>
      <c r="O410" s="2"/>
      <c r="P410" s="2"/>
      <c r="Q410" s="2"/>
    </row>
    <row r="411" spans="1:17" x14ac:dyDescent="0.3">
      <c r="A411" s="2" t="str">
        <f>"2499"</f>
        <v>2499</v>
      </c>
      <c r="B411" s="2" t="s">
        <v>1396</v>
      </c>
      <c r="C411" s="2" t="s">
        <v>1397</v>
      </c>
      <c r="D411" s="2" t="s">
        <v>6021</v>
      </c>
      <c r="E411" s="2" t="s">
        <v>6197</v>
      </c>
      <c r="F411" s="2" t="s">
        <v>41</v>
      </c>
      <c r="G411" s="2" t="str">
        <f>"(02)2999-3988"</f>
        <v>(02)2999-3988</v>
      </c>
      <c r="H411" s="2" t="s">
        <v>644</v>
      </c>
      <c r="I411" s="2" t="str">
        <f>"(02)2361-1300"</f>
        <v>(02)2361-1300</v>
      </c>
      <c r="J411" s="2" t="str">
        <f>"自105年05月14日至105年06月10日止"</f>
        <v>自105年05月14日至105年06月10日止</v>
      </c>
      <c r="K411" s="2" t="str">
        <f t="shared" si="57"/>
        <v>台灣集中保管結算所股份有限公司</v>
      </c>
      <c r="L411" s="2" t="str">
        <f t="shared" si="58"/>
        <v>http://www.stockvote.com.tw</v>
      </c>
      <c r="M411" s="2" t="str">
        <f>"--"</f>
        <v>--</v>
      </c>
      <c r="N411" s="2"/>
      <c r="O411" s="2"/>
      <c r="P411" s="2"/>
      <c r="Q411" s="2"/>
    </row>
    <row r="412" spans="1:17" x14ac:dyDescent="0.3">
      <c r="A412" s="2" t="str">
        <f>"2501"</f>
        <v>2501</v>
      </c>
      <c r="B412" s="2" t="s">
        <v>1398</v>
      </c>
      <c r="C412" s="2" t="s">
        <v>1399</v>
      </c>
      <c r="D412" s="2" t="s">
        <v>6025</v>
      </c>
      <c r="E412" s="2" t="s">
        <v>1400</v>
      </c>
      <c r="F412" s="2" t="s">
        <v>2</v>
      </c>
      <c r="G412" s="2" t="str">
        <f>"23779968"</f>
        <v>23779968</v>
      </c>
      <c r="H412" s="2" t="s">
        <v>6198</v>
      </c>
      <c r="I412" s="2" t="str">
        <f>"02-23779968"</f>
        <v>02-23779968</v>
      </c>
      <c r="J412" s="2" t="str">
        <f>"自105年05月07日至105年06月05日止"</f>
        <v>自105年05月07日至105年06月05日止</v>
      </c>
      <c r="K412" s="2" t="str">
        <f t="shared" si="57"/>
        <v>台灣集中保管結算所股份有限公司</v>
      </c>
      <c r="L412" s="2" t="str">
        <f t="shared" si="58"/>
        <v>http://www.stockvote.com.tw</v>
      </c>
      <c r="M412" s="2" t="str">
        <f>"強制"</f>
        <v>強制</v>
      </c>
      <c r="N412" s="2"/>
      <c r="O412" s="2"/>
      <c r="P412" s="2"/>
      <c r="Q412" s="2"/>
    </row>
    <row r="413" spans="1:17" x14ac:dyDescent="0.3">
      <c r="A413" s="2" t="str">
        <f>"2504"</f>
        <v>2504</v>
      </c>
      <c r="B413" s="2" t="s">
        <v>142</v>
      </c>
      <c r="C413" s="2" t="s">
        <v>1401</v>
      </c>
      <c r="D413" s="2" t="s">
        <v>6021</v>
      </c>
      <c r="E413" s="2" t="s">
        <v>1402</v>
      </c>
      <c r="F413" s="2" t="s">
        <v>41</v>
      </c>
      <c r="G413" s="2" t="str">
        <f>"87928088"</f>
        <v>87928088</v>
      </c>
      <c r="H413" s="2" t="s">
        <v>6006</v>
      </c>
      <c r="I413" s="2" t="str">
        <f>"02-25865859"</f>
        <v>02-25865859</v>
      </c>
      <c r="J413" s="2" t="str">
        <f>"自105年05月14日至105年06月10日止"</f>
        <v>自105年05月14日至105年06月10日止</v>
      </c>
      <c r="K413" s="2" t="str">
        <f t="shared" si="57"/>
        <v>台灣集中保管結算所股份有限公司</v>
      </c>
      <c r="L413" s="2" t="str">
        <f t="shared" si="58"/>
        <v>http://www.stockvote.com.tw</v>
      </c>
      <c r="M413" s="2" t="str">
        <f>"--"</f>
        <v>--</v>
      </c>
      <c r="N413" s="2"/>
      <c r="O413" s="2"/>
      <c r="P413" s="2"/>
      <c r="Q413" s="2"/>
    </row>
    <row r="414" spans="1:17" x14ac:dyDescent="0.3">
      <c r="A414" s="2" t="str">
        <f>"2505"</f>
        <v>2505</v>
      </c>
      <c r="B414" s="2" t="s">
        <v>1403</v>
      </c>
      <c r="C414" s="2" t="s">
        <v>1404</v>
      </c>
      <c r="D414" s="2" t="s">
        <v>6024</v>
      </c>
      <c r="E414" s="2" t="s">
        <v>1405</v>
      </c>
      <c r="F414" s="2" t="s">
        <v>2</v>
      </c>
      <c r="G414" s="2" t="str">
        <f>"25000808"</f>
        <v>25000808</v>
      </c>
      <c r="H414" s="2" t="s">
        <v>1406</v>
      </c>
      <c r="I414" s="2" t="str">
        <f>"(02)2371-1658"</f>
        <v>(02)2371-1658</v>
      </c>
      <c r="J414" s="2" t="str">
        <f>"自105年05月07日至105年06月04日止"</f>
        <v>自105年05月07日至105年06月04日止</v>
      </c>
      <c r="K414" s="2" t="str">
        <f t="shared" si="57"/>
        <v>台灣集中保管結算所股份有限公司</v>
      </c>
      <c r="L414" s="2" t="str">
        <f t="shared" si="58"/>
        <v>http://www.stockvote.com.tw</v>
      </c>
      <c r="M414" s="2" t="str">
        <f>"強制"</f>
        <v>強制</v>
      </c>
      <c r="N414" s="2"/>
      <c r="O414" s="2"/>
      <c r="P414" s="2"/>
      <c r="Q414" s="2"/>
    </row>
    <row r="415" spans="1:17" x14ac:dyDescent="0.3">
      <c r="A415" s="2" t="str">
        <f>"2506"</f>
        <v>2506</v>
      </c>
      <c r="B415" s="2" t="s">
        <v>227</v>
      </c>
      <c r="C415" s="2" t="s">
        <v>1407</v>
      </c>
      <c r="D415" s="2" t="s">
        <v>6028</v>
      </c>
      <c r="E415" s="2" t="s">
        <v>1408</v>
      </c>
      <c r="F415" s="2" t="s">
        <v>41</v>
      </c>
      <c r="G415" s="2" t="str">
        <f>"02-27510051"</f>
        <v>02-27510051</v>
      </c>
      <c r="H415" s="2" t="s">
        <v>1409</v>
      </c>
      <c r="I415" s="2" t="str">
        <f>"02-27717953"</f>
        <v>02-27717953</v>
      </c>
      <c r="J415" s="2" t="str">
        <f>"自105年05月17日至105年06月13日止"</f>
        <v>自105年05月17日至105年06月13日止</v>
      </c>
      <c r="K415" s="2" t="str">
        <f t="shared" si="57"/>
        <v>台灣集中保管結算所股份有限公司</v>
      </c>
      <c r="L415" s="2" t="str">
        <f t="shared" si="58"/>
        <v>http://www.stockvote.com.tw</v>
      </c>
      <c r="M415" s="2" t="str">
        <f>"強制"</f>
        <v>強制</v>
      </c>
      <c r="N415" s="2"/>
      <c r="O415" s="2"/>
      <c r="P415" s="2"/>
      <c r="Q415" s="2"/>
    </row>
    <row r="416" spans="1:17" x14ac:dyDescent="0.3">
      <c r="A416" s="2" t="str">
        <f>"2509"</f>
        <v>2509</v>
      </c>
      <c r="B416" s="2" t="s">
        <v>1410</v>
      </c>
      <c r="C416" s="2" t="s">
        <v>1411</v>
      </c>
      <c r="D416" s="2" t="s">
        <v>6007</v>
      </c>
      <c r="E416" s="2" t="s">
        <v>1412</v>
      </c>
      <c r="F416" s="2" t="s">
        <v>2</v>
      </c>
      <c r="G416" s="2" t="str">
        <f>"02-87918888"</f>
        <v>02-87918888</v>
      </c>
      <c r="H416" s="2" t="s">
        <v>411</v>
      </c>
      <c r="I416" s="2" t="str">
        <f>"02-27035000"</f>
        <v>02-27035000</v>
      </c>
      <c r="J416" s="2" t="str">
        <f>"--"</f>
        <v>--</v>
      </c>
      <c r="K416" s="2" t="str">
        <f>"--"</f>
        <v>--</v>
      </c>
      <c r="L416" s="2" t="str">
        <f>"--"</f>
        <v>--</v>
      </c>
      <c r="M416" s="2" t="str">
        <f>"--"</f>
        <v>--</v>
      </c>
      <c r="N416" s="2"/>
      <c r="O416" s="2"/>
      <c r="P416" s="2"/>
      <c r="Q416" s="2"/>
    </row>
    <row r="417" spans="1:17" x14ac:dyDescent="0.3">
      <c r="A417" s="2" t="str">
        <f>"2511"</f>
        <v>2511</v>
      </c>
      <c r="B417" s="2" t="s">
        <v>165</v>
      </c>
      <c r="C417" s="2" t="s">
        <v>6199</v>
      </c>
      <c r="D417" s="2" t="s">
        <v>6000</v>
      </c>
      <c r="E417" s="2" t="s">
        <v>596</v>
      </c>
      <c r="F417" s="2" t="s">
        <v>41</v>
      </c>
      <c r="G417" s="2" t="str">
        <f>"(06)282-1155"</f>
        <v>(06)282-1155</v>
      </c>
      <c r="H417" s="2" t="s">
        <v>469</v>
      </c>
      <c r="I417" s="2" t="str">
        <f>"(02)2747-8266"</f>
        <v>(02)2747-8266</v>
      </c>
      <c r="J417" s="2" t="str">
        <f>"自105年05月21日至105年06月18日止"</f>
        <v>自105年05月21日至105年06月18日止</v>
      </c>
      <c r="K417" s="2" t="str">
        <f t="shared" ref="K417:K422" si="59">"台灣集中保管結算所股份有限公司"</f>
        <v>台灣集中保管結算所股份有限公司</v>
      </c>
      <c r="L417" s="2" t="str">
        <f t="shared" ref="L417:L422" si="60">"http://www.stockvote.com.tw"</f>
        <v>http://www.stockvote.com.tw</v>
      </c>
      <c r="M417" s="2" t="str">
        <f>"強制"</f>
        <v>強制</v>
      </c>
      <c r="N417" s="2"/>
      <c r="O417" s="2"/>
      <c r="P417" s="2"/>
      <c r="Q417" s="2"/>
    </row>
    <row r="418" spans="1:17" x14ac:dyDescent="0.3">
      <c r="A418" s="2" t="str">
        <f>"2514"</f>
        <v>2514</v>
      </c>
      <c r="B418" s="2" t="s">
        <v>1413</v>
      </c>
      <c r="C418" s="2" t="s">
        <v>6200</v>
      </c>
      <c r="D418" s="2" t="s">
        <v>6201</v>
      </c>
      <c r="E418" s="2" t="s">
        <v>6202</v>
      </c>
      <c r="F418" s="2" t="s">
        <v>41</v>
      </c>
      <c r="G418" s="2" t="str">
        <f>"(02)23756595"</f>
        <v>(02)23756595</v>
      </c>
      <c r="H418" s="2" t="s">
        <v>539</v>
      </c>
      <c r="I418" s="2" t="str">
        <f>"(02)25865859"</f>
        <v>(02)25865859</v>
      </c>
      <c r="J418" s="2" t="str">
        <f>"自105年04月13日至105年05月10日止"</f>
        <v>自105年04月13日至105年05月10日止</v>
      </c>
      <c r="K418" s="2" t="str">
        <f t="shared" si="59"/>
        <v>台灣集中保管結算所股份有限公司</v>
      </c>
      <c r="L418" s="2" t="str">
        <f t="shared" si="60"/>
        <v>http://www.stockvote.com.tw</v>
      </c>
      <c r="M418" s="2" t="str">
        <f>"強制"</f>
        <v>強制</v>
      </c>
      <c r="N418" s="2"/>
      <c r="O418" s="2"/>
      <c r="P418" s="2"/>
      <c r="Q418" s="2"/>
    </row>
    <row r="419" spans="1:17" x14ac:dyDescent="0.3">
      <c r="A419" s="2" t="str">
        <f>"2515"</f>
        <v>2515</v>
      </c>
      <c r="B419" s="2" t="s">
        <v>232</v>
      </c>
      <c r="C419" s="2" t="s">
        <v>1414</v>
      </c>
      <c r="D419" s="2" t="s">
        <v>6004</v>
      </c>
      <c r="E419" s="2" t="s">
        <v>6203</v>
      </c>
      <c r="F419" s="2" t="s">
        <v>2</v>
      </c>
      <c r="G419" s="2" t="str">
        <f>"02-87876687"</f>
        <v>02-87876687</v>
      </c>
      <c r="H419" s="2" t="s">
        <v>1415</v>
      </c>
      <c r="I419" s="2" t="str">
        <f>"02-27463797"</f>
        <v>02-27463797</v>
      </c>
      <c r="J419" s="2" t="str">
        <f>"自105年05月18日至105年06月14日止"</f>
        <v>自105年05月18日至105年06月14日止</v>
      </c>
      <c r="K419" s="2" t="str">
        <f t="shared" si="59"/>
        <v>台灣集中保管結算所股份有限公司</v>
      </c>
      <c r="L419" s="2" t="str">
        <f t="shared" si="60"/>
        <v>http://www.stockvote.com.tw</v>
      </c>
      <c r="M419" s="2" t="str">
        <f>"強制"</f>
        <v>強制</v>
      </c>
      <c r="N419" s="2"/>
      <c r="O419" s="2"/>
      <c r="P419" s="2"/>
      <c r="Q419" s="2"/>
    </row>
    <row r="420" spans="1:17" x14ac:dyDescent="0.3">
      <c r="A420" s="2" t="str">
        <f>"2516"</f>
        <v>2516</v>
      </c>
      <c r="B420" s="2" t="s">
        <v>5857</v>
      </c>
      <c r="C420" s="2" t="s">
        <v>1416</v>
      </c>
      <c r="D420" s="2" t="s">
        <v>6024</v>
      </c>
      <c r="E420" s="2" t="s">
        <v>1417</v>
      </c>
      <c r="F420" s="2" t="s">
        <v>41</v>
      </c>
      <c r="G420" s="2" t="str">
        <f>"(02)2528-8008"</f>
        <v>(02)2528-8008</v>
      </c>
      <c r="H420" s="2" t="s">
        <v>1418</v>
      </c>
      <c r="I420" s="2" t="str">
        <f>"(02)2389-2999"</f>
        <v>(02)2389-2999</v>
      </c>
      <c r="J420" s="2" t="str">
        <f>"自105年05月07日至105年06月04日止"</f>
        <v>自105年05月07日至105年06月04日止</v>
      </c>
      <c r="K420" s="2" t="str">
        <f t="shared" si="59"/>
        <v>台灣集中保管結算所股份有限公司</v>
      </c>
      <c r="L420" s="2" t="str">
        <f t="shared" si="60"/>
        <v>http://www.stockvote.com.tw</v>
      </c>
      <c r="M420" s="2" t="str">
        <f>"強制"</f>
        <v>強制</v>
      </c>
      <c r="N420" s="2"/>
      <c r="O420" s="2"/>
      <c r="P420" s="2"/>
      <c r="Q420" s="2"/>
    </row>
    <row r="421" spans="1:17" x14ac:dyDescent="0.3">
      <c r="A421" s="2" t="str">
        <f>"2520"</f>
        <v>2520</v>
      </c>
      <c r="B421" s="2" t="s">
        <v>202</v>
      </c>
      <c r="C421" s="2" t="s">
        <v>1419</v>
      </c>
      <c r="D421" s="2" t="s">
        <v>6007</v>
      </c>
      <c r="E421" s="2" t="s">
        <v>6204</v>
      </c>
      <c r="F421" s="2" t="s">
        <v>41</v>
      </c>
      <c r="G421" s="2" t="str">
        <f>"(02)2378-6789"</f>
        <v>(02)2378-6789</v>
      </c>
      <c r="H421" s="2" t="s">
        <v>404</v>
      </c>
      <c r="I421" s="2" t="str">
        <f>"(02)6636-5566"</f>
        <v>(02)6636-5566</v>
      </c>
      <c r="J421" s="2" t="str">
        <f>"自105年05月28日至105年06月25日止"</f>
        <v>自105年05月28日至105年06月25日止</v>
      </c>
      <c r="K421" s="2" t="str">
        <f t="shared" si="59"/>
        <v>台灣集中保管結算所股份有限公司</v>
      </c>
      <c r="L421" s="2" t="str">
        <f t="shared" si="60"/>
        <v>http://www.stockvote.com.tw</v>
      </c>
      <c r="M421" s="2" t="str">
        <f>"--"</f>
        <v>--</v>
      </c>
      <c r="N421" s="2"/>
      <c r="O421" s="2"/>
      <c r="P421" s="2"/>
      <c r="Q421" s="2"/>
    </row>
    <row r="422" spans="1:17" x14ac:dyDescent="0.3">
      <c r="A422" s="2" t="str">
        <f>"2524"</f>
        <v>2524</v>
      </c>
      <c r="B422" s="2" t="s">
        <v>1421</v>
      </c>
      <c r="C422" s="2" t="s">
        <v>1422</v>
      </c>
      <c r="D422" s="2" t="s">
        <v>6010</v>
      </c>
      <c r="E422" s="2" t="s">
        <v>6205</v>
      </c>
      <c r="F422" s="2" t="s">
        <v>2</v>
      </c>
      <c r="G422" s="2" t="str">
        <f>"07-7161668"</f>
        <v>07-7161668</v>
      </c>
      <c r="H422" s="2" t="s">
        <v>456</v>
      </c>
      <c r="I422" s="2" t="str">
        <f>"02-25048125"</f>
        <v>02-25048125</v>
      </c>
      <c r="J422" s="2" t="str">
        <f>"自105年05月25日至105年06月21日止"</f>
        <v>自105年05月25日至105年06月21日止</v>
      </c>
      <c r="K422" s="2" t="str">
        <f t="shared" si="59"/>
        <v>台灣集中保管結算所股份有限公司</v>
      </c>
      <c r="L422" s="2" t="str">
        <f t="shared" si="60"/>
        <v>http://www.stockvote.com.tw</v>
      </c>
      <c r="M422" s="2" t="str">
        <f>"--"</f>
        <v>--</v>
      </c>
      <c r="N422" s="2"/>
      <c r="O422" s="2"/>
      <c r="P422" s="2"/>
      <c r="Q422" s="2"/>
    </row>
    <row r="423" spans="1:17" x14ac:dyDescent="0.3">
      <c r="A423" s="2" t="str">
        <f>"2527"</f>
        <v>2527</v>
      </c>
      <c r="B423" s="2" t="s">
        <v>1423</v>
      </c>
      <c r="C423" s="2" t="s">
        <v>1424</v>
      </c>
      <c r="D423" s="2" t="s">
        <v>6001</v>
      </c>
      <c r="E423" s="2" t="s">
        <v>1425</v>
      </c>
      <c r="F423" s="2" t="s">
        <v>2</v>
      </c>
      <c r="G423" s="2" t="str">
        <f>"2691-5899"</f>
        <v>2691-5899</v>
      </c>
      <c r="H423" s="2" t="s">
        <v>667</v>
      </c>
      <c r="I423" s="2" t="str">
        <f>"23611300"</f>
        <v>23611300</v>
      </c>
      <c r="J423" s="2" t="str">
        <f t="shared" ref="J423:L424" si="61">"--"</f>
        <v>--</v>
      </c>
      <c r="K423" s="2" t="str">
        <f t="shared" si="61"/>
        <v>--</v>
      </c>
      <c r="L423" s="2" t="str">
        <f t="shared" si="61"/>
        <v>--</v>
      </c>
      <c r="M423" s="2" t="str">
        <f>"否"</f>
        <v>否</v>
      </c>
      <c r="N423" s="2"/>
      <c r="O423" s="2"/>
      <c r="P423" s="2"/>
      <c r="Q423" s="2"/>
    </row>
    <row r="424" spans="1:17" x14ac:dyDescent="0.3">
      <c r="A424" s="2" t="str">
        <f>"2528"</f>
        <v>2528</v>
      </c>
      <c r="B424" s="2" t="s">
        <v>1426</v>
      </c>
      <c r="C424" s="2" t="s">
        <v>1427</v>
      </c>
      <c r="D424" s="2" t="s">
        <v>6031</v>
      </c>
      <c r="E424" s="2" t="s">
        <v>1428</v>
      </c>
      <c r="F424" s="2" t="s">
        <v>2</v>
      </c>
      <c r="G424" s="2" t="str">
        <f>"(02)25097099"</f>
        <v>(02)25097099</v>
      </c>
      <c r="H424" s="2" t="s">
        <v>640</v>
      </c>
      <c r="I424" s="2" t="str">
        <f>"(02)2371-1658"</f>
        <v>(02)2371-1658</v>
      </c>
      <c r="J424" s="2" t="str">
        <f t="shared" si="61"/>
        <v>--</v>
      </c>
      <c r="K424" s="2" t="str">
        <f t="shared" si="61"/>
        <v>--</v>
      </c>
      <c r="L424" s="2" t="str">
        <f t="shared" si="61"/>
        <v>--</v>
      </c>
      <c r="M424" s="2" t="str">
        <f>"--"</f>
        <v>--</v>
      </c>
      <c r="N424" s="2"/>
      <c r="O424" s="2"/>
      <c r="P424" s="2"/>
      <c r="Q424" s="2"/>
    </row>
    <row r="425" spans="1:17" x14ac:dyDescent="0.3">
      <c r="A425" s="2" t="str">
        <f>"2530"</f>
        <v>2530</v>
      </c>
      <c r="B425" s="2" t="s">
        <v>158</v>
      </c>
      <c r="C425" s="2" t="s">
        <v>1429</v>
      </c>
      <c r="D425" s="2" t="s">
        <v>6037</v>
      </c>
      <c r="E425" s="2" t="s">
        <v>1430</v>
      </c>
      <c r="F425" s="2" t="s">
        <v>2</v>
      </c>
      <c r="G425" s="2" t="str">
        <f>"022632-8877"</f>
        <v>022632-8877</v>
      </c>
      <c r="H425" s="2" t="s">
        <v>404</v>
      </c>
      <c r="I425" s="2" t="str">
        <f>"02-66365566"</f>
        <v>02-66365566</v>
      </c>
      <c r="J425" s="2" t="str">
        <f>"自105年04月30日至105年05月28日止"</f>
        <v>自105年04月30日至105年05月28日止</v>
      </c>
      <c r="K425" s="2" t="str">
        <f t="shared" ref="K425:K430" si="62">"台灣集中保管結算所股份有限公司"</f>
        <v>台灣集中保管結算所股份有限公司</v>
      </c>
      <c r="L425" s="2" t="str">
        <f t="shared" ref="L425:L430" si="63">"http://www.stockvote.com.tw"</f>
        <v>http://www.stockvote.com.tw</v>
      </c>
      <c r="M425" s="2" t="str">
        <f>"強制"</f>
        <v>強制</v>
      </c>
      <c r="N425" s="2"/>
      <c r="O425" s="2"/>
      <c r="P425" s="2"/>
      <c r="Q425" s="2"/>
    </row>
    <row r="426" spans="1:17" x14ac:dyDescent="0.3">
      <c r="A426" s="2" t="str">
        <f>"2534"</f>
        <v>2534</v>
      </c>
      <c r="B426" s="2" t="s">
        <v>258</v>
      </c>
      <c r="C426" s="2" t="s">
        <v>1431</v>
      </c>
      <c r="D426" s="2" t="s">
        <v>6000</v>
      </c>
      <c r="E426" s="2" t="s">
        <v>6206</v>
      </c>
      <c r="F426" s="2" t="s">
        <v>2</v>
      </c>
      <c r="G426" s="2" t="str">
        <f>"2719-9999"</f>
        <v>2719-9999</v>
      </c>
      <c r="H426" s="2" t="s">
        <v>411</v>
      </c>
      <c r="I426" s="2" t="str">
        <f>"27023999"</f>
        <v>27023999</v>
      </c>
      <c r="J426" s="2" t="str">
        <f>"自105年05月22日至105年06月18日止"</f>
        <v>自105年05月22日至105年06月18日止</v>
      </c>
      <c r="K426" s="2" t="str">
        <f t="shared" si="62"/>
        <v>台灣集中保管結算所股份有限公司</v>
      </c>
      <c r="L426" s="2" t="str">
        <f t="shared" si="63"/>
        <v>http://www.stockvote.com.tw</v>
      </c>
      <c r="M426" s="2" t="str">
        <f>"--"</f>
        <v>--</v>
      </c>
      <c r="N426" s="2"/>
      <c r="O426" s="2"/>
      <c r="P426" s="2"/>
      <c r="Q426" s="2"/>
    </row>
    <row r="427" spans="1:17" x14ac:dyDescent="0.3">
      <c r="A427" s="2" t="str">
        <f>"2535"</f>
        <v>2535</v>
      </c>
      <c r="B427" s="2" t="s">
        <v>1432</v>
      </c>
      <c r="C427" s="2" t="s">
        <v>1433</v>
      </c>
      <c r="D427" s="2" t="s">
        <v>6021</v>
      </c>
      <c r="E427" s="2" t="s">
        <v>1434</v>
      </c>
      <c r="F427" s="2" t="s">
        <v>2</v>
      </c>
      <c r="G427" s="2" t="str">
        <f>"(02)27062929"</f>
        <v>(02)27062929</v>
      </c>
      <c r="H427" s="2" t="s">
        <v>631</v>
      </c>
      <c r="I427" s="2" t="str">
        <f>"(02)2541-9977"</f>
        <v>(02)2541-9977</v>
      </c>
      <c r="J427" s="2" t="str">
        <f>"自105年05月14日至105年06月10日止"</f>
        <v>自105年05月14日至105年06月10日止</v>
      </c>
      <c r="K427" s="2" t="str">
        <f t="shared" si="62"/>
        <v>台灣集中保管結算所股份有限公司</v>
      </c>
      <c r="L427" s="2" t="str">
        <f t="shared" si="63"/>
        <v>http://www.stockvote.com.tw</v>
      </c>
      <c r="M427" s="2" t="str">
        <f>"--"</f>
        <v>--</v>
      </c>
      <c r="N427" s="2"/>
      <c r="O427" s="2"/>
      <c r="P427" s="2"/>
      <c r="Q427" s="2"/>
    </row>
    <row r="428" spans="1:17" x14ac:dyDescent="0.3">
      <c r="A428" s="2" t="str">
        <f>"2536"</f>
        <v>2536</v>
      </c>
      <c r="B428" s="2" t="s">
        <v>1435</v>
      </c>
      <c r="C428" s="2" t="s">
        <v>1436</v>
      </c>
      <c r="D428" s="2" t="s">
        <v>6051</v>
      </c>
      <c r="E428" s="2" t="s">
        <v>6207</v>
      </c>
      <c r="F428" s="2" t="s">
        <v>41</v>
      </c>
      <c r="G428" s="2" t="str">
        <f>"(02)2755-2662"</f>
        <v>(02)2755-2662</v>
      </c>
      <c r="H428" s="2" t="s">
        <v>424</v>
      </c>
      <c r="I428" s="2" t="str">
        <f>"(02)2586-5859"</f>
        <v>(02)2586-5859</v>
      </c>
      <c r="J428" s="2" t="str">
        <f>"自105年05月04日至105年05月31日止"</f>
        <v>自105年05月04日至105年05月31日止</v>
      </c>
      <c r="K428" s="2" t="str">
        <f t="shared" si="62"/>
        <v>台灣集中保管結算所股份有限公司</v>
      </c>
      <c r="L428" s="2" t="str">
        <f t="shared" si="63"/>
        <v>http://www.stockvote.com.tw</v>
      </c>
      <c r="M428" s="2" t="str">
        <f>"&lt;b&gt;&lt;font color='red'&gt;自願&lt;/font&gt;&lt;/b&gt;"</f>
        <v>&lt;b&gt;&lt;font color='red'&gt;自願&lt;/font&gt;&lt;/b&gt;</v>
      </c>
      <c r="N428" s="2"/>
      <c r="O428" s="2"/>
      <c r="P428" s="2"/>
      <c r="Q428" s="2"/>
    </row>
    <row r="429" spans="1:17" x14ac:dyDescent="0.3">
      <c r="A429" s="2" t="str">
        <f>"2537"</f>
        <v>2537</v>
      </c>
      <c r="B429" s="2" t="s">
        <v>1437</v>
      </c>
      <c r="C429" s="2" t="s">
        <v>1438</v>
      </c>
      <c r="D429" s="2" t="s">
        <v>6021</v>
      </c>
      <c r="E429" s="2" t="s">
        <v>6208</v>
      </c>
      <c r="F429" s="2" t="s">
        <v>2</v>
      </c>
      <c r="G429" s="2" t="str">
        <f>"27229898"</f>
        <v>27229898</v>
      </c>
      <c r="H429" s="2" t="s">
        <v>539</v>
      </c>
      <c r="I429" s="2" t="str">
        <f>"25865859"</f>
        <v>25865859</v>
      </c>
      <c r="J429" s="2" t="str">
        <f>"自105年05月14日至105年06月10日止"</f>
        <v>自105年05月14日至105年06月10日止</v>
      </c>
      <c r="K429" s="2" t="str">
        <f t="shared" si="62"/>
        <v>台灣集中保管結算所股份有限公司</v>
      </c>
      <c r="L429" s="2" t="str">
        <f t="shared" si="63"/>
        <v>http://www.stockvote.com.tw</v>
      </c>
      <c r="M429" s="2" t="str">
        <f>"--"</f>
        <v>--</v>
      </c>
      <c r="N429" s="2"/>
      <c r="O429" s="2"/>
      <c r="P429" s="2"/>
      <c r="Q429" s="2"/>
    </row>
    <row r="430" spans="1:17" x14ac:dyDescent="0.3">
      <c r="A430" s="2" t="str">
        <f>"2538"</f>
        <v>2538</v>
      </c>
      <c r="B430" s="2" t="s">
        <v>1439</v>
      </c>
      <c r="C430" s="2" t="s">
        <v>1440</v>
      </c>
      <c r="D430" s="2" t="s">
        <v>6024</v>
      </c>
      <c r="E430" s="2" t="s">
        <v>1441</v>
      </c>
      <c r="F430" s="2" t="s">
        <v>41</v>
      </c>
      <c r="G430" s="2" t="str">
        <f>"23830666"</f>
        <v>23830666</v>
      </c>
      <c r="H430" s="2" t="s">
        <v>497</v>
      </c>
      <c r="I430" s="2" t="str">
        <f>"(02)6636-5566"</f>
        <v>(02)6636-5566</v>
      </c>
      <c r="J430" s="2" t="str">
        <f>"自105年05月07日至105年06月04日止"</f>
        <v>自105年05月07日至105年06月04日止</v>
      </c>
      <c r="K430" s="2" t="str">
        <f t="shared" si="62"/>
        <v>台灣集中保管結算所股份有限公司</v>
      </c>
      <c r="L430" s="2" t="str">
        <f t="shared" si="63"/>
        <v>http://www.stockvote.com.tw</v>
      </c>
      <c r="M430" s="2" t="str">
        <f>"強制"</f>
        <v>強制</v>
      </c>
      <c r="N430" s="2"/>
      <c r="O430" s="2"/>
      <c r="P430" s="2"/>
      <c r="Q430" s="2"/>
    </row>
    <row r="431" spans="1:17" x14ac:dyDescent="0.3">
      <c r="A431" s="2" t="str">
        <f>"2539"</f>
        <v>2539</v>
      </c>
      <c r="B431" s="2" t="s">
        <v>1442</v>
      </c>
      <c r="C431" s="2" t="s">
        <v>1443</v>
      </c>
      <c r="D431" s="2" t="s">
        <v>6004</v>
      </c>
      <c r="E431" s="2" t="s">
        <v>1444</v>
      </c>
      <c r="F431" s="2" t="s">
        <v>2</v>
      </c>
      <c r="G431" s="2" t="str">
        <f>"(04)23017211"</f>
        <v>(04)23017211</v>
      </c>
      <c r="H431" s="2" t="s">
        <v>404</v>
      </c>
      <c r="I431" s="2" t="str">
        <f>"(02)66365566"</f>
        <v>(02)66365566</v>
      </c>
      <c r="J431" s="2" t="str">
        <f t="shared" ref="J431:L432" si="64">"--"</f>
        <v>--</v>
      </c>
      <c r="K431" s="2" t="str">
        <f t="shared" si="64"/>
        <v>--</v>
      </c>
      <c r="L431" s="2" t="str">
        <f t="shared" si="64"/>
        <v>--</v>
      </c>
      <c r="M431" s="2" t="str">
        <f>"否"</f>
        <v>否</v>
      </c>
      <c r="N431" s="2"/>
      <c r="O431" s="2"/>
      <c r="P431" s="2"/>
      <c r="Q431" s="2"/>
    </row>
    <row r="432" spans="1:17" x14ac:dyDescent="0.3">
      <c r="A432" s="2" t="str">
        <f>"2540"</f>
        <v>2540</v>
      </c>
      <c r="B432" s="2" t="s">
        <v>1445</v>
      </c>
      <c r="C432" s="2" t="s">
        <v>1446</v>
      </c>
      <c r="D432" s="2" t="s">
        <v>5999</v>
      </c>
      <c r="E432" s="2" t="s">
        <v>1447</v>
      </c>
      <c r="F432" s="2" t="s">
        <v>2</v>
      </c>
      <c r="G432" s="2" t="str">
        <f>"(02)8773-6688"</f>
        <v>(02)8773-6688</v>
      </c>
      <c r="H432" s="2" t="s">
        <v>444</v>
      </c>
      <c r="I432" s="2" t="str">
        <f>"(02)2746-3797"</f>
        <v>(02)2746-3797</v>
      </c>
      <c r="J432" s="2" t="str">
        <f t="shared" si="64"/>
        <v>--</v>
      </c>
      <c r="K432" s="2" t="str">
        <f t="shared" si="64"/>
        <v>--</v>
      </c>
      <c r="L432" s="2" t="str">
        <f t="shared" si="64"/>
        <v>--</v>
      </c>
      <c r="M432" s="2" t="str">
        <f>"否"</f>
        <v>否</v>
      </c>
      <c r="N432" s="2"/>
      <c r="O432" s="2"/>
      <c r="P432" s="2"/>
      <c r="Q432" s="2"/>
    </row>
    <row r="433" spans="1:17" x14ac:dyDescent="0.3">
      <c r="A433" s="2" t="str">
        <f>"2542"</f>
        <v>2542</v>
      </c>
      <c r="B433" s="2" t="s">
        <v>1448</v>
      </c>
      <c r="C433" s="2" t="s">
        <v>1449</v>
      </c>
      <c r="D433" s="2" t="s">
        <v>6021</v>
      </c>
      <c r="E433" s="2" t="s">
        <v>6209</v>
      </c>
      <c r="F433" s="2" t="s">
        <v>2</v>
      </c>
      <c r="G433" s="2" t="str">
        <f>"(02)2755-5899"</f>
        <v>(02)2755-5899</v>
      </c>
      <c r="H433" s="2" t="s">
        <v>411</v>
      </c>
      <c r="I433" s="2" t="str">
        <f>"(02)2702-3999"</f>
        <v>(02)2702-3999</v>
      </c>
      <c r="J433" s="2" t="str">
        <f>"自105年05月14日至105年06月10日止"</f>
        <v>自105年05月14日至105年06月10日止</v>
      </c>
      <c r="K433" s="2" t="str">
        <f>"台灣集中保管結算所股份有限公司"</f>
        <v>台灣集中保管結算所股份有限公司</v>
      </c>
      <c r="L433" s="2" t="str">
        <f>"http://www.stockvote.com.tw"</f>
        <v>http://www.stockvote.com.tw</v>
      </c>
      <c r="M433" s="2" t="str">
        <f>"強制"</f>
        <v>強制</v>
      </c>
      <c r="N433" s="2"/>
      <c r="O433" s="2"/>
      <c r="P433" s="2"/>
      <c r="Q433" s="2"/>
    </row>
    <row r="434" spans="1:17" x14ac:dyDescent="0.3">
      <c r="A434" s="2" t="str">
        <f>"2543"</f>
        <v>2543</v>
      </c>
      <c r="B434" s="2" t="s">
        <v>1450</v>
      </c>
      <c r="C434" s="2" t="s">
        <v>1451</v>
      </c>
      <c r="D434" s="2" t="s">
        <v>6014</v>
      </c>
      <c r="E434" s="2" t="s">
        <v>1452</v>
      </c>
      <c r="F434" s="2" t="s">
        <v>2</v>
      </c>
      <c r="G434" s="2" t="str">
        <f>"2792-2988"</f>
        <v>2792-2988</v>
      </c>
      <c r="H434" s="2" t="s">
        <v>653</v>
      </c>
      <c r="I434" s="2" t="str">
        <f>"(02)2768-6668"</f>
        <v>(02)2768-6668</v>
      </c>
      <c r="J434" s="2" t="str">
        <f>"自105年05月30日至105年06月26日止"</f>
        <v>自105年05月30日至105年06月26日止</v>
      </c>
      <c r="K434" s="2" t="str">
        <f>"台灣集中保管結算所股份有限公司"</f>
        <v>台灣集中保管結算所股份有限公司</v>
      </c>
      <c r="L434" s="2" t="str">
        <f>"http://www.stockvote.com.tw"</f>
        <v>http://www.stockvote.com.tw</v>
      </c>
      <c r="M434" s="2" t="str">
        <f>"--"</f>
        <v>--</v>
      </c>
      <c r="N434" s="2"/>
      <c r="O434" s="2"/>
      <c r="P434" s="2"/>
      <c r="Q434" s="2"/>
    </row>
    <row r="435" spans="1:17" x14ac:dyDescent="0.3">
      <c r="A435" s="2" t="str">
        <f>"2545"</f>
        <v>2545</v>
      </c>
      <c r="B435" s="2" t="s">
        <v>1453</v>
      </c>
      <c r="C435" s="2" t="s">
        <v>1454</v>
      </c>
      <c r="D435" s="2" t="s">
        <v>6051</v>
      </c>
      <c r="E435" s="2" t="s">
        <v>6210</v>
      </c>
      <c r="F435" s="2" t="s">
        <v>2</v>
      </c>
      <c r="G435" s="2" t="str">
        <f>"23882898"</f>
        <v>23882898</v>
      </c>
      <c r="H435" s="2" t="s">
        <v>6006</v>
      </c>
      <c r="I435" s="2" t="str">
        <f>"25865859"</f>
        <v>25865859</v>
      </c>
      <c r="J435" s="2" t="str">
        <f>"自105年05月04日至105年05月31日止"</f>
        <v>自105年05月04日至105年05月31日止</v>
      </c>
      <c r="K435" s="2" t="str">
        <f>"台灣集中保管結算所股份有限公司"</f>
        <v>台灣集中保管結算所股份有限公司</v>
      </c>
      <c r="L435" s="2" t="str">
        <f>"http://www.stockvote.com.tw"</f>
        <v>http://www.stockvote.com.tw</v>
      </c>
      <c r="M435" s="2" t="str">
        <f>"強制"</f>
        <v>強制</v>
      </c>
      <c r="N435" s="2"/>
      <c r="O435" s="2"/>
      <c r="P435" s="2"/>
      <c r="Q435" s="2"/>
    </row>
    <row r="436" spans="1:17" x14ac:dyDescent="0.3">
      <c r="A436" s="2" t="str">
        <f>"2546"</f>
        <v>2546</v>
      </c>
      <c r="B436" s="2" t="s">
        <v>84</v>
      </c>
      <c r="C436" s="2" t="s">
        <v>1455</v>
      </c>
      <c r="D436" s="2" t="s">
        <v>5999</v>
      </c>
      <c r="E436" s="2" t="s">
        <v>1420</v>
      </c>
      <c r="F436" s="2" t="s">
        <v>2</v>
      </c>
      <c r="G436" s="2" t="str">
        <f>"(02)2378-6789"</f>
        <v>(02)2378-6789</v>
      </c>
      <c r="H436" s="2" t="s">
        <v>404</v>
      </c>
      <c r="I436" s="2" t="str">
        <f>"(02)6636-5566"</f>
        <v>(02)6636-5566</v>
      </c>
      <c r="J436" s="2" t="str">
        <f>"--"</f>
        <v>--</v>
      </c>
      <c r="K436" s="2" t="str">
        <f>"--"</f>
        <v>--</v>
      </c>
      <c r="L436" s="2" t="str">
        <f>"--"</f>
        <v>--</v>
      </c>
      <c r="M436" s="2" t="str">
        <f>"--"</f>
        <v>--</v>
      </c>
      <c r="N436" s="2"/>
      <c r="O436" s="2"/>
      <c r="P436" s="2"/>
      <c r="Q436" s="2"/>
    </row>
    <row r="437" spans="1:17" x14ac:dyDescent="0.3">
      <c r="A437" s="2" t="str">
        <f>"2547"</f>
        <v>2547</v>
      </c>
      <c r="B437" s="2" t="s">
        <v>1456</v>
      </c>
      <c r="C437" s="2" t="s">
        <v>1457</v>
      </c>
      <c r="D437" s="2" t="s">
        <v>6010</v>
      </c>
      <c r="E437" s="2" t="s">
        <v>1458</v>
      </c>
      <c r="F437" s="2" t="s">
        <v>41</v>
      </c>
      <c r="G437" s="2" t="str">
        <f>"(02)7733-8888"</f>
        <v>(02)7733-8888</v>
      </c>
      <c r="H437" s="2" t="s">
        <v>451</v>
      </c>
      <c r="I437" s="2" t="str">
        <f>"(02)2389-2999"</f>
        <v>(02)2389-2999</v>
      </c>
      <c r="J437" s="2" t="str">
        <f>"自105年05月25日至105年06月21日止"</f>
        <v>自105年05月25日至105年06月21日止</v>
      </c>
      <c r="K437" s="2" t="str">
        <f t="shared" ref="K437:K447" si="65">"台灣集中保管結算所股份有限公司"</f>
        <v>台灣集中保管結算所股份有限公司</v>
      </c>
      <c r="L437" s="2" t="str">
        <f t="shared" ref="L437:L447" si="66">"http://www.stockvote.com.tw"</f>
        <v>http://www.stockvote.com.tw</v>
      </c>
      <c r="M437" s="2" t="str">
        <f>"--"</f>
        <v>--</v>
      </c>
      <c r="N437" s="2"/>
      <c r="O437" s="2"/>
      <c r="P437" s="2"/>
      <c r="Q437" s="2"/>
    </row>
    <row r="438" spans="1:17" x14ac:dyDescent="0.3">
      <c r="A438" s="2" t="str">
        <f>"2548"</f>
        <v>2548</v>
      </c>
      <c r="B438" s="2" t="s">
        <v>1459</v>
      </c>
      <c r="C438" s="2" t="s">
        <v>1460</v>
      </c>
      <c r="D438" s="2" t="s">
        <v>6025</v>
      </c>
      <c r="E438" s="2" t="s">
        <v>1461</v>
      </c>
      <c r="F438" s="2" t="s">
        <v>2</v>
      </c>
      <c r="G438" s="2" t="str">
        <f>"2758-2828"</f>
        <v>2758-2828</v>
      </c>
      <c r="H438" s="2" t="s">
        <v>456</v>
      </c>
      <c r="I438" s="2" t="str">
        <f>"2504-8125"</f>
        <v>2504-8125</v>
      </c>
      <c r="J438" s="2" t="str">
        <f>"自105年05月09日至105年06月05日止"</f>
        <v>自105年05月09日至105年06月05日止</v>
      </c>
      <c r="K438" s="2" t="str">
        <f t="shared" si="65"/>
        <v>台灣集中保管結算所股份有限公司</v>
      </c>
      <c r="L438" s="2" t="str">
        <f t="shared" si="66"/>
        <v>http://www.stockvote.com.tw</v>
      </c>
      <c r="M438" s="2" t="str">
        <f>"強制"</f>
        <v>強制</v>
      </c>
      <c r="N438" s="2"/>
      <c r="O438" s="2"/>
      <c r="P438" s="2"/>
      <c r="Q438" s="2"/>
    </row>
    <row r="439" spans="1:17" x14ac:dyDescent="0.3">
      <c r="A439" s="2" t="str">
        <f>"2597"</f>
        <v>2597</v>
      </c>
      <c r="B439" s="2" t="s">
        <v>1462</v>
      </c>
      <c r="C439" s="2" t="s">
        <v>1463</v>
      </c>
      <c r="D439" s="2" t="s">
        <v>6037</v>
      </c>
      <c r="E439" s="2" t="s">
        <v>1464</v>
      </c>
      <c r="F439" s="2" t="s">
        <v>2</v>
      </c>
      <c r="G439" s="2" t="str">
        <f>"02-81619999"</f>
        <v>02-81619999</v>
      </c>
      <c r="H439" s="2" t="s">
        <v>1465</v>
      </c>
      <c r="I439" s="2" t="str">
        <f>"81617999"</f>
        <v>81617999</v>
      </c>
      <c r="J439" s="2" t="str">
        <f>"自105年05月01日至105年05月28日止"</f>
        <v>自105年05月01日至105年05月28日止</v>
      </c>
      <c r="K439" s="2" t="str">
        <f t="shared" si="65"/>
        <v>台灣集中保管結算所股份有限公司</v>
      </c>
      <c r="L439" s="2" t="str">
        <f t="shared" si="66"/>
        <v>http://www.stockvote.com.tw</v>
      </c>
      <c r="M439" s="2" t="str">
        <f>"&lt;b&gt;&lt;font color='red'&gt;自願&lt;/font&gt;&lt;/b&gt;"</f>
        <v>&lt;b&gt;&lt;font color='red'&gt;自願&lt;/font&gt;&lt;/b&gt;</v>
      </c>
      <c r="N439" s="2"/>
      <c r="O439" s="2"/>
      <c r="P439" s="2"/>
      <c r="Q439" s="2"/>
    </row>
    <row r="440" spans="1:17" x14ac:dyDescent="0.3">
      <c r="A440" s="2" t="str">
        <f>"2601"</f>
        <v>2601</v>
      </c>
      <c r="B440" s="2" t="s">
        <v>184</v>
      </c>
      <c r="C440" s="2" t="s">
        <v>1466</v>
      </c>
      <c r="D440" s="2" t="s">
        <v>6015</v>
      </c>
      <c r="E440" s="2" t="s">
        <v>6211</v>
      </c>
      <c r="F440" s="2" t="s">
        <v>2</v>
      </c>
      <c r="G440" s="2" t="str">
        <f>"27069911"</f>
        <v>27069911</v>
      </c>
      <c r="H440" s="2" t="s">
        <v>6006</v>
      </c>
      <c r="I440" s="2" t="str">
        <f>"(02)2586-5859"</f>
        <v>(02)2586-5859</v>
      </c>
      <c r="J440" s="2" t="str">
        <f>"自105年05月24日至105年06月20日止"</f>
        <v>自105年05月24日至105年06月20日止</v>
      </c>
      <c r="K440" s="2" t="str">
        <f t="shared" si="65"/>
        <v>台灣集中保管結算所股份有限公司</v>
      </c>
      <c r="L440" s="2" t="str">
        <f t="shared" si="66"/>
        <v>http://www.stockvote.com.tw</v>
      </c>
      <c r="M440" s="2" t="str">
        <f>"--"</f>
        <v>--</v>
      </c>
      <c r="N440" s="2"/>
      <c r="O440" s="2"/>
      <c r="P440" s="2"/>
      <c r="Q440" s="2"/>
    </row>
    <row r="441" spans="1:17" x14ac:dyDescent="0.3">
      <c r="A441" s="2" t="str">
        <f>"2603"</f>
        <v>2603</v>
      </c>
      <c r="B441" s="2" t="s">
        <v>1467</v>
      </c>
      <c r="C441" s="2" t="s">
        <v>1468</v>
      </c>
      <c r="D441" s="2" t="s">
        <v>5999</v>
      </c>
      <c r="E441" s="2" t="s">
        <v>1469</v>
      </c>
      <c r="F441" s="2" t="s">
        <v>2</v>
      </c>
      <c r="G441" s="2" t="str">
        <f>"(02)2505-7766"</f>
        <v>(02)2505-7766</v>
      </c>
      <c r="H441" s="2" t="s">
        <v>1470</v>
      </c>
      <c r="I441" s="2" t="str">
        <f>"(02)2500-1668"</f>
        <v>(02)2500-1668</v>
      </c>
      <c r="J441" s="2" t="str">
        <f>"自105年05月23日至105年06月19日止"</f>
        <v>自105年05月23日至105年06月19日止</v>
      </c>
      <c r="K441" s="2" t="str">
        <f t="shared" si="65"/>
        <v>台灣集中保管結算所股份有限公司</v>
      </c>
      <c r="L441" s="2" t="str">
        <f t="shared" si="66"/>
        <v>http://www.stockvote.com.tw</v>
      </c>
      <c r="M441" s="2" t="str">
        <f>"--"</f>
        <v>--</v>
      </c>
      <c r="N441" s="2"/>
      <c r="O441" s="2"/>
      <c r="P441" s="2"/>
      <c r="Q441" s="2"/>
    </row>
    <row r="442" spans="1:17" x14ac:dyDescent="0.3">
      <c r="A442" s="2" t="str">
        <f>"2605"</f>
        <v>2605</v>
      </c>
      <c r="B442" s="2" t="s">
        <v>212</v>
      </c>
      <c r="C442" s="2" t="s">
        <v>1471</v>
      </c>
      <c r="D442" s="2" t="s">
        <v>6014</v>
      </c>
      <c r="E442" s="2" t="s">
        <v>1472</v>
      </c>
      <c r="F442" s="2" t="s">
        <v>41</v>
      </c>
      <c r="G442" s="2" t="str">
        <f>"02-27037055"</f>
        <v>02-27037055</v>
      </c>
      <c r="H442" s="2" t="s">
        <v>404</v>
      </c>
      <c r="I442" s="2" t="str">
        <f>"02-66365566"</f>
        <v>02-66365566</v>
      </c>
      <c r="J442" s="2" t="str">
        <f>"自105年05月30日至105年06月26日止"</f>
        <v>自105年05月30日至105年06月26日止</v>
      </c>
      <c r="K442" s="2" t="str">
        <f t="shared" si="65"/>
        <v>台灣集中保管結算所股份有限公司</v>
      </c>
      <c r="L442" s="2" t="str">
        <f t="shared" si="66"/>
        <v>http://www.stockvote.com.tw</v>
      </c>
      <c r="M442" s="2" t="str">
        <f>"--"</f>
        <v>--</v>
      </c>
      <c r="N442" s="2"/>
      <c r="O442" s="2"/>
      <c r="P442" s="2"/>
      <c r="Q442" s="2"/>
    </row>
    <row r="443" spans="1:17" x14ac:dyDescent="0.3">
      <c r="A443" s="2" t="str">
        <f>"2606"</f>
        <v>2606</v>
      </c>
      <c r="B443" s="2" t="s">
        <v>1473</v>
      </c>
      <c r="C443" s="2" t="s">
        <v>1474</v>
      </c>
      <c r="D443" s="2" t="s">
        <v>6025</v>
      </c>
      <c r="E443" s="2" t="s">
        <v>407</v>
      </c>
      <c r="F443" s="2" t="s">
        <v>41</v>
      </c>
      <c r="G443" s="2" t="str">
        <f>"(02)27338000"</f>
        <v>(02)27338000</v>
      </c>
      <c r="H443" s="2" t="s">
        <v>408</v>
      </c>
      <c r="I443" s="2" t="str">
        <f>"(02)23618608"</f>
        <v>(02)23618608</v>
      </c>
      <c r="J443" s="2" t="str">
        <f>"自105年05月07日至105年06月05日止"</f>
        <v>自105年05月07日至105年06月05日止</v>
      </c>
      <c r="K443" s="2" t="str">
        <f t="shared" si="65"/>
        <v>台灣集中保管結算所股份有限公司</v>
      </c>
      <c r="L443" s="2" t="str">
        <f t="shared" si="66"/>
        <v>http://www.stockvote.com.tw</v>
      </c>
      <c r="M443" s="2" t="str">
        <f>"強制"</f>
        <v>強制</v>
      </c>
      <c r="N443" s="2"/>
      <c r="O443" s="2"/>
      <c r="P443" s="2"/>
      <c r="Q443" s="2"/>
    </row>
    <row r="444" spans="1:17" x14ac:dyDescent="0.3">
      <c r="A444" s="2" t="str">
        <f>"2607"</f>
        <v>2607</v>
      </c>
      <c r="B444" s="2" t="s">
        <v>1475</v>
      </c>
      <c r="C444" s="2" t="s">
        <v>6212</v>
      </c>
      <c r="D444" s="2" t="s">
        <v>6002</v>
      </c>
      <c r="E444" s="2" t="s">
        <v>1476</v>
      </c>
      <c r="F444" s="2" t="s">
        <v>2</v>
      </c>
      <c r="G444" s="2" t="str">
        <f>"03-3252060"</f>
        <v>03-3252060</v>
      </c>
      <c r="H444" s="2" t="s">
        <v>1477</v>
      </c>
      <c r="I444" s="2" t="str">
        <f>"02-25001668"</f>
        <v>02-25001668</v>
      </c>
      <c r="J444" s="2" t="str">
        <f>"自105年05月14日至105年06月12日止"</f>
        <v>自105年05月14日至105年06月12日止</v>
      </c>
      <c r="K444" s="2" t="str">
        <f t="shared" si="65"/>
        <v>台灣集中保管結算所股份有限公司</v>
      </c>
      <c r="L444" s="2" t="str">
        <f t="shared" si="66"/>
        <v>http://www.stockvote.com.tw</v>
      </c>
      <c r="M444" s="2" t="str">
        <f t="shared" ref="M444:M449" si="67">"--"</f>
        <v>--</v>
      </c>
      <c r="N444" s="2"/>
      <c r="O444" s="2"/>
      <c r="P444" s="2"/>
      <c r="Q444" s="2"/>
    </row>
    <row r="445" spans="1:17" x14ac:dyDescent="0.3">
      <c r="A445" s="2" t="str">
        <f>"2608"</f>
        <v>2608</v>
      </c>
      <c r="B445" s="2" t="s">
        <v>1478</v>
      </c>
      <c r="C445" s="2" t="s">
        <v>1479</v>
      </c>
      <c r="D445" s="2" t="s">
        <v>6001</v>
      </c>
      <c r="E445" s="2" t="s">
        <v>6213</v>
      </c>
      <c r="F445" s="2" t="s">
        <v>41</v>
      </c>
      <c r="G445" s="2" t="str">
        <f>"02-33226888"</f>
        <v>02-33226888</v>
      </c>
      <c r="H445" s="2" t="s">
        <v>465</v>
      </c>
      <c r="I445" s="2" t="str">
        <f>"02-23816288"</f>
        <v>02-23816288</v>
      </c>
      <c r="J445" s="2" t="str">
        <f>"自105年05月28日至105年06月24日止"</f>
        <v>自105年05月28日至105年06月24日止</v>
      </c>
      <c r="K445" s="2" t="str">
        <f t="shared" si="65"/>
        <v>台灣集中保管結算所股份有限公司</v>
      </c>
      <c r="L445" s="2" t="str">
        <f t="shared" si="66"/>
        <v>http://www.stockvote.com.tw</v>
      </c>
      <c r="M445" s="2" t="str">
        <f t="shared" si="67"/>
        <v>--</v>
      </c>
      <c r="N445" s="2"/>
      <c r="O445" s="2"/>
      <c r="P445" s="2"/>
      <c r="Q445" s="2"/>
    </row>
    <row r="446" spans="1:17" x14ac:dyDescent="0.3">
      <c r="A446" s="2" t="str">
        <f>"2609"</f>
        <v>2609</v>
      </c>
      <c r="B446" s="2" t="s">
        <v>1480</v>
      </c>
      <c r="C446" s="2" t="s">
        <v>1481</v>
      </c>
      <c r="D446" s="2" t="s">
        <v>5999</v>
      </c>
      <c r="E446" s="2" t="s">
        <v>1482</v>
      </c>
      <c r="F446" s="2" t="s">
        <v>41</v>
      </c>
      <c r="G446" s="2" t="str">
        <f>"02-2455-9988"</f>
        <v>02-2455-9988</v>
      </c>
      <c r="H446" s="2" t="s">
        <v>451</v>
      </c>
      <c r="I446" s="2" t="str">
        <f>"02-2389-2999"</f>
        <v>02-2389-2999</v>
      </c>
      <c r="J446" s="2" t="str">
        <f>"自105年05月21日至105年06月19日止"</f>
        <v>自105年05月21日至105年06月19日止</v>
      </c>
      <c r="K446" s="2" t="str">
        <f t="shared" si="65"/>
        <v>台灣集中保管結算所股份有限公司</v>
      </c>
      <c r="L446" s="2" t="str">
        <f t="shared" si="66"/>
        <v>http://www.stockvote.com.tw</v>
      </c>
      <c r="M446" s="2" t="str">
        <f t="shared" si="67"/>
        <v>--</v>
      </c>
      <c r="N446" s="2"/>
      <c r="O446" s="2"/>
      <c r="P446" s="2"/>
      <c r="Q446" s="2"/>
    </row>
    <row r="447" spans="1:17" x14ac:dyDescent="0.3">
      <c r="A447" s="2" t="str">
        <f>"2610"</f>
        <v>2610</v>
      </c>
      <c r="B447" s="2" t="s">
        <v>1483</v>
      </c>
      <c r="C447" s="2" t="s">
        <v>1484</v>
      </c>
      <c r="D447" s="2" t="s">
        <v>6010</v>
      </c>
      <c r="E447" s="2" t="s">
        <v>1485</v>
      </c>
      <c r="F447" s="2" t="s">
        <v>2</v>
      </c>
      <c r="G447" s="2" t="str">
        <f>"(03)399-8888"</f>
        <v>(03)399-8888</v>
      </c>
      <c r="H447" s="2" t="s">
        <v>404</v>
      </c>
      <c r="I447" s="2" t="str">
        <f>"(02)6636-5566"</f>
        <v>(02)6636-5566</v>
      </c>
      <c r="J447" s="2" t="str">
        <f>"自105年05月25日至105年06月21日止"</f>
        <v>自105年05月25日至105年06月21日止</v>
      </c>
      <c r="K447" s="2" t="str">
        <f t="shared" si="65"/>
        <v>台灣集中保管結算所股份有限公司</v>
      </c>
      <c r="L447" s="2" t="str">
        <f t="shared" si="66"/>
        <v>http://www.stockvote.com.tw</v>
      </c>
      <c r="M447" s="2" t="str">
        <f t="shared" si="67"/>
        <v>--</v>
      </c>
      <c r="N447" s="2"/>
      <c r="O447" s="2"/>
      <c r="P447" s="2"/>
      <c r="Q447" s="2"/>
    </row>
    <row r="448" spans="1:17" x14ac:dyDescent="0.3">
      <c r="A448" s="2" t="str">
        <f>"2611"</f>
        <v>2611</v>
      </c>
      <c r="B448" s="2" t="s">
        <v>1486</v>
      </c>
      <c r="C448" s="2" t="s">
        <v>1487</v>
      </c>
      <c r="D448" s="2" t="s">
        <v>6028</v>
      </c>
      <c r="E448" s="2" t="s">
        <v>1488</v>
      </c>
      <c r="F448" s="2" t="s">
        <v>2</v>
      </c>
      <c r="G448" s="2" t="str">
        <f>"(02)2509-0036"</f>
        <v>(02)2509-0036</v>
      </c>
      <c r="H448" s="2" t="s">
        <v>469</v>
      </c>
      <c r="I448" s="2" t="str">
        <f>"(02)2746-3797"</f>
        <v>(02)2746-3797</v>
      </c>
      <c r="J448" s="2" t="str">
        <f>"--"</f>
        <v>--</v>
      </c>
      <c r="K448" s="2" t="str">
        <f>"--"</f>
        <v>--</v>
      </c>
      <c r="L448" s="2" t="str">
        <f>"--"</f>
        <v>--</v>
      </c>
      <c r="M448" s="2" t="str">
        <f t="shared" si="67"/>
        <v>--</v>
      </c>
      <c r="N448" s="2"/>
      <c r="O448" s="2"/>
      <c r="P448" s="2"/>
      <c r="Q448" s="2"/>
    </row>
    <row r="449" spans="1:17" x14ac:dyDescent="0.3">
      <c r="A449" s="2" t="str">
        <f>"2612"</f>
        <v>2612</v>
      </c>
      <c r="B449" s="2" t="s">
        <v>1489</v>
      </c>
      <c r="C449" s="2" t="s">
        <v>1490</v>
      </c>
      <c r="D449" s="2" t="s">
        <v>6007</v>
      </c>
      <c r="E449" s="2" t="s">
        <v>6214</v>
      </c>
      <c r="F449" s="2" t="s">
        <v>41</v>
      </c>
      <c r="G449" s="2" t="str">
        <f>"(02)23963282"</f>
        <v>(02)23963282</v>
      </c>
      <c r="H449" s="2" t="s">
        <v>451</v>
      </c>
      <c r="I449" s="2" t="str">
        <f>"(02)23148800"</f>
        <v>(02)23148800</v>
      </c>
      <c r="J449" s="2" t="str">
        <f>"自105年05月28日至105年06月25日止"</f>
        <v>自105年05月28日至105年06月25日止</v>
      </c>
      <c r="K449" s="2" t="str">
        <f>"台灣集中保管結算所股份有限公司"</f>
        <v>台灣集中保管結算所股份有限公司</v>
      </c>
      <c r="L449" s="2" t="str">
        <f>"http://www.stockvote.com.tw"</f>
        <v>http://www.stockvote.com.tw</v>
      </c>
      <c r="M449" s="2" t="str">
        <f t="shared" si="67"/>
        <v>--</v>
      </c>
      <c r="N449" s="2"/>
      <c r="O449" s="2"/>
      <c r="P449" s="2"/>
      <c r="Q449" s="2"/>
    </row>
    <row r="450" spans="1:17" x14ac:dyDescent="0.3">
      <c r="A450" s="2" t="str">
        <f>"2613"</f>
        <v>2613</v>
      </c>
      <c r="B450" s="2" t="s">
        <v>296</v>
      </c>
      <c r="C450" s="2" t="s">
        <v>1491</v>
      </c>
      <c r="D450" s="2" t="s">
        <v>6002</v>
      </c>
      <c r="E450" s="2" t="s">
        <v>6215</v>
      </c>
      <c r="F450" s="2" t="s">
        <v>41</v>
      </c>
      <c r="G450" s="2" t="str">
        <f>"(02)86482211"</f>
        <v>(02)86482211</v>
      </c>
      <c r="H450" s="2" t="s">
        <v>404</v>
      </c>
      <c r="I450" s="2" t="str">
        <f>"(02)66365566"</f>
        <v>(02)66365566</v>
      </c>
      <c r="J450" s="2" t="str">
        <f>"--"</f>
        <v>--</v>
      </c>
      <c r="K450" s="2" t="str">
        <f>"--"</f>
        <v>--</v>
      </c>
      <c r="L450" s="2" t="str">
        <f>"--"</f>
        <v>--</v>
      </c>
      <c r="M450" s="2" t="str">
        <f>"否"</f>
        <v>否</v>
      </c>
      <c r="N450" s="2"/>
      <c r="O450" s="2"/>
      <c r="P450" s="2"/>
      <c r="Q450" s="2"/>
    </row>
    <row r="451" spans="1:17" x14ac:dyDescent="0.3">
      <c r="A451" s="2" t="str">
        <f>"2614"</f>
        <v>2614</v>
      </c>
      <c r="B451" s="2" t="s">
        <v>200</v>
      </c>
      <c r="C451" s="2" t="s">
        <v>1492</v>
      </c>
      <c r="D451" s="2" t="s">
        <v>6020</v>
      </c>
      <c r="E451" s="2" t="s">
        <v>1493</v>
      </c>
      <c r="F451" s="2" t="s">
        <v>2</v>
      </c>
      <c r="G451" s="2" t="str">
        <f>"2755-7565"</f>
        <v>2755-7565</v>
      </c>
      <c r="H451" s="2" t="s">
        <v>444</v>
      </c>
      <c r="I451" s="2" t="str">
        <f>"2746-3797"</f>
        <v>2746-3797</v>
      </c>
      <c r="J451" s="2" t="str">
        <f>"自105年05月19日至105年06月17日止"</f>
        <v>自105年05月19日至105年06月17日止</v>
      </c>
      <c r="K451" s="2" t="str">
        <f t="shared" ref="K451:K457" si="68">"台灣集中保管結算所股份有限公司"</f>
        <v>台灣集中保管結算所股份有限公司</v>
      </c>
      <c r="L451" s="2" t="str">
        <f t="shared" ref="L451:L457" si="69">"http://www.stockvote.com.tw"</f>
        <v>http://www.stockvote.com.tw</v>
      </c>
      <c r="M451" s="2" t="str">
        <f>"強制"</f>
        <v>強制</v>
      </c>
      <c r="N451" s="2"/>
      <c r="O451" s="2"/>
      <c r="P451" s="2"/>
      <c r="Q451" s="2"/>
    </row>
    <row r="452" spans="1:17" x14ac:dyDescent="0.3">
      <c r="A452" s="2" t="str">
        <f>"2615"</f>
        <v>2615</v>
      </c>
      <c r="B452" s="2" t="s">
        <v>1494</v>
      </c>
      <c r="C452" s="2" t="s">
        <v>1495</v>
      </c>
      <c r="D452" s="2" t="s">
        <v>6014</v>
      </c>
      <c r="E452" s="2" t="s">
        <v>6216</v>
      </c>
      <c r="F452" s="2" t="s">
        <v>2</v>
      </c>
      <c r="G452" s="2" t="str">
        <f>"02-25677961"</f>
        <v>02-25677961</v>
      </c>
      <c r="H452" s="2" t="s">
        <v>1496</v>
      </c>
      <c r="I452" s="2" t="str">
        <f>"02-27186425"</f>
        <v>02-27186425</v>
      </c>
      <c r="J452" s="2" t="str">
        <f>"自105年05月28日至105年06月26日止"</f>
        <v>自105年05月28日至105年06月26日止</v>
      </c>
      <c r="K452" s="2" t="str">
        <f t="shared" si="68"/>
        <v>台灣集中保管結算所股份有限公司</v>
      </c>
      <c r="L452" s="2" t="str">
        <f t="shared" si="69"/>
        <v>http://www.stockvote.com.tw</v>
      </c>
      <c r="M452" s="2" t="str">
        <f>"--"</f>
        <v>--</v>
      </c>
      <c r="N452" s="2"/>
      <c r="O452" s="2"/>
      <c r="P452" s="2"/>
      <c r="Q452" s="2"/>
    </row>
    <row r="453" spans="1:17" x14ac:dyDescent="0.3">
      <c r="A453" s="2" t="str">
        <f>"2616"</f>
        <v>2616</v>
      </c>
      <c r="B453" s="2" t="s">
        <v>1497</v>
      </c>
      <c r="C453" s="2" t="s">
        <v>1498</v>
      </c>
      <c r="D453" s="2" t="s">
        <v>6010</v>
      </c>
      <c r="E453" s="2" t="s">
        <v>6217</v>
      </c>
      <c r="F453" s="2" t="s">
        <v>2</v>
      </c>
      <c r="G453" s="2" t="str">
        <f>"(02)29599611"</f>
        <v>(02)29599611</v>
      </c>
      <c r="H453" s="2" t="s">
        <v>1499</v>
      </c>
      <c r="I453" s="2" t="str">
        <f>"(02)22225131"</f>
        <v>(02)22225131</v>
      </c>
      <c r="J453" s="2" t="str">
        <f>"自105年05月25日至105年06月21日止"</f>
        <v>自105年05月25日至105年06月21日止</v>
      </c>
      <c r="K453" s="2" t="str">
        <f t="shared" si="68"/>
        <v>台灣集中保管結算所股份有限公司</v>
      </c>
      <c r="L453" s="2" t="str">
        <f t="shared" si="69"/>
        <v>http://www.stockvote.com.tw</v>
      </c>
      <c r="M453" s="2" t="str">
        <f>"--"</f>
        <v>--</v>
      </c>
      <c r="N453" s="2"/>
      <c r="O453" s="2"/>
      <c r="P453" s="2"/>
      <c r="Q453" s="2"/>
    </row>
    <row r="454" spans="1:17" x14ac:dyDescent="0.3">
      <c r="A454" s="2" t="str">
        <f>"2617"</f>
        <v>2617</v>
      </c>
      <c r="B454" s="2" t="s">
        <v>1500</v>
      </c>
      <c r="C454" s="2" t="s">
        <v>1501</v>
      </c>
      <c r="D454" s="2" t="s">
        <v>5999</v>
      </c>
      <c r="E454" s="2" t="s">
        <v>6218</v>
      </c>
      <c r="F454" s="2" t="s">
        <v>2</v>
      </c>
      <c r="G454" s="2" t="str">
        <f>"02-23941769"</f>
        <v>02-23941769</v>
      </c>
      <c r="H454" s="2" t="s">
        <v>456</v>
      </c>
      <c r="I454" s="2" t="str">
        <f>"02-25048125"</f>
        <v>02-25048125</v>
      </c>
      <c r="J454" s="2" t="str">
        <f>"自105年05月23日至105年06月19日止"</f>
        <v>自105年05月23日至105年06月19日止</v>
      </c>
      <c r="K454" s="2" t="str">
        <f t="shared" si="68"/>
        <v>台灣集中保管結算所股份有限公司</v>
      </c>
      <c r="L454" s="2" t="str">
        <f t="shared" si="69"/>
        <v>http://www.stockvote.com.tw</v>
      </c>
      <c r="M454" s="2" t="str">
        <f>"--"</f>
        <v>--</v>
      </c>
      <c r="N454" s="2"/>
      <c r="O454" s="2"/>
      <c r="P454" s="2"/>
      <c r="Q454" s="2"/>
    </row>
    <row r="455" spans="1:17" x14ac:dyDescent="0.3">
      <c r="A455" s="2" t="str">
        <f>"2618"</f>
        <v>2618</v>
      </c>
      <c r="B455" s="2" t="s">
        <v>1502</v>
      </c>
      <c r="C455" s="2" t="s">
        <v>1503</v>
      </c>
      <c r="D455" s="2" t="s">
        <v>6010</v>
      </c>
      <c r="E455" s="2" t="s">
        <v>1504</v>
      </c>
      <c r="F455" s="2" t="s">
        <v>2</v>
      </c>
      <c r="G455" s="2" t="str">
        <f>"03-3515151"</f>
        <v>03-3515151</v>
      </c>
      <c r="H455" s="2" t="s">
        <v>1505</v>
      </c>
      <c r="I455" s="2" t="str">
        <f>"02-2500-1668"</f>
        <v>02-2500-1668</v>
      </c>
      <c r="J455" s="2" t="str">
        <f>"自105年05月25日至105年06月21日止"</f>
        <v>自105年05月25日至105年06月21日止</v>
      </c>
      <c r="K455" s="2" t="str">
        <f t="shared" si="68"/>
        <v>台灣集中保管結算所股份有限公司</v>
      </c>
      <c r="L455" s="2" t="str">
        <f t="shared" si="69"/>
        <v>http://www.stockvote.com.tw</v>
      </c>
      <c r="M455" s="2" t="str">
        <f>"--"</f>
        <v>--</v>
      </c>
      <c r="N455" s="2"/>
      <c r="O455" s="2"/>
      <c r="P455" s="2"/>
      <c r="Q455" s="2"/>
    </row>
    <row r="456" spans="1:17" x14ac:dyDescent="0.3">
      <c r="A456" s="2" t="str">
        <f>"2634"</f>
        <v>2634</v>
      </c>
      <c r="B456" s="2" t="s">
        <v>1506</v>
      </c>
      <c r="C456" s="2" t="s">
        <v>1507</v>
      </c>
      <c r="D456" s="2" t="s">
        <v>6016</v>
      </c>
      <c r="E456" s="2" t="s">
        <v>1508</v>
      </c>
      <c r="F456" s="2" t="s">
        <v>2</v>
      </c>
      <c r="G456" s="2" t="str">
        <f>"04-27020001"</f>
        <v>04-27020001</v>
      </c>
      <c r="H456" s="2" t="s">
        <v>667</v>
      </c>
      <c r="I456" s="2" t="str">
        <f>"02-23611300"</f>
        <v>02-23611300</v>
      </c>
      <c r="J456" s="2" t="str">
        <f>"自105年05月14日至105年06月11日止"</f>
        <v>自105年05月14日至105年06月11日止</v>
      </c>
      <c r="K456" s="2" t="str">
        <f t="shared" si="68"/>
        <v>台灣集中保管結算所股份有限公司</v>
      </c>
      <c r="L456" s="2" t="str">
        <f t="shared" si="69"/>
        <v>http://www.stockvote.com.tw</v>
      </c>
      <c r="M456" s="2" t="str">
        <f>"--"</f>
        <v>--</v>
      </c>
      <c r="N456" s="2"/>
      <c r="O456" s="2"/>
      <c r="P456" s="2"/>
      <c r="Q456" s="2"/>
    </row>
    <row r="457" spans="1:17" x14ac:dyDescent="0.3">
      <c r="A457" s="2" t="str">
        <f>"2637"</f>
        <v>2637</v>
      </c>
      <c r="B457" s="2" t="s">
        <v>1509</v>
      </c>
      <c r="C457" s="2" t="s">
        <v>6219</v>
      </c>
      <c r="D457" s="2" t="s">
        <v>6034</v>
      </c>
      <c r="E457" s="2" t="s">
        <v>1510</v>
      </c>
      <c r="F457" s="2" t="s">
        <v>2</v>
      </c>
      <c r="G457" s="2" t="str">
        <f>"02-27556911"</f>
        <v>02-27556911</v>
      </c>
      <c r="H457" s="2" t="s">
        <v>653</v>
      </c>
      <c r="I457" s="2" t="str">
        <f>"02-27686668"</f>
        <v>02-27686668</v>
      </c>
      <c r="J457" s="2" t="str">
        <f>"自105年04月27日至105年05月24日止"</f>
        <v>自105年04月27日至105年05月24日止</v>
      </c>
      <c r="K457" s="2" t="str">
        <f t="shared" si="68"/>
        <v>台灣集中保管結算所股份有限公司</v>
      </c>
      <c r="L457" s="2" t="str">
        <f t="shared" si="69"/>
        <v>http://www.stockvote.com.tw</v>
      </c>
      <c r="M457" s="2" t="str">
        <f>"強制"</f>
        <v>強制</v>
      </c>
      <c r="N457" s="2"/>
      <c r="O457" s="2"/>
      <c r="P457" s="2"/>
      <c r="Q457" s="2"/>
    </row>
    <row r="458" spans="1:17" x14ac:dyDescent="0.3">
      <c r="A458" s="2" t="str">
        <f>"2642"</f>
        <v>2642</v>
      </c>
      <c r="B458" s="2" t="s">
        <v>280</v>
      </c>
      <c r="C458" s="2" t="s">
        <v>1511</v>
      </c>
      <c r="D458" s="2" t="s">
        <v>6034</v>
      </c>
      <c r="E458" s="2" t="s">
        <v>6220</v>
      </c>
      <c r="F458" s="2" t="s">
        <v>2</v>
      </c>
      <c r="G458" s="2" t="str">
        <f>"02-66165500"</f>
        <v>02-66165500</v>
      </c>
      <c r="H458" s="2" t="s">
        <v>415</v>
      </c>
      <c r="I458" s="2" t="str">
        <f>"02-23892999"</f>
        <v>02-23892999</v>
      </c>
      <c r="J458" s="2" t="str">
        <f>"--"</f>
        <v>--</v>
      </c>
      <c r="K458" s="2" t="str">
        <f>"--"</f>
        <v>--</v>
      </c>
      <c r="L458" s="2" t="str">
        <f>"--"</f>
        <v>--</v>
      </c>
      <c r="M458" s="2" t="str">
        <f>"否"</f>
        <v>否</v>
      </c>
      <c r="N458" s="2"/>
      <c r="O458" s="2"/>
      <c r="P458" s="2"/>
      <c r="Q458" s="2"/>
    </row>
    <row r="459" spans="1:17" x14ac:dyDescent="0.3">
      <c r="A459" s="2" t="str">
        <f>"2701"</f>
        <v>2701</v>
      </c>
      <c r="B459" s="2" t="s">
        <v>1512</v>
      </c>
      <c r="C459" s="2" t="s">
        <v>1513</v>
      </c>
      <c r="D459" s="2" t="s">
        <v>6001</v>
      </c>
      <c r="E459" s="2" t="s">
        <v>1513</v>
      </c>
      <c r="F459" s="2" t="s">
        <v>2</v>
      </c>
      <c r="G459" s="2" t="str">
        <f>"(02)2375-3211"</f>
        <v>(02)2375-3211</v>
      </c>
      <c r="H459" s="2" t="s">
        <v>578</v>
      </c>
      <c r="I459" s="2" t="str">
        <f>"(02)2381-3737"</f>
        <v>(02)2381-3737</v>
      </c>
      <c r="J459" s="2" t="str">
        <f>"自105年05月28日至105年06月24日止"</f>
        <v>自105年05月28日至105年06月24日止</v>
      </c>
      <c r="K459" s="2" t="str">
        <f>"台灣集中保管結算所股份有限公司"</f>
        <v>台灣集中保管結算所股份有限公司</v>
      </c>
      <c r="L459" s="2" t="str">
        <f>"http://www.stockvote.com.tw"</f>
        <v>http://www.stockvote.com.tw</v>
      </c>
      <c r="M459" s="2" t="str">
        <f>"--"</f>
        <v>--</v>
      </c>
      <c r="N459" s="2"/>
      <c r="O459" s="2"/>
      <c r="P459" s="2"/>
      <c r="Q459" s="2"/>
    </row>
    <row r="460" spans="1:17" x14ac:dyDescent="0.3">
      <c r="A460" s="2" t="str">
        <f>"2702"</f>
        <v>2702</v>
      </c>
      <c r="B460" s="2" t="s">
        <v>1514</v>
      </c>
      <c r="C460" s="2" t="s">
        <v>1515</v>
      </c>
      <c r="D460" s="2" t="s">
        <v>6020</v>
      </c>
      <c r="E460" s="2" t="s">
        <v>1516</v>
      </c>
      <c r="F460" s="2" t="s">
        <v>41</v>
      </c>
      <c r="G460" s="2" t="str">
        <f>"07-2410123"</f>
        <v>07-2410123</v>
      </c>
      <c r="H460" s="2" t="s">
        <v>478</v>
      </c>
      <c r="I460" s="2" t="str">
        <f>"02-25936666"</f>
        <v>02-25936666</v>
      </c>
      <c r="J460" s="2" t="str">
        <f>"--"</f>
        <v>--</v>
      </c>
      <c r="K460" s="2" t="str">
        <f>"--"</f>
        <v>--</v>
      </c>
      <c r="L460" s="2" t="str">
        <f>"--"</f>
        <v>--</v>
      </c>
      <c r="M460" s="2" t="str">
        <f>"否"</f>
        <v>否</v>
      </c>
      <c r="N460" s="2"/>
      <c r="O460" s="2"/>
      <c r="P460" s="2"/>
      <c r="Q460" s="2"/>
    </row>
    <row r="461" spans="1:17" x14ac:dyDescent="0.3">
      <c r="A461" s="2" t="str">
        <f>"2704"</f>
        <v>2704</v>
      </c>
      <c r="B461" s="2" t="s">
        <v>31</v>
      </c>
      <c r="C461" s="2" t="s">
        <v>1517</v>
      </c>
      <c r="D461" s="2" t="s">
        <v>6024</v>
      </c>
      <c r="E461" s="2" t="s">
        <v>6221</v>
      </c>
      <c r="F461" s="2" t="s">
        <v>2</v>
      </c>
      <c r="G461" s="2" t="str">
        <f>"(02)2551-1111"</f>
        <v>(02)2551-1111</v>
      </c>
      <c r="H461" s="2" t="s">
        <v>1518</v>
      </c>
      <c r="I461" s="2" t="str">
        <f>"(02)2100-2100"</f>
        <v>(02)2100-2100</v>
      </c>
      <c r="J461" s="2" t="str">
        <f>"自105年05月08日至105年06月04日止"</f>
        <v>自105年05月08日至105年06月04日止</v>
      </c>
      <c r="K461" s="2" t="str">
        <f>"台灣集中保管結算所股份有限公司"</f>
        <v>台灣集中保管結算所股份有限公司</v>
      </c>
      <c r="L461" s="2" t="str">
        <f>"http://www.stockvote.com.tw"</f>
        <v>http://www.stockvote.com.tw</v>
      </c>
      <c r="M461" s="2" t="str">
        <f>"強制"</f>
        <v>強制</v>
      </c>
      <c r="N461" s="2"/>
      <c r="O461" s="2"/>
      <c r="P461" s="2"/>
      <c r="Q461" s="2"/>
    </row>
    <row r="462" spans="1:17" x14ac:dyDescent="0.3">
      <c r="A462" s="2" t="str">
        <f>"2705"</f>
        <v>2705</v>
      </c>
      <c r="B462" s="2" t="s">
        <v>256</v>
      </c>
      <c r="C462" s="2" t="s">
        <v>1519</v>
      </c>
      <c r="D462" s="2" t="s">
        <v>6020</v>
      </c>
      <c r="E462" s="2" t="s">
        <v>1520</v>
      </c>
      <c r="F462" s="2" t="s">
        <v>2</v>
      </c>
      <c r="G462" s="2" t="str">
        <f>"03-547-5665"</f>
        <v>03-547-5665</v>
      </c>
      <c r="H462" s="2" t="s">
        <v>456</v>
      </c>
      <c r="I462" s="2" t="str">
        <f>"02-25048125"</f>
        <v>02-25048125</v>
      </c>
      <c r="J462" s="2" t="str">
        <f>"自105年05月21日至105年06月17日止"</f>
        <v>自105年05月21日至105年06月17日止</v>
      </c>
      <c r="K462" s="2" t="str">
        <f>"台灣集中保管結算所股份有限公司"</f>
        <v>台灣集中保管結算所股份有限公司</v>
      </c>
      <c r="L462" s="2" t="str">
        <f>"http://www.stockvote.com.tw"</f>
        <v>http://www.stockvote.com.tw</v>
      </c>
      <c r="M462" s="2" t="str">
        <f>"--"</f>
        <v>--</v>
      </c>
      <c r="N462" s="2"/>
      <c r="O462" s="2"/>
      <c r="P462" s="2"/>
      <c r="Q462" s="2"/>
    </row>
    <row r="463" spans="1:17" x14ac:dyDescent="0.3">
      <c r="A463" s="2" t="str">
        <f>"2706"</f>
        <v>2706</v>
      </c>
      <c r="B463" s="2" t="s">
        <v>1521</v>
      </c>
      <c r="C463" s="2" t="s">
        <v>1522</v>
      </c>
      <c r="D463" s="2" t="s">
        <v>6015</v>
      </c>
      <c r="E463" s="2" t="s">
        <v>1522</v>
      </c>
      <c r="F463" s="2" t="s">
        <v>41</v>
      </c>
      <c r="G463" s="2" t="str">
        <f>"25418234"</f>
        <v>25418234</v>
      </c>
      <c r="H463" s="2" t="s">
        <v>1523</v>
      </c>
      <c r="I463" s="2" t="str">
        <f>"23753211"</f>
        <v>23753211</v>
      </c>
      <c r="J463" s="2" t="str">
        <f>"自105年05月24日至105年06月20日止"</f>
        <v>自105年05月24日至105年06月20日止</v>
      </c>
      <c r="K463" s="2" t="str">
        <f>"台灣集中保管結算所股份有限公司"</f>
        <v>台灣集中保管結算所股份有限公司</v>
      </c>
      <c r="L463" s="2" t="str">
        <f>"http://www.stockvote.com.tw"</f>
        <v>http://www.stockvote.com.tw</v>
      </c>
      <c r="M463" s="2" t="str">
        <f>"--"</f>
        <v>--</v>
      </c>
      <c r="N463" s="2"/>
      <c r="O463" s="2"/>
      <c r="P463" s="2"/>
      <c r="Q463" s="2"/>
    </row>
    <row r="464" spans="1:17" x14ac:dyDescent="0.3">
      <c r="A464" s="2" t="str">
        <f>"2707"</f>
        <v>2707</v>
      </c>
      <c r="B464" s="2" t="s">
        <v>1524</v>
      </c>
      <c r="C464" s="2" t="s">
        <v>1525</v>
      </c>
      <c r="D464" s="2" t="s">
        <v>6002</v>
      </c>
      <c r="E464" s="2" t="s">
        <v>1526</v>
      </c>
      <c r="F464" s="2" t="s">
        <v>2</v>
      </c>
      <c r="G464" s="2" t="str">
        <f>"(02)2521-5000"</f>
        <v>(02)2521-5000</v>
      </c>
      <c r="H464" s="2" t="s">
        <v>456</v>
      </c>
      <c r="I464" s="2" t="str">
        <f>"(02)2504-8125"</f>
        <v>(02)2504-8125</v>
      </c>
      <c r="J464" s="2" t="str">
        <f>"自105年05月14日至105年06月12日止"</f>
        <v>自105年05月14日至105年06月12日止</v>
      </c>
      <c r="K464" s="2" t="str">
        <f>"台灣集中保管結算所股份有限公司"</f>
        <v>台灣集中保管結算所股份有限公司</v>
      </c>
      <c r="L464" s="2" t="str">
        <f>"http://www.stockvote.com.tw"</f>
        <v>http://www.stockvote.com.tw</v>
      </c>
      <c r="M464" s="2" t="str">
        <f>"--"</f>
        <v>--</v>
      </c>
      <c r="N464" s="2"/>
      <c r="O464" s="2"/>
      <c r="P464" s="2"/>
      <c r="Q464" s="2"/>
    </row>
    <row r="465" spans="1:17" x14ac:dyDescent="0.3">
      <c r="A465" s="2" t="str">
        <f>"2712"</f>
        <v>2712</v>
      </c>
      <c r="B465" s="2" t="s">
        <v>1527</v>
      </c>
      <c r="C465" s="2" t="s">
        <v>1528</v>
      </c>
      <c r="D465" s="2" t="s">
        <v>6091</v>
      </c>
      <c r="E465" s="2" t="s">
        <v>1529</v>
      </c>
      <c r="F465" s="2" t="s">
        <v>2</v>
      </c>
      <c r="G465" s="2" t="str">
        <f>"(03)8123900"</f>
        <v>(03)8123900</v>
      </c>
      <c r="H465" s="2" t="s">
        <v>6006</v>
      </c>
      <c r="I465" s="2" t="str">
        <f>"(02)25863117"</f>
        <v>(02)25863117</v>
      </c>
      <c r="J465" s="2" t="str">
        <f>"自105年04月23日至105年05月21日止"</f>
        <v>自105年04月23日至105年05月21日止</v>
      </c>
      <c r="K465" s="2" t="str">
        <f>"台灣集中保管結算所股份有限公司"</f>
        <v>台灣集中保管結算所股份有限公司</v>
      </c>
      <c r="L465" s="2" t="str">
        <f>"http://www.stockvote.com.tw"</f>
        <v>http://www.stockvote.com.tw</v>
      </c>
      <c r="M465" s="2" t="str">
        <f>"&lt;b&gt;&lt;font color='red'&gt;自願&lt;/font&gt;&lt;/b&gt;"</f>
        <v>&lt;b&gt;&lt;font color='red'&gt;自願&lt;/font&gt;&lt;/b&gt;</v>
      </c>
      <c r="N465" s="2"/>
      <c r="O465" s="2"/>
      <c r="P465" s="2"/>
      <c r="Q465" s="2"/>
    </row>
    <row r="466" spans="1:17" x14ac:dyDescent="0.3">
      <c r="A466" s="2" t="str">
        <f>"2722"</f>
        <v>2722</v>
      </c>
      <c r="B466" s="2" t="s">
        <v>1530</v>
      </c>
      <c r="C466" s="2" t="s">
        <v>1531</v>
      </c>
      <c r="D466" s="2" t="s">
        <v>6222</v>
      </c>
      <c r="E466" s="2" t="s">
        <v>1532</v>
      </c>
      <c r="F466" s="2" t="s">
        <v>41</v>
      </c>
      <c r="G466" s="2" t="str">
        <f>"08-8862377"</f>
        <v>08-8862377</v>
      </c>
      <c r="H466" s="2" t="s">
        <v>469</v>
      </c>
      <c r="I466" s="2" t="str">
        <f>"02-27463797"</f>
        <v>02-27463797</v>
      </c>
      <c r="J466" s="2" t="str">
        <f>"--"</f>
        <v>--</v>
      </c>
      <c r="K466" s="2" t="str">
        <f>"--"</f>
        <v>--</v>
      </c>
      <c r="L466" s="2" t="str">
        <f>"--"</f>
        <v>--</v>
      </c>
      <c r="M466" s="2" t="str">
        <f>"否"</f>
        <v>否</v>
      </c>
      <c r="N466" s="2"/>
      <c r="O466" s="2"/>
      <c r="P466" s="2"/>
      <c r="Q466" s="2"/>
    </row>
    <row r="467" spans="1:17" x14ac:dyDescent="0.3">
      <c r="A467" s="2" t="str">
        <f>"2723"</f>
        <v>2723</v>
      </c>
      <c r="B467" s="2" t="s">
        <v>1533</v>
      </c>
      <c r="C467" s="2" t="s">
        <v>1534</v>
      </c>
      <c r="D467" s="2" t="s">
        <v>6051</v>
      </c>
      <c r="E467" s="2" t="s">
        <v>1535</v>
      </c>
      <c r="F467" s="2" t="s">
        <v>41</v>
      </c>
      <c r="G467" s="2" t="str">
        <f>"(04)3503-9090"</f>
        <v>(04)3503-9090</v>
      </c>
      <c r="H467" s="2" t="s">
        <v>6006</v>
      </c>
      <c r="I467" s="2" t="str">
        <f>"(02)2586-5859"</f>
        <v>(02)2586-5859</v>
      </c>
      <c r="J467" s="2" t="str">
        <f>"自105年05月04日至105年05月31日止"</f>
        <v>自105年05月04日至105年05月31日止</v>
      </c>
      <c r="K467" s="2" t="str">
        <f>"台灣集中保管結算所股份有限公司"</f>
        <v>台灣集中保管結算所股份有限公司</v>
      </c>
      <c r="L467" s="2" t="str">
        <f>"http://www.stockvote.com.tw"</f>
        <v>http://www.stockvote.com.tw</v>
      </c>
      <c r="M467" s="2" t="str">
        <f>"&lt;b&gt;&lt;font color='red'&gt;自願&lt;/font&gt;&lt;/b&gt;"</f>
        <v>&lt;b&gt;&lt;font color='red'&gt;自願&lt;/font&gt;&lt;/b&gt;</v>
      </c>
      <c r="N467" s="2"/>
      <c r="O467" s="2"/>
      <c r="P467" s="2"/>
      <c r="Q467" s="2"/>
    </row>
    <row r="468" spans="1:17" x14ac:dyDescent="0.3">
      <c r="A468" s="2" t="str">
        <f>"2727"</f>
        <v>2727</v>
      </c>
      <c r="B468" s="2" t="s">
        <v>1536</v>
      </c>
      <c r="C468" s="2" t="s">
        <v>1537</v>
      </c>
      <c r="D468" s="2" t="s">
        <v>6031</v>
      </c>
      <c r="E468" s="2" t="s">
        <v>1538</v>
      </c>
      <c r="F468" s="2" t="s">
        <v>2</v>
      </c>
      <c r="G468" s="2" t="str">
        <f>"04-23221868"</f>
        <v>04-23221868</v>
      </c>
      <c r="H468" s="2" t="s">
        <v>465</v>
      </c>
      <c r="I468" s="2" t="str">
        <f>"(02)2381-6288"</f>
        <v>(02)2381-6288</v>
      </c>
      <c r="J468" s="2" t="str">
        <f>"自105年05月07日至105年06月03日止"</f>
        <v>自105年05月07日至105年06月03日止</v>
      </c>
      <c r="K468" s="2" t="str">
        <f>"台灣集中保管結算所股份有限公司"</f>
        <v>台灣集中保管結算所股份有限公司</v>
      </c>
      <c r="L468" s="2" t="str">
        <f>"http://www.stockvote.com.tw"</f>
        <v>http://www.stockvote.com.tw</v>
      </c>
      <c r="M468" s="2" t="str">
        <f>"&lt;b&gt;&lt;font color='red'&gt;自願&lt;/font&gt;&lt;/b&gt;"</f>
        <v>&lt;b&gt;&lt;font color='red'&gt;自願&lt;/font&gt;&lt;/b&gt;</v>
      </c>
      <c r="N468" s="2"/>
      <c r="O468" s="2"/>
      <c r="P468" s="2"/>
      <c r="Q468" s="2"/>
    </row>
    <row r="469" spans="1:17" x14ac:dyDescent="0.3">
      <c r="A469" s="2" t="str">
        <f>"2731"</f>
        <v>2731</v>
      </c>
      <c r="B469" s="2" t="s">
        <v>1539</v>
      </c>
      <c r="C469" s="2" t="s">
        <v>6223</v>
      </c>
      <c r="D469" s="2" t="s">
        <v>6004</v>
      </c>
      <c r="E469" s="2" t="s">
        <v>1540</v>
      </c>
      <c r="F469" s="2" t="s">
        <v>2</v>
      </c>
      <c r="G469" s="2" t="str">
        <f>"8793-9000"</f>
        <v>8793-9000</v>
      </c>
      <c r="H469" s="2" t="s">
        <v>667</v>
      </c>
      <c r="I469" s="2" t="str">
        <f>"(02)2361-1300"</f>
        <v>(02)2361-1300</v>
      </c>
      <c r="J469" s="2" t="str">
        <f>"--"</f>
        <v>--</v>
      </c>
      <c r="K469" s="2" t="str">
        <f>"--"</f>
        <v>--</v>
      </c>
      <c r="L469" s="2" t="str">
        <f>"--"</f>
        <v>--</v>
      </c>
      <c r="M469" s="2" t="str">
        <f>"--"</f>
        <v>--</v>
      </c>
      <c r="N469" s="2"/>
      <c r="O469" s="2"/>
      <c r="P469" s="2"/>
      <c r="Q469" s="2"/>
    </row>
    <row r="470" spans="1:17" x14ac:dyDescent="0.3">
      <c r="A470" s="2" t="str">
        <f>"2801"</f>
        <v>2801</v>
      </c>
      <c r="B470" s="2" t="s">
        <v>1541</v>
      </c>
      <c r="C470" s="2" t="s">
        <v>1542</v>
      </c>
      <c r="D470" s="2" t="s">
        <v>6025</v>
      </c>
      <c r="E470" s="2" t="s">
        <v>1543</v>
      </c>
      <c r="F470" s="2" t="s">
        <v>2</v>
      </c>
      <c r="G470" s="2" t="str">
        <f>"02-25362951"</f>
        <v>02-25362951</v>
      </c>
      <c r="H470" s="2" t="s">
        <v>6009</v>
      </c>
      <c r="I470" s="2" t="str">
        <f>"02-25865859"</f>
        <v>02-25865859</v>
      </c>
      <c r="J470" s="2" t="str">
        <f>"自105年05月07日至105年06月05日止"</f>
        <v>自105年05月07日至105年06月05日止</v>
      </c>
      <c r="K470" s="2" t="str">
        <f t="shared" ref="K470:K501" si="70">"台灣集中保管結算所股份有限公司"</f>
        <v>台灣集中保管結算所股份有限公司</v>
      </c>
      <c r="L470" s="2" t="str">
        <f t="shared" ref="L470:L501" si="71">"http://www.stockvote.com.tw"</f>
        <v>http://www.stockvote.com.tw</v>
      </c>
      <c r="M470" s="2" t="str">
        <f>"強制"</f>
        <v>強制</v>
      </c>
      <c r="N470" s="2"/>
      <c r="O470" s="2"/>
      <c r="P470" s="2"/>
      <c r="Q470" s="2"/>
    </row>
    <row r="471" spans="1:17" x14ac:dyDescent="0.3">
      <c r="A471" s="2" t="str">
        <f>"2809"</f>
        <v>2809</v>
      </c>
      <c r="B471" s="2" t="s">
        <v>1544</v>
      </c>
      <c r="C471" s="2" t="s">
        <v>1545</v>
      </c>
      <c r="D471" s="2" t="s">
        <v>6080</v>
      </c>
      <c r="E471" s="2" t="s">
        <v>1546</v>
      </c>
      <c r="F471" s="2" t="s">
        <v>2</v>
      </c>
      <c r="G471" s="2" t="str">
        <f>"06-2139171"</f>
        <v>06-2139171</v>
      </c>
      <c r="H471" s="2" t="s">
        <v>404</v>
      </c>
      <c r="I471" s="2" t="str">
        <f>"02-66365566"</f>
        <v>02-66365566</v>
      </c>
      <c r="J471" s="2" t="str">
        <f>"自105年04月16日至105年05月15日止"</f>
        <v>自105年04月16日至105年05月15日止</v>
      </c>
      <c r="K471" s="2" t="str">
        <f t="shared" si="70"/>
        <v>台灣集中保管結算所股份有限公司</v>
      </c>
      <c r="L471" s="2" t="str">
        <f t="shared" si="71"/>
        <v>http://www.stockvote.com.tw</v>
      </c>
      <c r="M471" s="2" t="str">
        <f>"強制"</f>
        <v>強制</v>
      </c>
      <c r="N471" s="2"/>
      <c r="O471" s="2"/>
      <c r="P471" s="2"/>
      <c r="Q471" s="2"/>
    </row>
    <row r="472" spans="1:17" x14ac:dyDescent="0.3">
      <c r="A472" s="2" t="str">
        <f>"2812"</f>
        <v>2812</v>
      </c>
      <c r="B472" s="2" t="s">
        <v>1547</v>
      </c>
      <c r="C472" s="2" t="s">
        <v>1548</v>
      </c>
      <c r="D472" s="2" t="s">
        <v>6000</v>
      </c>
      <c r="E472" s="2" t="s">
        <v>1549</v>
      </c>
      <c r="F472" s="2" t="s">
        <v>2</v>
      </c>
      <c r="G472" s="2" t="str">
        <f>"04-22236021"</f>
        <v>04-22236021</v>
      </c>
      <c r="H472" s="2" t="s">
        <v>578</v>
      </c>
      <c r="I472" s="2" t="str">
        <f>"02-23957388"</f>
        <v>02-23957388</v>
      </c>
      <c r="J472" s="2" t="str">
        <f>"自105年05月21日至105年06月18日止"</f>
        <v>自105年05月21日至105年06月18日止</v>
      </c>
      <c r="K472" s="2" t="str">
        <f t="shared" si="70"/>
        <v>台灣集中保管結算所股份有限公司</v>
      </c>
      <c r="L472" s="2" t="str">
        <f t="shared" si="71"/>
        <v>http://www.stockvote.com.tw</v>
      </c>
      <c r="M472" s="2" t="str">
        <f>"--"</f>
        <v>--</v>
      </c>
      <c r="N472" s="2"/>
      <c r="O472" s="2"/>
      <c r="P472" s="2"/>
      <c r="Q472" s="2"/>
    </row>
    <row r="473" spans="1:17" x14ac:dyDescent="0.3">
      <c r="A473" s="2" t="str">
        <f>"2816"</f>
        <v>2816</v>
      </c>
      <c r="B473" s="2" t="s">
        <v>1550</v>
      </c>
      <c r="C473" s="2" t="s">
        <v>1551</v>
      </c>
      <c r="D473" s="2" t="s">
        <v>6010</v>
      </c>
      <c r="E473" s="2" t="s">
        <v>1552</v>
      </c>
      <c r="F473" s="2" t="s">
        <v>41</v>
      </c>
      <c r="G473" s="2" t="str">
        <f>"2776-5567"</f>
        <v>2776-5567</v>
      </c>
      <c r="H473" s="2" t="s">
        <v>1553</v>
      </c>
      <c r="I473" s="2" t="str">
        <f>"2593-6666"</f>
        <v>2593-6666</v>
      </c>
      <c r="J473" s="2" t="str">
        <f>"自105年05月25日至105年06月21日止"</f>
        <v>自105年05月25日至105年06月21日止</v>
      </c>
      <c r="K473" s="2" t="str">
        <f t="shared" si="70"/>
        <v>台灣集中保管結算所股份有限公司</v>
      </c>
      <c r="L473" s="2" t="str">
        <f t="shared" si="71"/>
        <v>http://www.stockvote.com.tw</v>
      </c>
      <c r="M473" s="2" t="str">
        <f>"強制"</f>
        <v>強制</v>
      </c>
      <c r="N473" s="2"/>
      <c r="O473" s="2"/>
      <c r="P473" s="2"/>
      <c r="Q473" s="2"/>
    </row>
    <row r="474" spans="1:17" x14ac:dyDescent="0.3">
      <c r="A474" s="2" t="str">
        <f>"2820"</f>
        <v>2820</v>
      </c>
      <c r="B474" s="2" t="s">
        <v>7</v>
      </c>
      <c r="C474" s="2" t="s">
        <v>1554</v>
      </c>
      <c r="D474" s="2" t="s">
        <v>6141</v>
      </c>
      <c r="E474" s="2" t="s">
        <v>1555</v>
      </c>
      <c r="F474" s="2" t="s">
        <v>2</v>
      </c>
      <c r="G474" s="2" t="str">
        <f>"(02)2799-1177"</f>
        <v>(02)2799-1177</v>
      </c>
      <c r="H474" s="2" t="s">
        <v>817</v>
      </c>
      <c r="I474" s="2" t="str">
        <f>"(02)6636-5566"</f>
        <v>(02)6636-5566</v>
      </c>
      <c r="J474" s="2" t="str">
        <f>"自105年04月30日至105年05月30日止"</f>
        <v>自105年04月30日至105年05月30日止</v>
      </c>
      <c r="K474" s="2" t="str">
        <f t="shared" si="70"/>
        <v>台灣集中保管結算所股份有限公司</v>
      </c>
      <c r="L474" s="2" t="str">
        <f t="shared" si="71"/>
        <v>http://www.stockvote.com.tw</v>
      </c>
      <c r="M474" s="2" t="str">
        <f>"強制"</f>
        <v>強制</v>
      </c>
      <c r="N474" s="2"/>
      <c r="O474" s="2"/>
      <c r="P474" s="2"/>
      <c r="Q474" s="2"/>
    </row>
    <row r="475" spans="1:17" x14ac:dyDescent="0.3">
      <c r="A475" s="2" t="str">
        <f>"2823"</f>
        <v>2823</v>
      </c>
      <c r="B475" s="2" t="s">
        <v>181</v>
      </c>
      <c r="C475" s="2" t="s">
        <v>1556</v>
      </c>
      <c r="D475" s="2" t="s">
        <v>6037</v>
      </c>
      <c r="E475" s="2" t="s">
        <v>1557</v>
      </c>
      <c r="F475" s="2" t="s">
        <v>2</v>
      </c>
      <c r="G475" s="2" t="str">
        <f>"02-27196678"</f>
        <v>02-27196678</v>
      </c>
      <c r="H475" s="2" t="s">
        <v>404</v>
      </c>
      <c r="I475" s="2" t="str">
        <f>"02-66365566"</f>
        <v>02-66365566</v>
      </c>
      <c r="J475" s="2" t="str">
        <f>"自105年05月01日至105年05月28日止"</f>
        <v>自105年05月01日至105年05月28日止</v>
      </c>
      <c r="K475" s="2" t="str">
        <f t="shared" si="70"/>
        <v>台灣集中保管結算所股份有限公司</v>
      </c>
      <c r="L475" s="2" t="str">
        <f t="shared" si="71"/>
        <v>http://www.stockvote.com.tw</v>
      </c>
      <c r="M475" s="2" t="str">
        <f>"強制"</f>
        <v>強制</v>
      </c>
      <c r="N475" s="2"/>
      <c r="O475" s="2"/>
      <c r="P475" s="2"/>
      <c r="Q475" s="2"/>
    </row>
    <row r="476" spans="1:17" x14ac:dyDescent="0.3">
      <c r="A476" s="2" t="str">
        <f>"2832"</f>
        <v>2832</v>
      </c>
      <c r="B476" s="2" t="s">
        <v>286</v>
      </c>
      <c r="C476" s="2" t="s">
        <v>1558</v>
      </c>
      <c r="D476" s="2" t="s">
        <v>6016</v>
      </c>
      <c r="E476" s="2" t="s">
        <v>1559</v>
      </c>
      <c r="F476" s="2" t="s">
        <v>2</v>
      </c>
      <c r="G476" s="2" t="str">
        <f>"(02)23821666"</f>
        <v>(02)23821666</v>
      </c>
      <c r="H476" s="2" t="s">
        <v>478</v>
      </c>
      <c r="I476" s="2" t="str">
        <f>"(02)25936666"</f>
        <v>(02)25936666</v>
      </c>
      <c r="J476" s="2" t="str">
        <f>"自105年05月13日至105年06月11日止"</f>
        <v>自105年05月13日至105年06月11日止</v>
      </c>
      <c r="K476" s="2" t="str">
        <f t="shared" si="70"/>
        <v>台灣集中保管結算所股份有限公司</v>
      </c>
      <c r="L476" s="2" t="str">
        <f t="shared" si="71"/>
        <v>http://www.stockvote.com.tw</v>
      </c>
      <c r="M476" s="2" t="str">
        <f>"--"</f>
        <v>--</v>
      </c>
      <c r="N476" s="2"/>
      <c r="O476" s="2"/>
      <c r="P476" s="2"/>
      <c r="Q476" s="2"/>
    </row>
    <row r="477" spans="1:17" x14ac:dyDescent="0.3">
      <c r="A477" s="2" t="str">
        <f>"2834"</f>
        <v>2834</v>
      </c>
      <c r="B477" s="2" t="s">
        <v>1560</v>
      </c>
      <c r="C477" s="2" t="s">
        <v>1561</v>
      </c>
      <c r="D477" s="2" t="s">
        <v>6010</v>
      </c>
      <c r="E477" s="2" t="s">
        <v>6224</v>
      </c>
      <c r="F477" s="2" t="s">
        <v>2</v>
      </c>
      <c r="G477" s="2" t="str">
        <f>"(02)25597171"</f>
        <v>(02)25597171</v>
      </c>
      <c r="H477" s="2" t="s">
        <v>431</v>
      </c>
      <c r="I477" s="2" t="str">
        <f>"(02)27023999"</f>
        <v>(02)27023999</v>
      </c>
      <c r="J477" s="2" t="str">
        <f>"自105年05月25日至105年06月21日止"</f>
        <v>自105年05月25日至105年06月21日止</v>
      </c>
      <c r="K477" s="2" t="str">
        <f t="shared" si="70"/>
        <v>台灣集中保管結算所股份有限公司</v>
      </c>
      <c r="L477" s="2" t="str">
        <f t="shared" si="71"/>
        <v>http://www.stockvote.com.tw</v>
      </c>
      <c r="M477" s="2" t="str">
        <f>"--"</f>
        <v>--</v>
      </c>
      <c r="N477" s="2"/>
      <c r="O477" s="2"/>
      <c r="P477" s="2"/>
      <c r="Q477" s="2"/>
    </row>
    <row r="478" spans="1:17" x14ac:dyDescent="0.3">
      <c r="A478" s="2" t="str">
        <f>"2836"</f>
        <v>2836</v>
      </c>
      <c r="B478" s="2" t="s">
        <v>1562</v>
      </c>
      <c r="C478" s="2" t="s">
        <v>1563</v>
      </c>
      <c r="D478" s="2" t="s">
        <v>6015</v>
      </c>
      <c r="E478" s="2" t="s">
        <v>1564</v>
      </c>
      <c r="F478" s="2" t="s">
        <v>2</v>
      </c>
      <c r="G478" s="2" t="str">
        <f>"(07)557-0535"</f>
        <v>(07)557-0535</v>
      </c>
      <c r="H478" s="2" t="s">
        <v>539</v>
      </c>
      <c r="I478" s="2" t="str">
        <f>"(02)2586-5859"</f>
        <v>(02)2586-5859</v>
      </c>
      <c r="J478" s="2" t="str">
        <f>"自105年05月24日至105年06月20日止"</f>
        <v>自105年05月24日至105年06月20日止</v>
      </c>
      <c r="K478" s="2" t="str">
        <f t="shared" si="70"/>
        <v>台灣集中保管結算所股份有限公司</v>
      </c>
      <c r="L478" s="2" t="str">
        <f t="shared" si="71"/>
        <v>http://www.stockvote.com.tw</v>
      </c>
      <c r="M478" s="2" t="str">
        <f>"--"</f>
        <v>--</v>
      </c>
      <c r="N478" s="2"/>
      <c r="O478" s="2"/>
      <c r="P478" s="2"/>
      <c r="Q478" s="2"/>
    </row>
    <row r="479" spans="1:17" x14ac:dyDescent="0.3">
      <c r="A479" s="2" t="str">
        <f>"2838"</f>
        <v>2838</v>
      </c>
      <c r="B479" s="2" t="s">
        <v>1565</v>
      </c>
      <c r="C479" s="2" t="s">
        <v>6225</v>
      </c>
      <c r="D479" s="2" t="s">
        <v>6025</v>
      </c>
      <c r="E479" s="2" t="s">
        <v>1566</v>
      </c>
      <c r="F479" s="2" t="s">
        <v>2</v>
      </c>
      <c r="G479" s="2" t="str">
        <f>"(02)2718-0001"</f>
        <v>(02)2718-0001</v>
      </c>
      <c r="H479" s="2" t="s">
        <v>653</v>
      </c>
      <c r="I479" s="2" t="str">
        <f>"(02)2768-6668"</f>
        <v>(02)2768-6668</v>
      </c>
      <c r="J479" s="2" t="str">
        <f>"自105年05月09日至105年06月05日止"</f>
        <v>自105年05月09日至105年06月05日止</v>
      </c>
      <c r="K479" s="2" t="str">
        <f t="shared" si="70"/>
        <v>台灣集中保管結算所股份有限公司</v>
      </c>
      <c r="L479" s="2" t="str">
        <f t="shared" si="71"/>
        <v>http://www.stockvote.com.tw</v>
      </c>
      <c r="M479" s="2" t="str">
        <f>"&lt;b&gt;&lt;font color='red'&gt;自願&lt;/font&gt;&lt;/b&gt;"</f>
        <v>&lt;b&gt;&lt;font color='red'&gt;自願&lt;/font&gt;&lt;/b&gt;</v>
      </c>
      <c r="N479" s="2"/>
      <c r="O479" s="2"/>
      <c r="P479" s="2"/>
      <c r="Q479" s="2"/>
    </row>
    <row r="480" spans="1:17" x14ac:dyDescent="0.3">
      <c r="A480" s="2" t="str">
        <f>"2841"</f>
        <v>2841</v>
      </c>
      <c r="B480" s="2" t="s">
        <v>1567</v>
      </c>
      <c r="C480" s="2" t="s">
        <v>1568</v>
      </c>
      <c r="D480" s="2" t="s">
        <v>6014</v>
      </c>
      <c r="E480" s="2" t="s">
        <v>1569</v>
      </c>
      <c r="F480" s="2" t="s">
        <v>2</v>
      </c>
      <c r="G480" s="2" t="str">
        <f>"02-2331-1234"</f>
        <v>02-2331-1234</v>
      </c>
      <c r="H480" s="2" t="s">
        <v>465</v>
      </c>
      <c r="I480" s="2" t="str">
        <f>"2381-6288"</f>
        <v>2381-6288</v>
      </c>
      <c r="J480" s="2" t="str">
        <f>"自105年05月30日至105年06月26日止"</f>
        <v>自105年05月30日至105年06月26日止</v>
      </c>
      <c r="K480" s="2" t="str">
        <f t="shared" si="70"/>
        <v>台灣集中保管結算所股份有限公司</v>
      </c>
      <c r="L480" s="2" t="str">
        <f t="shared" si="71"/>
        <v>http://www.stockvote.com.tw</v>
      </c>
      <c r="M480" s="2" t="str">
        <f>"--"</f>
        <v>--</v>
      </c>
      <c r="N480" s="2"/>
      <c r="O480" s="2"/>
      <c r="P480" s="2"/>
      <c r="Q480" s="2"/>
    </row>
    <row r="481" spans="1:17" x14ac:dyDescent="0.3">
      <c r="A481" s="2" t="str">
        <f>"2845"</f>
        <v>2845</v>
      </c>
      <c r="B481" s="2" t="s">
        <v>1570</v>
      </c>
      <c r="C481" s="2" t="s">
        <v>6226</v>
      </c>
      <c r="D481" s="2" t="s">
        <v>6002</v>
      </c>
      <c r="E481" s="2" t="s">
        <v>550</v>
      </c>
      <c r="F481" s="2" t="s">
        <v>2</v>
      </c>
      <c r="G481" s="2" t="str">
        <f>"(02)2378-6868"</f>
        <v>(02)2378-6868</v>
      </c>
      <c r="H481" s="2" t="s">
        <v>408</v>
      </c>
      <c r="I481" s="2" t="str">
        <f>"(02)2361-8600"</f>
        <v>(02)2361-8600</v>
      </c>
      <c r="J481" s="2" t="str">
        <f>"自105年05月14日至105年06月12日止"</f>
        <v>自105年05月14日至105年06月12日止</v>
      </c>
      <c r="K481" s="2" t="str">
        <f t="shared" si="70"/>
        <v>台灣集中保管結算所股份有限公司</v>
      </c>
      <c r="L481" s="2" t="str">
        <f t="shared" si="71"/>
        <v>http://www.stockvote.com.tw</v>
      </c>
      <c r="M481" s="2" t="str">
        <f>"強制"</f>
        <v>強制</v>
      </c>
      <c r="N481" s="2"/>
      <c r="O481" s="2"/>
      <c r="P481" s="2"/>
      <c r="Q481" s="2"/>
    </row>
    <row r="482" spans="1:17" x14ac:dyDescent="0.3">
      <c r="A482" s="2" t="str">
        <f>"2849"</f>
        <v>2849</v>
      </c>
      <c r="B482" s="2" t="s">
        <v>1571</v>
      </c>
      <c r="C482" s="2" t="s">
        <v>1572</v>
      </c>
      <c r="D482" s="2" t="s">
        <v>6025</v>
      </c>
      <c r="E482" s="2" t="s">
        <v>1573</v>
      </c>
      <c r="F482" s="2" t="s">
        <v>41</v>
      </c>
      <c r="G482" s="2" t="str">
        <f>"81012277"</f>
        <v>81012277</v>
      </c>
      <c r="H482" s="2" t="s">
        <v>431</v>
      </c>
      <c r="I482" s="2" t="str">
        <f>"(02)27035000"</f>
        <v>(02)27035000</v>
      </c>
      <c r="J482" s="2" t="str">
        <f>"自105年05月07日至105年06月05日止"</f>
        <v>自105年05月07日至105年06月05日止</v>
      </c>
      <c r="K482" s="2" t="str">
        <f t="shared" si="70"/>
        <v>台灣集中保管結算所股份有限公司</v>
      </c>
      <c r="L482" s="2" t="str">
        <f t="shared" si="71"/>
        <v>http://www.stockvote.com.tw</v>
      </c>
      <c r="M482" s="2" t="str">
        <f>"&lt;b&gt;&lt;font color='red'&gt;自願&lt;/font&gt;&lt;/b&gt;"</f>
        <v>&lt;b&gt;&lt;font color='red'&gt;自願&lt;/font&gt;&lt;/b&gt;</v>
      </c>
      <c r="N482" s="2"/>
      <c r="O482" s="2"/>
      <c r="P482" s="2"/>
      <c r="Q482" s="2"/>
    </row>
    <row r="483" spans="1:17" x14ac:dyDescent="0.3">
      <c r="A483" s="2" t="str">
        <f>"2850"</f>
        <v>2850</v>
      </c>
      <c r="B483" s="2" t="s">
        <v>1574</v>
      </c>
      <c r="C483" s="2" t="s">
        <v>1575</v>
      </c>
      <c r="D483" s="2" t="s">
        <v>6025</v>
      </c>
      <c r="E483" s="2" t="s">
        <v>6227</v>
      </c>
      <c r="F483" s="2" t="s">
        <v>2</v>
      </c>
      <c r="G483" s="2" t="str">
        <f>"(02)2507-5335"</f>
        <v>(02)2507-5335</v>
      </c>
      <c r="H483" s="2" t="s">
        <v>456</v>
      </c>
      <c r="I483" s="2" t="str">
        <f>"(02)25048125"</f>
        <v>(02)25048125</v>
      </c>
      <c r="J483" s="2" t="str">
        <f>"自105年05月09日至105年06月05日止"</f>
        <v>自105年05月09日至105年06月05日止</v>
      </c>
      <c r="K483" s="2" t="str">
        <f t="shared" si="70"/>
        <v>台灣集中保管結算所股份有限公司</v>
      </c>
      <c r="L483" s="2" t="str">
        <f t="shared" si="71"/>
        <v>http://www.stockvote.com.tw</v>
      </c>
      <c r="M483" s="2" t="str">
        <f>"強制"</f>
        <v>強制</v>
      </c>
      <c r="N483" s="2"/>
      <c r="O483" s="2"/>
      <c r="P483" s="2"/>
      <c r="Q483" s="2"/>
    </row>
    <row r="484" spans="1:17" x14ac:dyDescent="0.3">
      <c r="A484" s="2" t="str">
        <f>"2851"</f>
        <v>2851</v>
      </c>
      <c r="B484" s="2" t="s">
        <v>1576</v>
      </c>
      <c r="C484" s="2" t="s">
        <v>1577</v>
      </c>
      <c r="D484" s="2" t="s">
        <v>6034</v>
      </c>
      <c r="E484" s="2" t="s">
        <v>1578</v>
      </c>
      <c r="F484" s="2" t="s">
        <v>2</v>
      </c>
      <c r="G484" s="2" t="str">
        <f>"02-25115211"</f>
        <v>02-25115211</v>
      </c>
      <c r="H484" s="2" t="s">
        <v>1465</v>
      </c>
      <c r="I484" s="2" t="str">
        <f>"2500-1668"</f>
        <v>2500-1668</v>
      </c>
      <c r="J484" s="2" t="str">
        <f>"自105年04月27日至105年05月24日止"</f>
        <v>自105年04月27日至105年05月24日止</v>
      </c>
      <c r="K484" s="2" t="str">
        <f t="shared" si="70"/>
        <v>台灣集中保管結算所股份有限公司</v>
      </c>
      <c r="L484" s="2" t="str">
        <f t="shared" si="71"/>
        <v>http://www.stockvote.com.tw</v>
      </c>
      <c r="M484" s="2" t="str">
        <f>"&lt;b&gt;&lt;font color='red'&gt;自願&lt;/font&gt;&lt;/b&gt;"</f>
        <v>&lt;b&gt;&lt;font color='red'&gt;自願&lt;/font&gt;&lt;/b&gt;</v>
      </c>
      <c r="N484" s="2"/>
      <c r="O484" s="2"/>
      <c r="P484" s="2"/>
      <c r="Q484" s="2"/>
    </row>
    <row r="485" spans="1:17" x14ac:dyDescent="0.3">
      <c r="A485" s="2" t="str">
        <f>"2852"</f>
        <v>2852</v>
      </c>
      <c r="B485" s="2" t="s">
        <v>1579</v>
      </c>
      <c r="C485" s="2" t="s">
        <v>1580</v>
      </c>
      <c r="D485" s="2" t="s">
        <v>6010</v>
      </c>
      <c r="E485" s="2" t="s">
        <v>1581</v>
      </c>
      <c r="F485" s="2" t="s">
        <v>41</v>
      </c>
      <c r="G485" s="2" t="str">
        <f>"23913271"</f>
        <v>23913271</v>
      </c>
      <c r="H485" s="2" t="s">
        <v>574</v>
      </c>
      <c r="I485" s="2" t="str">
        <f>"27186425"</f>
        <v>27186425</v>
      </c>
      <c r="J485" s="2" t="str">
        <f>"自105年05月25日至105年06月21日止"</f>
        <v>自105年05月25日至105年06月21日止</v>
      </c>
      <c r="K485" s="2" t="str">
        <f t="shared" si="70"/>
        <v>台灣集中保管結算所股份有限公司</v>
      </c>
      <c r="L485" s="2" t="str">
        <f t="shared" si="71"/>
        <v>http://www.stockvote.com.tw</v>
      </c>
      <c r="M485" s="2" t="str">
        <f>"強制"</f>
        <v>強制</v>
      </c>
      <c r="N485" s="2"/>
      <c r="O485" s="2"/>
      <c r="P485" s="2"/>
      <c r="Q485" s="2"/>
    </row>
    <row r="486" spans="1:17" x14ac:dyDescent="0.3">
      <c r="A486" s="2" t="str">
        <f>"2855"</f>
        <v>2855</v>
      </c>
      <c r="B486" s="2" t="s">
        <v>1582</v>
      </c>
      <c r="C486" s="2" t="s">
        <v>1583</v>
      </c>
      <c r="D486" s="2" t="s">
        <v>6016</v>
      </c>
      <c r="E486" s="2" t="s">
        <v>1584</v>
      </c>
      <c r="F486" s="2" t="s">
        <v>2</v>
      </c>
      <c r="G486" s="2" t="str">
        <f>"2747-8266"</f>
        <v>2747-8266</v>
      </c>
      <c r="H486" s="2" t="s">
        <v>444</v>
      </c>
      <c r="I486" s="2" t="str">
        <f>"2746-3797"</f>
        <v>2746-3797</v>
      </c>
      <c r="J486" s="2" t="str">
        <f>"自105年05月14日至105年06月11日止"</f>
        <v>自105年05月14日至105年06月11日止</v>
      </c>
      <c r="K486" s="2" t="str">
        <f t="shared" si="70"/>
        <v>台灣集中保管結算所股份有限公司</v>
      </c>
      <c r="L486" s="2" t="str">
        <f t="shared" si="71"/>
        <v>http://www.stockvote.com.tw</v>
      </c>
      <c r="M486" s="2" t="str">
        <f>"--"</f>
        <v>--</v>
      </c>
      <c r="N486" s="2"/>
      <c r="O486" s="2"/>
      <c r="P486" s="2"/>
      <c r="Q486" s="2"/>
    </row>
    <row r="487" spans="1:17" x14ac:dyDescent="0.3">
      <c r="A487" s="2" t="str">
        <f>"2856"</f>
        <v>2856</v>
      </c>
      <c r="B487" s="2" t="s">
        <v>1585</v>
      </c>
      <c r="C487" s="2" t="s">
        <v>1586</v>
      </c>
      <c r="D487" s="2" t="s">
        <v>6024</v>
      </c>
      <c r="E487" s="2" t="s">
        <v>1452</v>
      </c>
      <c r="F487" s="2" t="s">
        <v>41</v>
      </c>
      <c r="G487" s="2" t="str">
        <f>"(02)2325-5818"</f>
        <v>(02)2325-5818</v>
      </c>
      <c r="H487" s="2" t="s">
        <v>1587</v>
      </c>
      <c r="I487" s="2" t="str">
        <f>"(02)27686668"</f>
        <v>(02)27686668</v>
      </c>
      <c r="J487" s="2" t="str">
        <f>"自105年05月08日至105年06月04日止"</f>
        <v>自105年05月08日至105年06月04日止</v>
      </c>
      <c r="K487" s="2" t="str">
        <f t="shared" si="70"/>
        <v>台灣集中保管結算所股份有限公司</v>
      </c>
      <c r="L487" s="2" t="str">
        <f t="shared" si="71"/>
        <v>http://www.stockvote.com.tw</v>
      </c>
      <c r="M487" s="2" t="str">
        <f t="shared" ref="M487:M493" si="72">"強制"</f>
        <v>強制</v>
      </c>
      <c r="N487" s="2"/>
      <c r="O487" s="2"/>
      <c r="P487" s="2"/>
      <c r="Q487" s="2"/>
    </row>
    <row r="488" spans="1:17" x14ac:dyDescent="0.3">
      <c r="A488" s="2" t="str">
        <f>"2867"</f>
        <v>2867</v>
      </c>
      <c r="B488" s="2" t="s">
        <v>1588</v>
      </c>
      <c r="C488" s="2" t="s">
        <v>1589</v>
      </c>
      <c r="D488" s="2" t="s">
        <v>6000</v>
      </c>
      <c r="E488" s="2" t="s">
        <v>6228</v>
      </c>
      <c r="F488" s="2" t="s">
        <v>41</v>
      </c>
      <c r="G488" s="2" t="str">
        <f>"(02)23455511"</f>
        <v>(02)23455511</v>
      </c>
      <c r="H488" s="2" t="s">
        <v>1063</v>
      </c>
      <c r="I488" s="2" t="str">
        <f>"(02)23268818"</f>
        <v>(02)23268818</v>
      </c>
      <c r="J488" s="2" t="str">
        <f>"自105年05月21日至105年06月18日止"</f>
        <v>自105年05月21日至105年06月18日止</v>
      </c>
      <c r="K488" s="2" t="str">
        <f t="shared" si="70"/>
        <v>台灣集中保管結算所股份有限公司</v>
      </c>
      <c r="L488" s="2" t="str">
        <f t="shared" si="71"/>
        <v>http://www.stockvote.com.tw</v>
      </c>
      <c r="M488" s="2" t="str">
        <f t="shared" si="72"/>
        <v>強制</v>
      </c>
      <c r="N488" s="2"/>
      <c r="O488" s="2"/>
      <c r="P488" s="2"/>
      <c r="Q488" s="2"/>
    </row>
    <row r="489" spans="1:17" x14ac:dyDescent="0.3">
      <c r="A489" s="2" t="str">
        <f>"2880"</f>
        <v>2880</v>
      </c>
      <c r="B489" s="2" t="s">
        <v>137</v>
      </c>
      <c r="C489" s="2" t="s">
        <v>1590</v>
      </c>
      <c r="D489" s="2" t="s">
        <v>6010</v>
      </c>
      <c r="E489" s="2" t="s">
        <v>6229</v>
      </c>
      <c r="F489" s="2" t="s">
        <v>41</v>
      </c>
      <c r="G489" s="2" t="str">
        <f>"23713111"</f>
        <v>23713111</v>
      </c>
      <c r="H489" s="2" t="s">
        <v>574</v>
      </c>
      <c r="I489" s="2" t="str">
        <f>"27186425"</f>
        <v>27186425</v>
      </c>
      <c r="J489" s="2" t="str">
        <f>"自105年05月25日至105年06月21日止"</f>
        <v>自105年05月25日至105年06月21日止</v>
      </c>
      <c r="K489" s="2" t="str">
        <f t="shared" si="70"/>
        <v>台灣集中保管結算所股份有限公司</v>
      </c>
      <c r="L489" s="2" t="str">
        <f t="shared" si="71"/>
        <v>http://www.stockvote.com.tw</v>
      </c>
      <c r="M489" s="2" t="str">
        <f t="shared" si="72"/>
        <v>強制</v>
      </c>
      <c r="N489" s="2"/>
      <c r="O489" s="2"/>
      <c r="P489" s="2"/>
      <c r="Q489" s="2"/>
    </row>
    <row r="490" spans="1:17" x14ac:dyDescent="0.3">
      <c r="A490" s="2" t="str">
        <f>"2881"</f>
        <v>2881</v>
      </c>
      <c r="B490" s="2" t="s">
        <v>1591</v>
      </c>
      <c r="C490" s="2" t="s">
        <v>1592</v>
      </c>
      <c r="D490" s="2" t="s">
        <v>6025</v>
      </c>
      <c r="E490" s="2" t="s">
        <v>6230</v>
      </c>
      <c r="F490" s="2" t="s">
        <v>41</v>
      </c>
      <c r="G490" s="2" t="str">
        <f>"6636-6636"</f>
        <v>6636-6636</v>
      </c>
      <c r="H490" s="2" t="s">
        <v>644</v>
      </c>
      <c r="I490" s="2" t="str">
        <f>"2361-1300"</f>
        <v>2361-1300</v>
      </c>
      <c r="J490" s="2" t="str">
        <f>"自105年05月07日至105年06月05日止"</f>
        <v>自105年05月07日至105年06月05日止</v>
      </c>
      <c r="K490" s="2" t="str">
        <f t="shared" si="70"/>
        <v>台灣集中保管結算所股份有限公司</v>
      </c>
      <c r="L490" s="2" t="str">
        <f t="shared" si="71"/>
        <v>http://www.stockvote.com.tw</v>
      </c>
      <c r="M490" s="2" t="str">
        <f t="shared" si="72"/>
        <v>強制</v>
      </c>
      <c r="N490" s="2"/>
      <c r="O490" s="2"/>
      <c r="P490" s="2"/>
      <c r="Q490" s="2"/>
    </row>
    <row r="491" spans="1:17" x14ac:dyDescent="0.3">
      <c r="A491" s="2" t="str">
        <f>"2882"</f>
        <v>2882</v>
      </c>
      <c r="B491" s="2" t="s">
        <v>1593</v>
      </c>
      <c r="C491" s="2" t="s">
        <v>1594</v>
      </c>
      <c r="D491" s="2" t="s">
        <v>6025</v>
      </c>
      <c r="E491" s="2" t="s">
        <v>1595</v>
      </c>
      <c r="F491" s="2" t="s">
        <v>41</v>
      </c>
      <c r="G491" s="2" t="str">
        <f>"27087698"</f>
        <v>27087698</v>
      </c>
      <c r="H491" s="2" t="s">
        <v>1596</v>
      </c>
      <c r="I491" s="2" t="str">
        <f>"27087698#9"</f>
        <v>27087698#9</v>
      </c>
      <c r="J491" s="2" t="str">
        <f>"自105年05月07日至105年06月05日止"</f>
        <v>自105年05月07日至105年06月05日止</v>
      </c>
      <c r="K491" s="2" t="str">
        <f t="shared" si="70"/>
        <v>台灣集中保管結算所股份有限公司</v>
      </c>
      <c r="L491" s="2" t="str">
        <f t="shared" si="71"/>
        <v>http://www.stockvote.com.tw</v>
      </c>
      <c r="M491" s="2" t="str">
        <f t="shared" si="72"/>
        <v>強制</v>
      </c>
      <c r="N491" s="2"/>
      <c r="O491" s="2"/>
      <c r="P491" s="2"/>
      <c r="Q491" s="2"/>
    </row>
    <row r="492" spans="1:17" x14ac:dyDescent="0.3">
      <c r="A492" s="2" t="str">
        <f>"2883"</f>
        <v>2883</v>
      </c>
      <c r="B492" s="2" t="s">
        <v>144</v>
      </c>
      <c r="C492" s="2" t="s">
        <v>1597</v>
      </c>
      <c r="D492" s="2" t="s">
        <v>6134</v>
      </c>
      <c r="E492" s="2" t="s">
        <v>1616</v>
      </c>
      <c r="F492" s="2" t="s">
        <v>41</v>
      </c>
      <c r="G492" s="2" t="str">
        <f>"02-27638800"</f>
        <v>02-27638800</v>
      </c>
      <c r="H492" s="2" t="s">
        <v>415</v>
      </c>
      <c r="I492" s="2" t="str">
        <f>"02-23892999"</f>
        <v>02-23892999</v>
      </c>
      <c r="J492" s="2" t="str">
        <f>"自105年04月16日至105年05月13日止"</f>
        <v>自105年04月16日至105年05月13日止</v>
      </c>
      <c r="K492" s="2" t="str">
        <f t="shared" si="70"/>
        <v>台灣集中保管結算所股份有限公司</v>
      </c>
      <c r="L492" s="2" t="str">
        <f t="shared" si="71"/>
        <v>http://www.stockvote.com.tw</v>
      </c>
      <c r="M492" s="2" t="str">
        <f t="shared" si="72"/>
        <v>強制</v>
      </c>
      <c r="N492" s="2"/>
      <c r="O492" s="2"/>
      <c r="P492" s="2"/>
      <c r="Q492" s="2"/>
    </row>
    <row r="493" spans="1:17" x14ac:dyDescent="0.3">
      <c r="A493" s="2" t="str">
        <f>"2884"</f>
        <v>2884</v>
      </c>
      <c r="B493" s="2" t="s">
        <v>1598</v>
      </c>
      <c r="C493" s="2" t="s">
        <v>1599</v>
      </c>
      <c r="D493" s="2" t="s">
        <v>6025</v>
      </c>
      <c r="E493" s="2" t="s">
        <v>6231</v>
      </c>
      <c r="F493" s="2" t="s">
        <v>2</v>
      </c>
      <c r="G493" s="2" t="str">
        <f>"(02)2175-1313"</f>
        <v>(02)2175-1313</v>
      </c>
      <c r="H493" s="2" t="s">
        <v>6232</v>
      </c>
      <c r="I493" s="2" t="str">
        <f>"(02)2719-1313"</f>
        <v>(02)2719-1313</v>
      </c>
      <c r="J493" s="2" t="str">
        <f>"自105年05月07日至105年06月05日止"</f>
        <v>自105年05月07日至105年06月05日止</v>
      </c>
      <c r="K493" s="2" t="str">
        <f t="shared" si="70"/>
        <v>台灣集中保管結算所股份有限公司</v>
      </c>
      <c r="L493" s="2" t="str">
        <f t="shared" si="71"/>
        <v>http://www.stockvote.com.tw</v>
      </c>
      <c r="M493" s="2" t="str">
        <f t="shared" si="72"/>
        <v>強制</v>
      </c>
      <c r="N493" s="2"/>
      <c r="O493" s="2"/>
      <c r="P493" s="2"/>
      <c r="Q493" s="2"/>
    </row>
    <row r="494" spans="1:17" x14ac:dyDescent="0.3">
      <c r="A494" s="2" t="str">
        <f>"2885"</f>
        <v>2885</v>
      </c>
      <c r="B494" s="2" t="s">
        <v>42</v>
      </c>
      <c r="C494" s="2" t="s">
        <v>1600</v>
      </c>
      <c r="D494" s="2" t="s">
        <v>6028</v>
      </c>
      <c r="E494" s="2" t="s">
        <v>6233</v>
      </c>
      <c r="F494" s="2" t="s">
        <v>41</v>
      </c>
      <c r="G494" s="2" t="str">
        <f>"02-27811999"</f>
        <v>02-27811999</v>
      </c>
      <c r="H494" s="2" t="s">
        <v>582</v>
      </c>
      <c r="I494" s="2" t="str">
        <f>"02-25865859"</f>
        <v>02-25865859</v>
      </c>
      <c r="J494" s="2" t="str">
        <f>"自105年05月17日至105年06月13日止"</f>
        <v>自105年05月17日至105年06月13日止</v>
      </c>
      <c r="K494" s="2" t="str">
        <f t="shared" si="70"/>
        <v>台灣集中保管結算所股份有限公司</v>
      </c>
      <c r="L494" s="2" t="str">
        <f t="shared" si="71"/>
        <v>http://www.stockvote.com.tw</v>
      </c>
      <c r="M494" s="2" t="str">
        <f>"--"</f>
        <v>--</v>
      </c>
      <c r="N494" s="2"/>
      <c r="O494" s="2"/>
      <c r="P494" s="2"/>
      <c r="Q494" s="2"/>
    </row>
    <row r="495" spans="1:17" x14ac:dyDescent="0.3">
      <c r="A495" s="2" t="str">
        <f>"2886"</f>
        <v>2886</v>
      </c>
      <c r="B495" s="2" t="s">
        <v>1601</v>
      </c>
      <c r="C495" s="2" t="s">
        <v>6234</v>
      </c>
      <c r="D495" s="2" t="s">
        <v>6010</v>
      </c>
      <c r="E495" s="2" t="s">
        <v>1602</v>
      </c>
      <c r="F495" s="2" t="s">
        <v>2</v>
      </c>
      <c r="G495" s="2" t="str">
        <f>"2357-8888"</f>
        <v>2357-8888</v>
      </c>
      <c r="H495" s="2" t="s">
        <v>996</v>
      </c>
      <c r="I495" s="2" t="str">
        <f>"3393-0898"</f>
        <v>3393-0898</v>
      </c>
      <c r="J495" s="2" t="str">
        <f>"自105年05月25日至105年06月21日止"</f>
        <v>自105年05月25日至105年06月21日止</v>
      </c>
      <c r="K495" s="2" t="str">
        <f t="shared" si="70"/>
        <v>台灣集中保管結算所股份有限公司</v>
      </c>
      <c r="L495" s="2" t="str">
        <f t="shared" si="71"/>
        <v>http://www.stockvote.com.tw</v>
      </c>
      <c r="M495" s="2" t="str">
        <f>"--"</f>
        <v>--</v>
      </c>
      <c r="N495" s="2"/>
      <c r="O495" s="2"/>
      <c r="P495" s="2"/>
      <c r="Q495" s="2"/>
    </row>
    <row r="496" spans="1:17" x14ac:dyDescent="0.3">
      <c r="A496" s="2" t="str">
        <f>"2887"</f>
        <v>2887</v>
      </c>
      <c r="B496" s="2" t="s">
        <v>1603</v>
      </c>
      <c r="C496" s="2" t="s">
        <v>1604</v>
      </c>
      <c r="D496" s="2" t="s">
        <v>6025</v>
      </c>
      <c r="E496" s="2" t="s">
        <v>1605</v>
      </c>
      <c r="F496" s="2" t="s">
        <v>2</v>
      </c>
      <c r="G496" s="2" t="str">
        <f>"02-23268888"</f>
        <v>02-23268888</v>
      </c>
      <c r="H496" s="2" t="s">
        <v>456</v>
      </c>
      <c r="I496" s="2" t="str">
        <f>"02-25048125"</f>
        <v>02-25048125</v>
      </c>
      <c r="J496" s="2" t="str">
        <f>"自105年05月07日至105年06月05日止"</f>
        <v>自105年05月07日至105年06月05日止</v>
      </c>
      <c r="K496" s="2" t="str">
        <f t="shared" si="70"/>
        <v>台灣集中保管結算所股份有限公司</v>
      </c>
      <c r="L496" s="2" t="str">
        <f t="shared" si="71"/>
        <v>http://www.stockvote.com.tw</v>
      </c>
      <c r="M496" s="2" t="str">
        <f>"強制"</f>
        <v>強制</v>
      </c>
      <c r="N496" s="2"/>
      <c r="O496" s="2"/>
      <c r="P496" s="2"/>
      <c r="Q496" s="2"/>
    </row>
    <row r="497" spans="1:17" x14ac:dyDescent="0.3">
      <c r="A497" s="2" t="str">
        <f>"2888"</f>
        <v>2888</v>
      </c>
      <c r="B497" s="2" t="s">
        <v>1606</v>
      </c>
      <c r="C497" s="2" t="s">
        <v>1607</v>
      </c>
      <c r="D497" s="2" t="s">
        <v>6025</v>
      </c>
      <c r="E497" s="2" t="s">
        <v>1608</v>
      </c>
      <c r="F497" s="2" t="s">
        <v>2</v>
      </c>
      <c r="G497" s="2" t="str">
        <f>"02-23895858"</f>
        <v>02-23895858</v>
      </c>
      <c r="H497" s="2" t="s">
        <v>1587</v>
      </c>
      <c r="I497" s="2" t="str">
        <f>"02-2768-6668"</f>
        <v>02-2768-6668</v>
      </c>
      <c r="J497" s="2" t="str">
        <f>"自105年05月07日至105年06月05日止"</f>
        <v>自105年05月07日至105年06月05日止</v>
      </c>
      <c r="K497" s="2" t="str">
        <f t="shared" si="70"/>
        <v>台灣集中保管結算所股份有限公司</v>
      </c>
      <c r="L497" s="2" t="str">
        <f t="shared" si="71"/>
        <v>http://www.stockvote.com.tw</v>
      </c>
      <c r="M497" s="2" t="str">
        <f>"--"</f>
        <v>--</v>
      </c>
      <c r="N497" s="2"/>
      <c r="O497" s="2"/>
      <c r="P497" s="2"/>
      <c r="Q497" s="2"/>
    </row>
    <row r="498" spans="1:17" x14ac:dyDescent="0.3">
      <c r="A498" s="2" t="str">
        <f>"2889"</f>
        <v>2889</v>
      </c>
      <c r="B498" s="2" t="s">
        <v>1609</v>
      </c>
      <c r="C498" s="2" t="s">
        <v>1610</v>
      </c>
      <c r="D498" s="2" t="s">
        <v>6004</v>
      </c>
      <c r="E498" s="2" t="s">
        <v>1611</v>
      </c>
      <c r="F498" s="2" t="s">
        <v>2</v>
      </c>
      <c r="G498" s="2" t="str">
        <f>"02-25154567"</f>
        <v>02-25154567</v>
      </c>
      <c r="H498" s="2" t="s">
        <v>1553</v>
      </c>
      <c r="I498" s="2" t="str">
        <f>"02-25936666"</f>
        <v>02-25936666</v>
      </c>
      <c r="J498" s="2" t="str">
        <f>"自105年05月18日至105年06月14日止"</f>
        <v>自105年05月18日至105年06月14日止</v>
      </c>
      <c r="K498" s="2" t="str">
        <f t="shared" si="70"/>
        <v>台灣集中保管結算所股份有限公司</v>
      </c>
      <c r="L498" s="2" t="str">
        <f t="shared" si="71"/>
        <v>http://www.stockvote.com.tw</v>
      </c>
      <c r="M498" s="2" t="str">
        <f>"--"</f>
        <v>--</v>
      </c>
      <c r="N498" s="2"/>
      <c r="O498" s="2"/>
      <c r="P498" s="2"/>
      <c r="Q498" s="2"/>
    </row>
    <row r="499" spans="1:17" x14ac:dyDescent="0.3">
      <c r="A499" s="2" t="str">
        <f>"2890"</f>
        <v>2890</v>
      </c>
      <c r="B499" s="2" t="s">
        <v>1612</v>
      </c>
      <c r="C499" s="2" t="s">
        <v>1613</v>
      </c>
      <c r="D499" s="2" t="s">
        <v>6004</v>
      </c>
      <c r="E499" s="2" t="s">
        <v>1614</v>
      </c>
      <c r="F499" s="2" t="s">
        <v>2</v>
      </c>
      <c r="G499" s="2" t="str">
        <f>"(02)8161-8888"</f>
        <v>(02)8161-8888</v>
      </c>
      <c r="H499" s="2" t="s">
        <v>547</v>
      </c>
      <c r="I499" s="2" t="str">
        <f>"(02)2381-6288"</f>
        <v>(02)2381-6288</v>
      </c>
      <c r="J499" s="2" t="str">
        <f>"自105年05月18日至105年06月14日止"</f>
        <v>自105年05月18日至105年06月14日止</v>
      </c>
      <c r="K499" s="2" t="str">
        <f t="shared" si="70"/>
        <v>台灣集中保管結算所股份有限公司</v>
      </c>
      <c r="L499" s="2" t="str">
        <f t="shared" si="71"/>
        <v>http://www.stockvote.com.tw</v>
      </c>
      <c r="M499" s="2" t="str">
        <f>"強制"</f>
        <v>強制</v>
      </c>
      <c r="N499" s="2"/>
      <c r="O499" s="2"/>
      <c r="P499" s="2"/>
      <c r="Q499" s="2"/>
    </row>
    <row r="500" spans="1:17" x14ac:dyDescent="0.3">
      <c r="A500" s="2" t="str">
        <f>"2891"</f>
        <v>2891</v>
      </c>
      <c r="B500" s="2" t="s">
        <v>368</v>
      </c>
      <c r="C500" s="2" t="s">
        <v>1615</v>
      </c>
      <c r="D500" s="2" t="s">
        <v>6010</v>
      </c>
      <c r="E500" s="2" t="s">
        <v>1616</v>
      </c>
      <c r="F500" s="2" t="s">
        <v>2</v>
      </c>
      <c r="G500" s="2" t="str">
        <f>"(02)3327-7777"</f>
        <v>(02)3327-7777</v>
      </c>
      <c r="H500" s="2" t="s">
        <v>404</v>
      </c>
      <c r="I500" s="2" t="str">
        <f>"(02)6636-5566"</f>
        <v>(02)6636-5566</v>
      </c>
      <c r="J500" s="2" t="str">
        <f>"自105年05月25日至105年06月21日止"</f>
        <v>自105年05月25日至105年06月21日止</v>
      </c>
      <c r="K500" s="2" t="str">
        <f t="shared" si="70"/>
        <v>台灣集中保管結算所股份有限公司</v>
      </c>
      <c r="L500" s="2" t="str">
        <f t="shared" si="71"/>
        <v>http://www.stockvote.com.tw</v>
      </c>
      <c r="M500" s="2" t="str">
        <f>"--"</f>
        <v>--</v>
      </c>
      <c r="N500" s="2"/>
      <c r="O500" s="2"/>
      <c r="P500" s="2"/>
      <c r="Q500" s="2"/>
    </row>
    <row r="501" spans="1:17" x14ac:dyDescent="0.3">
      <c r="A501" s="2" t="str">
        <f>"2892"</f>
        <v>2892</v>
      </c>
      <c r="B501" s="2" t="s">
        <v>1617</v>
      </c>
      <c r="C501" s="2" t="s">
        <v>1618</v>
      </c>
      <c r="D501" s="2" t="s">
        <v>6010</v>
      </c>
      <c r="E501" s="2" t="s">
        <v>1619</v>
      </c>
      <c r="F501" s="2" t="s">
        <v>2</v>
      </c>
      <c r="G501" s="2" t="str">
        <f>"23111111"</f>
        <v>23111111</v>
      </c>
      <c r="H501" s="2" t="s">
        <v>1620</v>
      </c>
      <c r="I501" s="2" t="str">
        <f>"23481137"</f>
        <v>23481137</v>
      </c>
      <c r="J501" s="2" t="str">
        <f>"自105年05月25日至105年06月21日止"</f>
        <v>自105年05月25日至105年06月21日止</v>
      </c>
      <c r="K501" s="2" t="str">
        <f t="shared" si="70"/>
        <v>台灣集中保管結算所股份有限公司</v>
      </c>
      <c r="L501" s="2" t="str">
        <f t="shared" si="71"/>
        <v>http://www.stockvote.com.tw</v>
      </c>
      <c r="M501" s="2" t="str">
        <f>"強制"</f>
        <v>強制</v>
      </c>
      <c r="N501" s="2"/>
      <c r="O501" s="2"/>
      <c r="P501" s="2"/>
      <c r="Q501" s="2"/>
    </row>
    <row r="502" spans="1:17" x14ac:dyDescent="0.3">
      <c r="A502" s="2" t="str">
        <f>"2901"</f>
        <v>2901</v>
      </c>
      <c r="B502" s="2" t="s">
        <v>1621</v>
      </c>
      <c r="C502" s="2" t="s">
        <v>1622</v>
      </c>
      <c r="D502" s="2" t="s">
        <v>6021</v>
      </c>
      <c r="E502" s="2" t="s">
        <v>1623</v>
      </c>
      <c r="F502" s="2" t="s">
        <v>41</v>
      </c>
      <c r="G502" s="2" t="str">
        <f>"25212211"</f>
        <v>25212211</v>
      </c>
      <c r="H502" s="2" t="s">
        <v>1624</v>
      </c>
      <c r="I502" s="2" t="str">
        <f>"(02)2703-5000"</f>
        <v>(02)2703-5000</v>
      </c>
      <c r="J502" s="2" t="str">
        <f>"--"</f>
        <v>--</v>
      </c>
      <c r="K502" s="2" t="str">
        <f>"--"</f>
        <v>--</v>
      </c>
      <c r="L502" s="2" t="str">
        <f>"--"</f>
        <v>--</v>
      </c>
      <c r="M502" s="2" t="str">
        <f>"否"</f>
        <v>否</v>
      </c>
      <c r="N502" s="2"/>
      <c r="O502" s="2"/>
      <c r="P502" s="2"/>
      <c r="Q502" s="2"/>
    </row>
    <row r="503" spans="1:17" x14ac:dyDescent="0.3">
      <c r="A503" s="2" t="str">
        <f>"2903"</f>
        <v>2903</v>
      </c>
      <c r="B503" s="2" t="s">
        <v>1625</v>
      </c>
      <c r="C503" s="2" t="s">
        <v>1626</v>
      </c>
      <c r="D503" s="2" t="s">
        <v>6004</v>
      </c>
      <c r="E503" s="2" t="s">
        <v>550</v>
      </c>
      <c r="F503" s="2" t="s">
        <v>2</v>
      </c>
      <c r="G503" s="2" t="str">
        <f>"77278168"</f>
        <v>77278168</v>
      </c>
      <c r="H503" s="2" t="s">
        <v>408</v>
      </c>
      <c r="I503" s="2" t="str">
        <f>"2361-8608"</f>
        <v>2361-8608</v>
      </c>
      <c r="J503" s="2" t="str">
        <f>"自105年05月18日至105年06月14日止"</f>
        <v>自105年05月18日至105年06月14日止</v>
      </c>
      <c r="K503" s="2" t="str">
        <f>"台灣集中保管結算所股份有限公司"</f>
        <v>台灣集中保管結算所股份有限公司</v>
      </c>
      <c r="L503" s="2" t="str">
        <f>"http://www.stockvote.com.tw"</f>
        <v>http://www.stockvote.com.tw</v>
      </c>
      <c r="M503" s="2" t="str">
        <f>"強制"</f>
        <v>強制</v>
      </c>
      <c r="N503" s="2"/>
      <c r="O503" s="2"/>
      <c r="P503" s="2"/>
      <c r="Q503" s="2"/>
    </row>
    <row r="504" spans="1:17" x14ac:dyDescent="0.3">
      <c r="A504" s="2" t="str">
        <f>"2904"</f>
        <v>2904</v>
      </c>
      <c r="B504" s="2" t="s">
        <v>180</v>
      </c>
      <c r="C504" s="2" t="s">
        <v>1627</v>
      </c>
      <c r="D504" s="2" t="s">
        <v>6042</v>
      </c>
      <c r="E504" s="2" t="s">
        <v>6235</v>
      </c>
      <c r="F504" s="2" t="s">
        <v>41</v>
      </c>
      <c r="G504" s="2" t="str">
        <f>"27174347"</f>
        <v>27174347</v>
      </c>
      <c r="H504" s="2" t="s">
        <v>469</v>
      </c>
      <c r="I504" s="2" t="str">
        <f>"(02)2746-3797"</f>
        <v>(02)2746-3797</v>
      </c>
      <c r="J504" s="2" t="str">
        <f>"--"</f>
        <v>--</v>
      </c>
      <c r="K504" s="2" t="str">
        <f>"--"</f>
        <v>--</v>
      </c>
      <c r="L504" s="2" t="str">
        <f>"--"</f>
        <v>--</v>
      </c>
      <c r="M504" s="2" t="str">
        <f>"--"</f>
        <v>--</v>
      </c>
      <c r="N504" s="2"/>
      <c r="O504" s="2"/>
      <c r="P504" s="2"/>
      <c r="Q504" s="2"/>
    </row>
    <row r="505" spans="1:17" x14ac:dyDescent="0.3">
      <c r="A505" s="2" t="str">
        <f>"2905"</f>
        <v>2905</v>
      </c>
      <c r="B505" s="2" t="s">
        <v>6236</v>
      </c>
      <c r="C505" s="2" t="s">
        <v>1628</v>
      </c>
      <c r="D505" s="2" t="s">
        <v>6010</v>
      </c>
      <c r="E505" s="2" t="s">
        <v>1629</v>
      </c>
      <c r="F505" s="2" t="s">
        <v>2</v>
      </c>
      <c r="G505" s="2" t="str">
        <f>"25031111"</f>
        <v>25031111</v>
      </c>
      <c r="H505" s="2" t="s">
        <v>475</v>
      </c>
      <c r="I505" s="2" t="str">
        <f>"02-7719-8899"</f>
        <v>02-7719-8899</v>
      </c>
      <c r="J505" s="2" t="str">
        <f>"自105年05月25日至105年06月21日止"</f>
        <v>自105年05月25日至105年06月21日止</v>
      </c>
      <c r="K505" s="2" t="str">
        <f>"台灣集中保管結算所股份有限公司"</f>
        <v>台灣集中保管結算所股份有限公司</v>
      </c>
      <c r="L505" s="2" t="str">
        <f>"http://www.stockvote.com.tw"</f>
        <v>http://www.stockvote.com.tw</v>
      </c>
      <c r="M505" s="2" t="str">
        <f>"強制"</f>
        <v>強制</v>
      </c>
      <c r="N505" s="2"/>
      <c r="O505" s="2"/>
      <c r="P505" s="2"/>
      <c r="Q505" s="2"/>
    </row>
    <row r="506" spans="1:17" x14ac:dyDescent="0.3">
      <c r="A506" s="2" t="str">
        <f>"2906"</f>
        <v>2906</v>
      </c>
      <c r="B506" s="2" t="s">
        <v>1630</v>
      </c>
      <c r="C506" s="2" t="s">
        <v>1631</v>
      </c>
      <c r="D506" s="2" t="s">
        <v>6004</v>
      </c>
      <c r="E506" s="2" t="s">
        <v>6237</v>
      </c>
      <c r="F506" s="2" t="s">
        <v>41</v>
      </c>
      <c r="G506" s="2" t="str">
        <f>"02-27125311"</f>
        <v>02-27125311</v>
      </c>
      <c r="H506" s="2" t="s">
        <v>786</v>
      </c>
      <c r="I506" s="2" t="str">
        <f>"02-27125311"</f>
        <v>02-27125311</v>
      </c>
      <c r="J506" s="2" t="str">
        <f>"自105年05月18日至105年06月14日止"</f>
        <v>自105年05月18日至105年06月14日止</v>
      </c>
      <c r="K506" s="2" t="str">
        <f>"台灣集中保管結算所股份有限公司"</f>
        <v>台灣集中保管結算所股份有限公司</v>
      </c>
      <c r="L506" s="2" t="str">
        <f>"http://www.stockvote.com.tw"</f>
        <v>http://www.stockvote.com.tw</v>
      </c>
      <c r="M506" s="2" t="str">
        <f>"--"</f>
        <v>--</v>
      </c>
      <c r="N506" s="2"/>
      <c r="O506" s="2"/>
      <c r="P506" s="2"/>
      <c r="Q506" s="2"/>
    </row>
    <row r="507" spans="1:17" x14ac:dyDescent="0.3">
      <c r="A507" s="2" t="str">
        <f>"2908"</f>
        <v>2908</v>
      </c>
      <c r="B507" s="2" t="s">
        <v>1632</v>
      </c>
      <c r="C507" s="2" t="s">
        <v>1633</v>
      </c>
      <c r="D507" s="2" t="s">
        <v>6015</v>
      </c>
      <c r="E507" s="2" t="s">
        <v>1634</v>
      </c>
      <c r="F507" s="2" t="s">
        <v>2</v>
      </c>
      <c r="G507" s="2" t="str">
        <f>"(02)8791-5888"</f>
        <v>(02)8791-5888</v>
      </c>
      <c r="H507" s="2" t="s">
        <v>6006</v>
      </c>
      <c r="I507" s="2" t="str">
        <f>"(02)2586-5859"</f>
        <v>(02)2586-5859</v>
      </c>
      <c r="J507" s="2" t="str">
        <f>"自105年05月24日至105年06月20日止"</f>
        <v>自105年05月24日至105年06月20日止</v>
      </c>
      <c r="K507" s="2" t="str">
        <f>"台灣集中保管結算所股份有限公司"</f>
        <v>台灣集中保管結算所股份有限公司</v>
      </c>
      <c r="L507" s="2" t="str">
        <f>"http://www.stockvote.com.tw"</f>
        <v>http://www.stockvote.com.tw</v>
      </c>
      <c r="M507" s="2" t="str">
        <f>"--"</f>
        <v>--</v>
      </c>
      <c r="N507" s="2"/>
      <c r="O507" s="2"/>
      <c r="P507" s="2"/>
      <c r="Q507" s="2"/>
    </row>
    <row r="508" spans="1:17" x14ac:dyDescent="0.3">
      <c r="A508" s="2" t="str">
        <f>"2910"</f>
        <v>2910</v>
      </c>
      <c r="B508" s="2" t="s">
        <v>1635</v>
      </c>
      <c r="C508" s="2" t="s">
        <v>1636</v>
      </c>
      <c r="D508" s="2" t="s">
        <v>6025</v>
      </c>
      <c r="E508" s="2" t="s">
        <v>1637</v>
      </c>
      <c r="F508" s="2" t="s">
        <v>2</v>
      </c>
      <c r="G508" s="2" t="str">
        <f>"02-27522222"</f>
        <v>02-27522222</v>
      </c>
      <c r="H508" s="2" t="s">
        <v>640</v>
      </c>
      <c r="I508" s="2" t="str">
        <f>"02-23711658"</f>
        <v>02-23711658</v>
      </c>
      <c r="J508" s="2" t="str">
        <f>"--"</f>
        <v>--</v>
      </c>
      <c r="K508" s="2" t="str">
        <f>"--"</f>
        <v>--</v>
      </c>
      <c r="L508" s="2" t="str">
        <f>"--"</f>
        <v>--</v>
      </c>
      <c r="M508" s="2" t="str">
        <f>"否"</f>
        <v>否</v>
      </c>
      <c r="N508" s="2"/>
      <c r="O508" s="2"/>
      <c r="P508" s="2"/>
      <c r="Q508" s="2"/>
    </row>
    <row r="509" spans="1:17" x14ac:dyDescent="0.3">
      <c r="A509" s="2" t="str">
        <f>"2911"</f>
        <v>2911</v>
      </c>
      <c r="B509" s="2" t="s">
        <v>1638</v>
      </c>
      <c r="C509" s="2" t="s">
        <v>1639</v>
      </c>
      <c r="D509" s="2" t="s">
        <v>5999</v>
      </c>
      <c r="E509" s="2" t="s">
        <v>1640</v>
      </c>
      <c r="F509" s="2" t="s">
        <v>2</v>
      </c>
      <c r="G509" s="2" t="str">
        <f>"87976699"</f>
        <v>87976699</v>
      </c>
      <c r="H509" s="2" t="s">
        <v>1028</v>
      </c>
      <c r="I509" s="2" t="str">
        <f>"23816288"</f>
        <v>23816288</v>
      </c>
      <c r="J509" s="2" t="str">
        <f>"自105年05月21日至105年06月19日止"</f>
        <v>自105年05月21日至105年06月19日止</v>
      </c>
      <c r="K509" s="2" t="str">
        <f>"台灣集中保管結算所股份有限公司"</f>
        <v>台灣集中保管結算所股份有限公司</v>
      </c>
      <c r="L509" s="2" t="str">
        <f>"http://www.stockvote.com.tw"</f>
        <v>http://www.stockvote.com.tw</v>
      </c>
      <c r="M509" s="2" t="str">
        <f>"強制"</f>
        <v>強制</v>
      </c>
      <c r="N509" s="2"/>
      <c r="O509" s="2"/>
      <c r="P509" s="2"/>
      <c r="Q509" s="2"/>
    </row>
    <row r="510" spans="1:17" x14ac:dyDescent="0.3">
      <c r="A510" s="2" t="str">
        <f>"2912"</f>
        <v>2912</v>
      </c>
      <c r="B510" s="2" t="s">
        <v>1641</v>
      </c>
      <c r="C510" s="2" t="s">
        <v>1642</v>
      </c>
      <c r="D510" s="2" t="s">
        <v>6002</v>
      </c>
      <c r="E510" s="2" t="s">
        <v>1643</v>
      </c>
      <c r="F510" s="2" t="s">
        <v>2</v>
      </c>
      <c r="G510" s="2" t="str">
        <f>"(02)27478711"</f>
        <v>(02)27478711</v>
      </c>
      <c r="H510" s="2" t="s">
        <v>444</v>
      </c>
      <c r="I510" s="2" t="str">
        <f>"(02)27463797"</f>
        <v>(02)27463797</v>
      </c>
      <c r="J510" s="2" t="str">
        <f>"自105年05月14日至105年06月12日止"</f>
        <v>自105年05月14日至105年06月12日止</v>
      </c>
      <c r="K510" s="2" t="str">
        <f>"台灣集中保管結算所股份有限公司"</f>
        <v>台灣集中保管結算所股份有限公司</v>
      </c>
      <c r="L510" s="2" t="str">
        <f>"http://www.stockvote.com.tw"</f>
        <v>http://www.stockvote.com.tw</v>
      </c>
      <c r="M510" s="2" t="str">
        <f>"--"</f>
        <v>--</v>
      </c>
      <c r="N510" s="2"/>
      <c r="O510" s="2"/>
      <c r="P510" s="2"/>
      <c r="Q510" s="2"/>
    </row>
    <row r="511" spans="1:17" x14ac:dyDescent="0.3">
      <c r="A511" s="2" t="str">
        <f>"2913"</f>
        <v>2913</v>
      </c>
      <c r="B511" s="2" t="s">
        <v>1644</v>
      </c>
      <c r="C511" s="2" t="s">
        <v>1645</v>
      </c>
      <c r="D511" s="2" t="s">
        <v>6025</v>
      </c>
      <c r="E511" s="2" t="s">
        <v>1646</v>
      </c>
      <c r="F511" s="2" t="s">
        <v>2</v>
      </c>
      <c r="G511" s="2" t="str">
        <f>"(02)2655-7799"</f>
        <v>(02)2655-7799</v>
      </c>
      <c r="H511" s="2" t="s">
        <v>556</v>
      </c>
      <c r="I511" s="2" t="str">
        <f>"(02)2371-1658"</f>
        <v>(02)2371-1658</v>
      </c>
      <c r="J511" s="2" t="str">
        <f>"自105年05月07日至105年06月05日止"</f>
        <v>自105年05月07日至105年06月05日止</v>
      </c>
      <c r="K511" s="2" t="str">
        <f>"台灣集中保管結算所股份有限公司"</f>
        <v>台灣集中保管結算所股份有限公司</v>
      </c>
      <c r="L511" s="2" t="str">
        <f>"http://www.stockvote.com.tw"</f>
        <v>http://www.stockvote.com.tw</v>
      </c>
      <c r="M511" s="2" t="str">
        <f>"&lt;b&gt;&lt;font color='red'&gt;自願&lt;/font&gt;&lt;/b&gt;"</f>
        <v>&lt;b&gt;&lt;font color='red'&gt;自願&lt;/font&gt;&lt;/b&gt;</v>
      </c>
      <c r="N511" s="2"/>
      <c r="O511" s="2"/>
      <c r="P511" s="2"/>
      <c r="Q511" s="2"/>
    </row>
    <row r="512" spans="1:17" x14ac:dyDescent="0.3">
      <c r="A512" s="2" t="str">
        <f>"2915"</f>
        <v>2915</v>
      </c>
      <c r="B512" s="2" t="s">
        <v>1647</v>
      </c>
      <c r="C512" s="2" t="s">
        <v>1648</v>
      </c>
      <c r="D512" s="2" t="s">
        <v>6015</v>
      </c>
      <c r="E512" s="2" t="s">
        <v>1464</v>
      </c>
      <c r="F512" s="2" t="s">
        <v>41</v>
      </c>
      <c r="G512" s="2" t="str">
        <f>"81617999"</f>
        <v>81617999</v>
      </c>
      <c r="H512" s="2" t="s">
        <v>514</v>
      </c>
      <c r="I512" s="2" t="str">
        <f>"81617999"</f>
        <v>81617999</v>
      </c>
      <c r="J512" s="2" t="str">
        <f>"自105年05月24日至105年06月20日止"</f>
        <v>自105年05月24日至105年06月20日止</v>
      </c>
      <c r="K512" s="2" t="str">
        <f>"台灣集中保管結算所股份有限公司"</f>
        <v>台灣集中保管結算所股份有限公司</v>
      </c>
      <c r="L512" s="2" t="str">
        <f>"http://www.stockvote.com.tw"</f>
        <v>http://www.stockvote.com.tw</v>
      </c>
      <c r="M512" s="2" t="str">
        <f>"強制"</f>
        <v>強制</v>
      </c>
      <c r="N512" s="2"/>
      <c r="O512" s="2"/>
      <c r="P512" s="2"/>
      <c r="Q512" s="2"/>
    </row>
    <row r="513" spans="1:17" x14ac:dyDescent="0.3">
      <c r="A513" s="2" t="str">
        <f>"2923"</f>
        <v>2923</v>
      </c>
      <c r="B513" s="2" t="s">
        <v>1649</v>
      </c>
      <c r="C513" s="2" t="s">
        <v>1650</v>
      </c>
      <c r="D513" s="2" t="s">
        <v>6010</v>
      </c>
      <c r="E513" s="2" t="s">
        <v>1651</v>
      </c>
      <c r="F513" s="2" t="s">
        <v>41</v>
      </c>
      <c r="G513" s="2" t="str">
        <f>"8621-64332999"</f>
        <v>8621-64332999</v>
      </c>
      <c r="H513" s="2" t="s">
        <v>644</v>
      </c>
      <c r="I513" s="2" t="str">
        <f>"(02)23611300"</f>
        <v>(02)23611300</v>
      </c>
      <c r="J513" s="2" t="str">
        <f>"自105年05月25日至105年06月21日止"</f>
        <v>自105年05月25日至105年06月21日止</v>
      </c>
      <c r="K513" s="2" t="str">
        <f>"台灣集中保管結算所股份有限公司"</f>
        <v>台灣集中保管結算所股份有限公司</v>
      </c>
      <c r="L513" s="2" t="str">
        <f>"http://www.stockvote.com.tw"</f>
        <v>http://www.stockvote.com.tw</v>
      </c>
      <c r="M513" s="2" t="str">
        <f>"--"</f>
        <v>--</v>
      </c>
      <c r="N513" s="2"/>
      <c r="O513" s="2"/>
      <c r="P513" s="2"/>
      <c r="Q513" s="2"/>
    </row>
    <row r="514" spans="1:17" x14ac:dyDescent="0.3">
      <c r="A514" s="2" t="str">
        <f>"2929"</f>
        <v>2929</v>
      </c>
      <c r="B514" s="2" t="s">
        <v>1652</v>
      </c>
      <c r="C514" s="2" t="s">
        <v>1653</v>
      </c>
      <c r="D514" s="2" t="s">
        <v>6004</v>
      </c>
      <c r="E514" s="2" t="s">
        <v>1654</v>
      </c>
      <c r="F514" s="2" t="s">
        <v>41</v>
      </c>
      <c r="G514" s="2" t="str">
        <f>"(02)27938077"</f>
        <v>(02)27938077</v>
      </c>
      <c r="H514" s="2" t="s">
        <v>1655</v>
      </c>
      <c r="I514" s="2" t="str">
        <f>"(02)27035000"</f>
        <v>(02)27035000</v>
      </c>
      <c r="J514" s="2" t="str">
        <f t="shared" ref="J514:L517" si="73">"--"</f>
        <v>--</v>
      </c>
      <c r="K514" s="2" t="str">
        <f t="shared" si="73"/>
        <v>--</v>
      </c>
      <c r="L514" s="2" t="str">
        <f t="shared" si="73"/>
        <v>--</v>
      </c>
      <c r="M514" s="2" t="str">
        <f>"--"</f>
        <v>--</v>
      </c>
      <c r="N514" s="2"/>
      <c r="O514" s="2"/>
      <c r="P514" s="2"/>
      <c r="Q514" s="2"/>
    </row>
    <row r="515" spans="1:17" x14ac:dyDescent="0.3">
      <c r="A515" s="2" t="str">
        <f>"3002"</f>
        <v>3002</v>
      </c>
      <c r="B515" s="2" t="s">
        <v>1656</v>
      </c>
      <c r="C515" s="2" t="s">
        <v>1657</v>
      </c>
      <c r="D515" s="2" t="s">
        <v>6004</v>
      </c>
      <c r="E515" s="2" t="s">
        <v>1658</v>
      </c>
      <c r="F515" s="2" t="s">
        <v>2</v>
      </c>
      <c r="G515" s="2" t="str">
        <f>"(02)2799-1199"</f>
        <v>(02)2799-1199</v>
      </c>
      <c r="H515" s="2" t="s">
        <v>565</v>
      </c>
      <c r="I515" s="2" t="str">
        <f>"(02)2361-1300"</f>
        <v>(02)2361-1300</v>
      </c>
      <c r="J515" s="2" t="str">
        <f t="shared" si="73"/>
        <v>--</v>
      </c>
      <c r="K515" s="2" t="str">
        <f t="shared" si="73"/>
        <v>--</v>
      </c>
      <c r="L515" s="2" t="str">
        <f t="shared" si="73"/>
        <v>--</v>
      </c>
      <c r="M515" s="2" t="str">
        <f>"否"</f>
        <v>否</v>
      </c>
      <c r="N515" s="2"/>
      <c r="O515" s="2"/>
      <c r="P515" s="2"/>
      <c r="Q515" s="2"/>
    </row>
    <row r="516" spans="1:17" x14ac:dyDescent="0.3">
      <c r="A516" s="2" t="str">
        <f>"3003"</f>
        <v>3003</v>
      </c>
      <c r="B516" s="2" t="s">
        <v>1659</v>
      </c>
      <c r="C516" s="2" t="s">
        <v>1660</v>
      </c>
      <c r="D516" s="2" t="s">
        <v>6025</v>
      </c>
      <c r="E516" s="2" t="s">
        <v>1661</v>
      </c>
      <c r="F516" s="2" t="s">
        <v>2</v>
      </c>
      <c r="G516" s="2" t="str">
        <f>"(04)7580001"</f>
        <v>(04)7580001</v>
      </c>
      <c r="H516" s="2" t="s">
        <v>451</v>
      </c>
      <c r="I516" s="2" t="str">
        <f>"(02)23148800"</f>
        <v>(02)23148800</v>
      </c>
      <c r="J516" s="2" t="str">
        <f t="shared" si="73"/>
        <v>--</v>
      </c>
      <c r="K516" s="2" t="str">
        <f t="shared" si="73"/>
        <v>--</v>
      </c>
      <c r="L516" s="2" t="str">
        <f t="shared" si="73"/>
        <v>--</v>
      </c>
      <c r="M516" s="2" t="str">
        <f>"否"</f>
        <v>否</v>
      </c>
      <c r="N516" s="2"/>
      <c r="O516" s="2"/>
      <c r="P516" s="2"/>
      <c r="Q516" s="2"/>
    </row>
    <row r="517" spans="1:17" x14ac:dyDescent="0.3">
      <c r="A517" s="2" t="str">
        <f>"3004"</f>
        <v>3004</v>
      </c>
      <c r="B517" s="2" t="s">
        <v>1662</v>
      </c>
      <c r="C517" s="2" t="s">
        <v>1663</v>
      </c>
      <c r="D517" s="2" t="s">
        <v>6016</v>
      </c>
      <c r="E517" s="2" t="s">
        <v>6238</v>
      </c>
      <c r="F517" s="2" t="s">
        <v>2</v>
      </c>
      <c r="G517" s="2" t="str">
        <f>"03-450-8868"</f>
        <v>03-450-8868</v>
      </c>
      <c r="H517" s="2" t="s">
        <v>404</v>
      </c>
      <c r="I517" s="2" t="str">
        <f>"(02)6636-5566"</f>
        <v>(02)6636-5566</v>
      </c>
      <c r="J517" s="2" t="str">
        <f t="shared" si="73"/>
        <v>--</v>
      </c>
      <c r="K517" s="2" t="str">
        <f t="shared" si="73"/>
        <v>--</v>
      </c>
      <c r="L517" s="2" t="str">
        <f t="shared" si="73"/>
        <v>--</v>
      </c>
      <c r="M517" s="2" t="str">
        <f>"--"</f>
        <v>--</v>
      </c>
      <c r="N517" s="2"/>
      <c r="O517" s="2"/>
      <c r="P517" s="2"/>
      <c r="Q517" s="2"/>
    </row>
    <row r="518" spans="1:17" x14ac:dyDescent="0.3">
      <c r="A518" s="2" t="str">
        <f>"3005"</f>
        <v>3005</v>
      </c>
      <c r="B518" s="2" t="s">
        <v>1664</v>
      </c>
      <c r="C518" s="2" t="s">
        <v>1665</v>
      </c>
      <c r="D518" s="2" t="s">
        <v>6015</v>
      </c>
      <c r="E518" s="2" t="s">
        <v>1666</v>
      </c>
      <c r="F518" s="2" t="s">
        <v>41</v>
      </c>
      <c r="G518" s="2" t="str">
        <f>"03-5782280"</f>
        <v>03-5782280</v>
      </c>
      <c r="H518" s="2" t="s">
        <v>404</v>
      </c>
      <c r="I518" s="2" t="str">
        <f>"02-66365566"</f>
        <v>02-66365566</v>
      </c>
      <c r="J518" s="2" t="str">
        <f>"自105年05月24日至105年06月20日止"</f>
        <v>自105年05月24日至105年06月20日止</v>
      </c>
      <c r="K518" s="2" t="str">
        <f>"台灣集中保管結算所股份有限公司"</f>
        <v>台灣集中保管結算所股份有限公司</v>
      </c>
      <c r="L518" s="2" t="str">
        <f>"http://www.stockvote.com.tw"</f>
        <v>http://www.stockvote.com.tw</v>
      </c>
      <c r="M518" s="2" t="str">
        <f>"--"</f>
        <v>--</v>
      </c>
      <c r="N518" s="2"/>
      <c r="O518" s="2"/>
      <c r="P518" s="2"/>
      <c r="Q518" s="2"/>
    </row>
    <row r="519" spans="1:17" x14ac:dyDescent="0.3">
      <c r="A519" s="2" t="str">
        <f>"3006"</f>
        <v>3006</v>
      </c>
      <c r="B519" s="2" t="s">
        <v>1667</v>
      </c>
      <c r="C519" s="2" t="s">
        <v>1668</v>
      </c>
      <c r="D519" s="2" t="s">
        <v>6002</v>
      </c>
      <c r="E519" s="2" t="s">
        <v>1669</v>
      </c>
      <c r="F519" s="2" t="s">
        <v>41</v>
      </c>
      <c r="G519" s="2" t="str">
        <f>"03-5781-970"</f>
        <v>03-5781-970</v>
      </c>
      <c r="H519" s="2" t="s">
        <v>431</v>
      </c>
      <c r="I519" s="2" t="str">
        <f>"02-2702-3999"</f>
        <v>02-2702-3999</v>
      </c>
      <c r="J519" s="2" t="str">
        <f>"自105年05月14日至105年06月12日止"</f>
        <v>自105年05月14日至105年06月12日止</v>
      </c>
      <c r="K519" s="2" t="str">
        <f>"台灣集中保管結算所股份有限公司"</f>
        <v>台灣集中保管結算所股份有限公司</v>
      </c>
      <c r="L519" s="2" t="str">
        <f>"http://www.stockvote.com.tw"</f>
        <v>http://www.stockvote.com.tw</v>
      </c>
      <c r="M519" s="2" t="str">
        <f>"--"</f>
        <v>--</v>
      </c>
      <c r="N519" s="2"/>
      <c r="O519" s="2"/>
      <c r="P519" s="2"/>
      <c r="Q519" s="2"/>
    </row>
    <row r="520" spans="1:17" x14ac:dyDescent="0.3">
      <c r="A520" s="2" t="str">
        <f>"3008"</f>
        <v>3008</v>
      </c>
      <c r="B520" s="2" t="s">
        <v>1670</v>
      </c>
      <c r="C520" s="2" t="s">
        <v>1671</v>
      </c>
      <c r="D520" s="2" t="s">
        <v>6025</v>
      </c>
      <c r="E520" s="2" t="s">
        <v>1672</v>
      </c>
      <c r="F520" s="2" t="s">
        <v>41</v>
      </c>
      <c r="G520" s="2" t="str">
        <f>"04-36002345"</f>
        <v>04-36002345</v>
      </c>
      <c r="H520" s="2" t="s">
        <v>456</v>
      </c>
      <c r="I520" s="2" t="str">
        <f>"02-25048125"</f>
        <v>02-25048125</v>
      </c>
      <c r="J520" s="2" t="str">
        <f>"--"</f>
        <v>--</v>
      </c>
      <c r="K520" s="2" t="str">
        <f>"--"</f>
        <v>--</v>
      </c>
      <c r="L520" s="2" t="str">
        <f>"--"</f>
        <v>--</v>
      </c>
      <c r="M520" s="2" t="str">
        <f>"否"</f>
        <v>否</v>
      </c>
      <c r="N520" s="2"/>
      <c r="O520" s="2"/>
      <c r="P520" s="2"/>
      <c r="Q520" s="2"/>
    </row>
    <row r="521" spans="1:17" x14ac:dyDescent="0.3">
      <c r="A521" s="2" t="str">
        <f>"3010"</f>
        <v>3010</v>
      </c>
      <c r="B521" s="2" t="s">
        <v>1673</v>
      </c>
      <c r="C521" s="2" t="s">
        <v>1674</v>
      </c>
      <c r="D521" s="2" t="s">
        <v>6004</v>
      </c>
      <c r="E521" s="2" t="s">
        <v>1675</v>
      </c>
      <c r="F521" s="2" t="s">
        <v>2</v>
      </c>
      <c r="G521" s="2" t="str">
        <f>"07-2164311"</f>
        <v>07-2164311</v>
      </c>
      <c r="H521" s="2" t="s">
        <v>456</v>
      </c>
      <c r="I521" s="2" t="str">
        <f>"02-2504-8125"</f>
        <v>02-2504-8125</v>
      </c>
      <c r="J521" s="2" t="str">
        <f>"自105年05月18日至105年06月14日止"</f>
        <v>自105年05月18日至105年06月14日止</v>
      </c>
      <c r="K521" s="2" t="str">
        <f>"台灣集中保管結算所股份有限公司"</f>
        <v>台灣集中保管結算所股份有限公司</v>
      </c>
      <c r="L521" s="2" t="str">
        <f>"http://www.stockvote.com.tw"</f>
        <v>http://www.stockvote.com.tw</v>
      </c>
      <c r="M521" s="2" t="str">
        <f>"--"</f>
        <v>--</v>
      </c>
      <c r="N521" s="2"/>
      <c r="O521" s="2"/>
      <c r="P521" s="2"/>
      <c r="Q521" s="2"/>
    </row>
    <row r="522" spans="1:17" x14ac:dyDescent="0.3">
      <c r="A522" s="2" t="str">
        <f>"3011"</f>
        <v>3011</v>
      </c>
      <c r="B522" s="2" t="s">
        <v>305</v>
      </c>
      <c r="C522" s="2" t="s">
        <v>1676</v>
      </c>
      <c r="D522" s="2" t="s">
        <v>6021</v>
      </c>
      <c r="E522" s="2" t="s">
        <v>1676</v>
      </c>
      <c r="F522" s="2" t="s">
        <v>41</v>
      </c>
      <c r="G522" s="2" t="str">
        <f>"2918-9189"</f>
        <v>2918-9189</v>
      </c>
      <c r="H522" s="2" t="s">
        <v>456</v>
      </c>
      <c r="I522" s="2" t="str">
        <f>"2504-8125"</f>
        <v>2504-8125</v>
      </c>
      <c r="J522" s="2" t="str">
        <f t="shared" ref="J522:L524" si="74">"--"</f>
        <v>--</v>
      </c>
      <c r="K522" s="2" t="str">
        <f t="shared" si="74"/>
        <v>--</v>
      </c>
      <c r="L522" s="2" t="str">
        <f t="shared" si="74"/>
        <v>--</v>
      </c>
      <c r="M522" s="2" t="str">
        <f>"否"</f>
        <v>否</v>
      </c>
      <c r="N522" s="2"/>
      <c r="O522" s="2"/>
      <c r="P522" s="2"/>
      <c r="Q522" s="2"/>
    </row>
    <row r="523" spans="1:17" x14ac:dyDescent="0.3">
      <c r="A523" s="2" t="str">
        <f>"3013"</f>
        <v>3013</v>
      </c>
      <c r="B523" s="2" t="s">
        <v>1677</v>
      </c>
      <c r="C523" s="2" t="s">
        <v>1678</v>
      </c>
      <c r="D523" s="2" t="s">
        <v>6004</v>
      </c>
      <c r="E523" s="2" t="s">
        <v>1679</v>
      </c>
      <c r="F523" s="2" t="s">
        <v>2</v>
      </c>
      <c r="G523" s="2" t="str">
        <f>"02-2797-3999"</f>
        <v>02-2797-3999</v>
      </c>
      <c r="H523" s="2" t="s">
        <v>497</v>
      </c>
      <c r="I523" s="2" t="str">
        <f>"02-6636-5566"</f>
        <v>02-6636-5566</v>
      </c>
      <c r="J523" s="2" t="str">
        <f t="shared" si="74"/>
        <v>--</v>
      </c>
      <c r="K523" s="2" t="str">
        <f t="shared" si="74"/>
        <v>--</v>
      </c>
      <c r="L523" s="2" t="str">
        <f t="shared" si="74"/>
        <v>--</v>
      </c>
      <c r="M523" s="2" t="str">
        <f>"否"</f>
        <v>否</v>
      </c>
      <c r="N523" s="2"/>
      <c r="O523" s="2"/>
      <c r="P523" s="2"/>
      <c r="Q523" s="2"/>
    </row>
    <row r="524" spans="1:17" x14ac:dyDescent="0.3">
      <c r="A524" s="2" t="str">
        <f>"3014"</f>
        <v>3014</v>
      </c>
      <c r="B524" s="2" t="s">
        <v>70</v>
      </c>
      <c r="C524" s="2" t="s">
        <v>1680</v>
      </c>
      <c r="D524" s="2" t="s">
        <v>6020</v>
      </c>
      <c r="E524" s="2" t="s">
        <v>1681</v>
      </c>
      <c r="F524" s="2" t="s">
        <v>2</v>
      </c>
      <c r="G524" s="2" t="str">
        <f>"(03)5798658"</f>
        <v>(03)5798658</v>
      </c>
      <c r="H524" s="2" t="s">
        <v>1063</v>
      </c>
      <c r="I524" s="2" t="str">
        <f>"(02)23268818"</f>
        <v>(02)23268818</v>
      </c>
      <c r="J524" s="2" t="str">
        <f t="shared" si="74"/>
        <v>--</v>
      </c>
      <c r="K524" s="2" t="str">
        <f t="shared" si="74"/>
        <v>--</v>
      </c>
      <c r="L524" s="2" t="str">
        <f t="shared" si="74"/>
        <v>--</v>
      </c>
      <c r="M524" s="2" t="str">
        <f>"--"</f>
        <v>--</v>
      </c>
      <c r="N524" s="2"/>
      <c r="O524" s="2"/>
      <c r="P524" s="2"/>
      <c r="Q524" s="2"/>
    </row>
    <row r="525" spans="1:17" x14ac:dyDescent="0.3">
      <c r="A525" s="2" t="str">
        <f>"3015"</f>
        <v>3015</v>
      </c>
      <c r="B525" s="2" t="s">
        <v>1682</v>
      </c>
      <c r="C525" s="2" t="s">
        <v>6239</v>
      </c>
      <c r="D525" s="2" t="s">
        <v>6025</v>
      </c>
      <c r="E525" s="2" t="s">
        <v>1683</v>
      </c>
      <c r="F525" s="2" t="s">
        <v>2</v>
      </c>
      <c r="G525" s="2" t="str">
        <f>"(03)3759888"</f>
        <v>(03)3759888</v>
      </c>
      <c r="H525" s="2" t="s">
        <v>541</v>
      </c>
      <c r="I525" s="2" t="str">
        <f>"(02)33930898"</f>
        <v>(02)33930898</v>
      </c>
      <c r="J525" s="2" t="str">
        <f>"自105年05月09日至105年06月05日止"</f>
        <v>自105年05月09日至105年06月05日止</v>
      </c>
      <c r="K525" s="2" t="str">
        <f>"台灣集中保管結算所股份有限公司"</f>
        <v>台灣集中保管結算所股份有限公司</v>
      </c>
      <c r="L525" s="2" t="str">
        <f>"http://www.stockvote.com.tw"</f>
        <v>http://www.stockvote.com.tw</v>
      </c>
      <c r="M525" s="2" t="str">
        <f>"&lt;b&gt;&lt;font color='red'&gt;自願&lt;/font&gt;&lt;/b&gt;"</f>
        <v>&lt;b&gt;&lt;font color='red'&gt;自願&lt;/font&gt;&lt;/b&gt;</v>
      </c>
      <c r="N525" s="2"/>
      <c r="O525" s="2"/>
      <c r="P525" s="2"/>
      <c r="Q525" s="2"/>
    </row>
    <row r="526" spans="1:17" x14ac:dyDescent="0.3">
      <c r="A526" s="2" t="str">
        <f>"3016"</f>
        <v>3016</v>
      </c>
      <c r="B526" s="2" t="s">
        <v>203</v>
      </c>
      <c r="C526" s="2" t="s">
        <v>1684</v>
      </c>
      <c r="D526" s="2" t="s">
        <v>6028</v>
      </c>
      <c r="E526" s="2" t="s">
        <v>6240</v>
      </c>
      <c r="F526" s="2" t="s">
        <v>2</v>
      </c>
      <c r="G526" s="2" t="str">
        <f>"03-5632255"</f>
        <v>03-5632255</v>
      </c>
      <c r="H526" s="2" t="s">
        <v>465</v>
      </c>
      <c r="I526" s="2" t="str">
        <f>"02-23816288"</f>
        <v>02-23816288</v>
      </c>
      <c r="J526" s="2" t="str">
        <f>"自105年05月17日至105年06月13日止"</f>
        <v>自105年05月17日至105年06月13日止</v>
      </c>
      <c r="K526" s="2" t="str">
        <f>"台灣集中保管結算所股份有限公司"</f>
        <v>台灣集中保管結算所股份有限公司</v>
      </c>
      <c r="L526" s="2" t="str">
        <f>"http://www.stockvote.com.tw"</f>
        <v>http://www.stockvote.com.tw</v>
      </c>
      <c r="M526" s="2" t="str">
        <f>"--"</f>
        <v>--</v>
      </c>
      <c r="N526" s="2"/>
      <c r="O526" s="2"/>
      <c r="P526" s="2"/>
      <c r="Q526" s="2"/>
    </row>
    <row r="527" spans="1:17" x14ac:dyDescent="0.3">
      <c r="A527" s="2"/>
      <c r="B527" s="2"/>
      <c r="C527" s="2"/>
      <c r="D527" s="2"/>
      <c r="E527" s="2"/>
      <c r="F527" s="2"/>
      <c r="G527" s="2"/>
      <c r="H527" s="2"/>
      <c r="I527" s="2"/>
      <c r="J527" s="2"/>
      <c r="K527" s="2"/>
      <c r="L527" s="2"/>
      <c r="M527" s="2"/>
      <c r="N527" s="2"/>
      <c r="O527" s="2"/>
      <c r="P527" s="2"/>
      <c r="Q527" s="2"/>
    </row>
    <row r="528" spans="1:17" x14ac:dyDescent="0.3">
      <c r="A528" s="2" t="str">
        <f>"3017"</f>
        <v>3017</v>
      </c>
      <c r="B528" s="2" t="s">
        <v>1685</v>
      </c>
      <c r="C528" s="2" t="s">
        <v>1686</v>
      </c>
      <c r="D528" s="2" t="s">
        <v>6016</v>
      </c>
      <c r="E528" s="2" t="s">
        <v>1687</v>
      </c>
      <c r="F528" s="2" t="s">
        <v>41</v>
      </c>
      <c r="G528" s="2" t="str">
        <f>"07-8157612"</f>
        <v>07-8157612</v>
      </c>
      <c r="H528" s="2" t="s">
        <v>6006</v>
      </c>
      <c r="I528" s="2" t="str">
        <f>"02-25865859"</f>
        <v>02-25865859</v>
      </c>
      <c r="J528" s="2" t="str">
        <f>"自105年05月14日至105年06月11日止"</f>
        <v>自105年05月14日至105年06月11日止</v>
      </c>
      <c r="K528" s="2" t="str">
        <f>"台灣集中保管結算所股份有限公司"</f>
        <v>台灣集中保管結算所股份有限公司</v>
      </c>
      <c r="L528" s="2" t="str">
        <f>"http://www.stockvote.com.tw"</f>
        <v>http://www.stockvote.com.tw</v>
      </c>
      <c r="M528" s="2" t="str">
        <f>"強制"</f>
        <v>強制</v>
      </c>
      <c r="N528" s="2"/>
      <c r="O528" s="2"/>
      <c r="P528" s="2"/>
      <c r="Q528" s="2"/>
    </row>
    <row r="529" spans="1:17" x14ac:dyDescent="0.3">
      <c r="A529" s="2" t="str">
        <f>"3018"</f>
        <v>3018</v>
      </c>
      <c r="B529" s="2" t="s">
        <v>1688</v>
      </c>
      <c r="C529" s="2" t="s">
        <v>1689</v>
      </c>
      <c r="D529" s="2" t="s">
        <v>6015</v>
      </c>
      <c r="E529" s="2" t="s">
        <v>1690</v>
      </c>
      <c r="F529" s="2" t="s">
        <v>41</v>
      </c>
      <c r="G529" s="2" t="str">
        <f>"(02)2243-1188"</f>
        <v>(02)2243-1188</v>
      </c>
      <c r="H529" s="2" t="s">
        <v>469</v>
      </c>
      <c r="I529" s="2" t="str">
        <f>"(02)2747-8266"</f>
        <v>(02)2747-8266</v>
      </c>
      <c r="J529" s="2" t="str">
        <f>"--"</f>
        <v>--</v>
      </c>
      <c r="K529" s="2" t="str">
        <f>"--"</f>
        <v>--</v>
      </c>
      <c r="L529" s="2" t="str">
        <f>"--"</f>
        <v>--</v>
      </c>
      <c r="M529" s="2" t="str">
        <f>"--"</f>
        <v>--</v>
      </c>
      <c r="N529" s="2"/>
      <c r="O529" s="2"/>
      <c r="P529" s="2"/>
      <c r="Q529" s="2"/>
    </row>
    <row r="530" spans="1:17" x14ac:dyDescent="0.3">
      <c r="A530" s="2" t="str">
        <f>"3019"</f>
        <v>3019</v>
      </c>
      <c r="B530" s="2" t="s">
        <v>1691</v>
      </c>
      <c r="C530" s="2" t="s">
        <v>1692</v>
      </c>
      <c r="D530" s="2" t="s">
        <v>6025</v>
      </c>
      <c r="E530" s="2" t="s">
        <v>1693</v>
      </c>
      <c r="F530" s="2" t="s">
        <v>41</v>
      </c>
      <c r="G530" s="2" t="str">
        <f>"(04)2533-5175"</f>
        <v>(04)2533-5175</v>
      </c>
      <c r="H530" s="2" t="s">
        <v>465</v>
      </c>
      <c r="I530" s="2" t="str">
        <f>"(02)2381-6288"</f>
        <v>(02)2381-6288</v>
      </c>
      <c r="J530" s="2" t="str">
        <f>"自105年05月07日至105年06月05日止"</f>
        <v>自105年05月07日至105年06月05日止</v>
      </c>
      <c r="K530" s="2" t="str">
        <f>"台灣集中保管結算所股份有限公司"</f>
        <v>台灣集中保管結算所股份有限公司</v>
      </c>
      <c r="L530" s="2" t="str">
        <f>"http://www.stockvote.com.tw"</f>
        <v>http://www.stockvote.com.tw</v>
      </c>
      <c r="M530" s="2" t="str">
        <f t="shared" ref="M530:M536" si="75">"--"</f>
        <v>--</v>
      </c>
      <c r="N530" s="2"/>
      <c r="O530" s="2"/>
      <c r="P530" s="2"/>
      <c r="Q530" s="2"/>
    </row>
    <row r="531" spans="1:17" x14ac:dyDescent="0.3">
      <c r="A531" s="2" t="str">
        <f>"3021"</f>
        <v>3021</v>
      </c>
      <c r="B531" s="2" t="s">
        <v>1694</v>
      </c>
      <c r="C531" s="2" t="s">
        <v>1695</v>
      </c>
      <c r="D531" s="2" t="s">
        <v>6004</v>
      </c>
      <c r="E531" s="2" t="s">
        <v>1696</v>
      </c>
      <c r="F531" s="2" t="s">
        <v>41</v>
      </c>
      <c r="G531" s="2" t="str">
        <f>"(02)8768-2688"</f>
        <v>(02)8768-2688</v>
      </c>
      <c r="H531" s="2" t="s">
        <v>817</v>
      </c>
      <c r="I531" s="2" t="str">
        <f>"02-66365566"</f>
        <v>02-66365566</v>
      </c>
      <c r="J531" s="2" t="str">
        <f>"--"</f>
        <v>--</v>
      </c>
      <c r="K531" s="2" t="str">
        <f>"--"</f>
        <v>--</v>
      </c>
      <c r="L531" s="2" t="str">
        <f>"--"</f>
        <v>--</v>
      </c>
      <c r="M531" s="2" t="str">
        <f t="shared" si="75"/>
        <v>--</v>
      </c>
      <c r="N531" s="2"/>
      <c r="O531" s="2"/>
      <c r="P531" s="2"/>
      <c r="Q531" s="2"/>
    </row>
    <row r="532" spans="1:17" x14ac:dyDescent="0.3">
      <c r="A532" s="2"/>
      <c r="B532" s="2"/>
      <c r="C532" s="2"/>
      <c r="D532" s="2"/>
      <c r="E532" s="2"/>
      <c r="F532" s="2"/>
      <c r="G532" s="2"/>
      <c r="H532" s="2"/>
      <c r="I532" s="2"/>
      <c r="J532" s="2"/>
      <c r="K532" s="2"/>
      <c r="L532" s="2"/>
      <c r="M532" s="2"/>
      <c r="N532" s="2"/>
      <c r="O532" s="2"/>
      <c r="P532" s="2"/>
      <c r="Q532" s="2"/>
    </row>
    <row r="533" spans="1:17" x14ac:dyDescent="0.3">
      <c r="A533" s="2" t="str">
        <f>"3022"</f>
        <v>3022</v>
      </c>
      <c r="B533" s="2" t="s">
        <v>1697</v>
      </c>
      <c r="C533" s="2" t="s">
        <v>1698</v>
      </c>
      <c r="D533" s="2" t="s">
        <v>6002</v>
      </c>
      <c r="E533" s="2" t="s">
        <v>6241</v>
      </c>
      <c r="F533" s="2" t="s">
        <v>2</v>
      </c>
      <c r="G533" s="2" t="str">
        <f>"(02)2690-2098"</f>
        <v>(02)2690-2098</v>
      </c>
      <c r="H533" s="2" t="s">
        <v>431</v>
      </c>
      <c r="I533" s="2" t="str">
        <f>"(02)2702-3999"</f>
        <v>(02)2702-3999</v>
      </c>
      <c r="J533" s="2" t="str">
        <f>"自105年05月14日至105年06月12日止"</f>
        <v>自105年05月14日至105年06月12日止</v>
      </c>
      <c r="K533" s="2" t="str">
        <f>"台灣集中保管結算所股份有限公司"</f>
        <v>台灣集中保管結算所股份有限公司</v>
      </c>
      <c r="L533" s="2" t="str">
        <f>"http://www.stockvote.com.tw"</f>
        <v>http://www.stockvote.com.tw</v>
      </c>
      <c r="M533" s="2" t="str">
        <f t="shared" si="75"/>
        <v>--</v>
      </c>
      <c r="N533" s="2"/>
      <c r="O533" s="2"/>
      <c r="P533" s="2"/>
      <c r="Q533" s="2"/>
    </row>
    <row r="534" spans="1:17" x14ac:dyDescent="0.3">
      <c r="A534" s="2" t="str">
        <f>"3023"</f>
        <v>3023</v>
      </c>
      <c r="B534" s="2" t="s">
        <v>1699</v>
      </c>
      <c r="C534" s="2" t="s">
        <v>1700</v>
      </c>
      <c r="D534" s="2" t="s">
        <v>6004</v>
      </c>
      <c r="E534" s="2" t="s">
        <v>1701</v>
      </c>
      <c r="F534" s="2" t="s">
        <v>2</v>
      </c>
      <c r="G534" s="2" t="str">
        <f>"037-330099"</f>
        <v>037-330099</v>
      </c>
      <c r="H534" s="2" t="s">
        <v>456</v>
      </c>
      <c r="I534" s="2" t="str">
        <f>"02-2504-8125"</f>
        <v>02-2504-8125</v>
      </c>
      <c r="J534" s="2" t="str">
        <f>"自105年05月18日至105年06月14日止"</f>
        <v>自105年05月18日至105年06月14日止</v>
      </c>
      <c r="K534" s="2" t="str">
        <f>"台灣集中保管結算所股份有限公司"</f>
        <v>台灣集中保管結算所股份有限公司</v>
      </c>
      <c r="L534" s="2" t="str">
        <f>"http://www.stockvote.com.tw"</f>
        <v>http://www.stockvote.com.tw</v>
      </c>
      <c r="M534" s="2" t="str">
        <f t="shared" si="75"/>
        <v>--</v>
      </c>
      <c r="N534" s="2"/>
      <c r="O534" s="2"/>
      <c r="P534" s="2"/>
      <c r="Q534" s="2"/>
    </row>
    <row r="535" spans="1:17" x14ac:dyDescent="0.3">
      <c r="A535" s="2" t="str">
        <f>"3024"</f>
        <v>3024</v>
      </c>
      <c r="B535" s="2" t="s">
        <v>1702</v>
      </c>
      <c r="C535" s="2" t="s">
        <v>6242</v>
      </c>
      <c r="D535" s="2" t="s">
        <v>6004</v>
      </c>
      <c r="E535" s="2" t="s">
        <v>1703</v>
      </c>
      <c r="F535" s="2" t="s">
        <v>2</v>
      </c>
      <c r="G535" s="2" t="str">
        <f>"03-4515494"</f>
        <v>03-4515494</v>
      </c>
      <c r="H535" s="2" t="s">
        <v>6243</v>
      </c>
      <c r="I535" s="2" t="str">
        <f>"02-25865859"</f>
        <v>02-25865859</v>
      </c>
      <c r="J535" s="2" t="str">
        <f>"自105年05月18日至105年06月14日止"</f>
        <v>自105年05月18日至105年06月14日止</v>
      </c>
      <c r="K535" s="2" t="str">
        <f>"台灣集中保管結算所股份有限公司"</f>
        <v>台灣集中保管結算所股份有限公司</v>
      </c>
      <c r="L535" s="2" t="str">
        <f>"http://www.stockvote.com.tw"</f>
        <v>http://www.stockvote.com.tw</v>
      </c>
      <c r="M535" s="2" t="str">
        <f t="shared" si="75"/>
        <v>--</v>
      </c>
      <c r="N535" s="2"/>
      <c r="O535" s="2"/>
      <c r="P535" s="2"/>
      <c r="Q535" s="2"/>
    </row>
    <row r="536" spans="1:17" x14ac:dyDescent="0.3">
      <c r="A536" s="2" t="str">
        <f>"3025"</f>
        <v>3025</v>
      </c>
      <c r="B536" s="2" t="s">
        <v>357</v>
      </c>
      <c r="C536" s="2" t="s">
        <v>1704</v>
      </c>
      <c r="D536" s="2" t="s">
        <v>6015</v>
      </c>
      <c r="E536" s="2" t="s">
        <v>1705</v>
      </c>
      <c r="F536" s="2" t="s">
        <v>41</v>
      </c>
      <c r="G536" s="2" t="str">
        <f>"03-5787696"</f>
        <v>03-5787696</v>
      </c>
      <c r="H536" s="2" t="s">
        <v>6006</v>
      </c>
      <c r="I536" s="2" t="str">
        <f>"2586-5859"</f>
        <v>2586-5859</v>
      </c>
      <c r="J536" s="2" t="str">
        <f>"--"</f>
        <v>--</v>
      </c>
      <c r="K536" s="2" t="str">
        <f>"--"</f>
        <v>--</v>
      </c>
      <c r="L536" s="2" t="str">
        <f>"--"</f>
        <v>--</v>
      </c>
      <c r="M536" s="2" t="str">
        <f t="shared" si="75"/>
        <v>--</v>
      </c>
      <c r="N536" s="2"/>
      <c r="O536" s="2"/>
      <c r="P536" s="2"/>
      <c r="Q536" s="2"/>
    </row>
    <row r="537" spans="1:17" x14ac:dyDescent="0.3">
      <c r="A537" s="2" t="str">
        <f>"3026"</f>
        <v>3026</v>
      </c>
      <c r="B537" s="2" t="s">
        <v>78</v>
      </c>
      <c r="C537" s="2" t="s">
        <v>1706</v>
      </c>
      <c r="D537" s="2" t="s">
        <v>6024</v>
      </c>
      <c r="E537" s="2" t="s">
        <v>1707</v>
      </c>
      <c r="F537" s="2" t="s">
        <v>2</v>
      </c>
      <c r="G537" s="2" t="str">
        <f>"(02)2627-0383"</f>
        <v>(02)2627-0383</v>
      </c>
      <c r="H537" s="2" t="s">
        <v>404</v>
      </c>
      <c r="I537" s="2" t="str">
        <f>"(02)6636-5566"</f>
        <v>(02)6636-5566</v>
      </c>
      <c r="J537" s="2" t="str">
        <f>"自105年05月08日至105年06月04日止"</f>
        <v>自105年05月08日至105年06月04日止</v>
      </c>
      <c r="K537" s="2" t="str">
        <f>"台灣集中保管結算所股份有限公司"</f>
        <v>台灣集中保管結算所股份有限公司</v>
      </c>
      <c r="L537" s="2" t="str">
        <f>"http://www.stockvote.com.tw"</f>
        <v>http://www.stockvote.com.tw</v>
      </c>
      <c r="M537" s="2" t="str">
        <f>"強制"</f>
        <v>強制</v>
      </c>
      <c r="N537" s="2"/>
      <c r="O537" s="2"/>
      <c r="P537" s="2"/>
      <c r="Q537" s="2"/>
    </row>
    <row r="538" spans="1:17" x14ac:dyDescent="0.3">
      <c r="A538" s="2" t="str">
        <f>"3027"</f>
        <v>3027</v>
      </c>
      <c r="B538" s="2" t="s">
        <v>1708</v>
      </c>
      <c r="C538" s="2" t="s">
        <v>1709</v>
      </c>
      <c r="D538" s="2" t="s">
        <v>6024</v>
      </c>
      <c r="E538" s="2" t="s">
        <v>1710</v>
      </c>
      <c r="F538" s="2" t="s">
        <v>2</v>
      </c>
      <c r="G538" s="2" t="str">
        <f>"02-29145665"</f>
        <v>02-29145665</v>
      </c>
      <c r="H538" s="2" t="s">
        <v>431</v>
      </c>
      <c r="I538" s="2" t="str">
        <f>"02-27035000"</f>
        <v>02-27035000</v>
      </c>
      <c r="J538" s="2" t="str">
        <f>"--"</f>
        <v>--</v>
      </c>
      <c r="K538" s="2" t="str">
        <f>"--"</f>
        <v>--</v>
      </c>
      <c r="L538" s="2" t="str">
        <f>"--"</f>
        <v>--</v>
      </c>
      <c r="M538" s="2" t="str">
        <f>"否"</f>
        <v>否</v>
      </c>
      <c r="N538" s="2"/>
      <c r="O538" s="2"/>
      <c r="P538" s="2"/>
      <c r="Q538" s="2"/>
    </row>
    <row r="539" spans="1:17" x14ac:dyDescent="0.3">
      <c r="A539" s="2" t="str">
        <f>"3028"</f>
        <v>3028</v>
      </c>
      <c r="B539" s="2" t="s">
        <v>128</v>
      </c>
      <c r="C539" s="2" t="s">
        <v>1711</v>
      </c>
      <c r="D539" s="2" t="s">
        <v>6002</v>
      </c>
      <c r="E539" s="2" t="s">
        <v>1712</v>
      </c>
      <c r="F539" s="2" t="s">
        <v>2</v>
      </c>
      <c r="G539" s="2" t="str">
        <f>"(02)2792-8788"</f>
        <v>(02)2792-8788</v>
      </c>
      <c r="H539" s="2" t="s">
        <v>456</v>
      </c>
      <c r="I539" s="2" t="str">
        <f>"02-25048125"</f>
        <v>02-25048125</v>
      </c>
      <c r="J539" s="2" t="str">
        <f>"自105年05月14日至105年06月12日止"</f>
        <v>自105年05月14日至105年06月12日止</v>
      </c>
      <c r="K539" s="2" t="str">
        <f>"台灣集中保管結算所股份有限公司"</f>
        <v>台灣集中保管結算所股份有限公司</v>
      </c>
      <c r="L539" s="2" t="str">
        <f>"http://www.stockvote.com.tw"</f>
        <v>http://www.stockvote.com.tw</v>
      </c>
      <c r="M539" s="2" t="str">
        <f>"--"</f>
        <v>--</v>
      </c>
      <c r="N539" s="2"/>
      <c r="O539" s="2"/>
      <c r="P539" s="2"/>
      <c r="Q539" s="2"/>
    </row>
    <row r="540" spans="1:17" x14ac:dyDescent="0.3">
      <c r="A540" s="2" t="str">
        <f>"3029"</f>
        <v>3029</v>
      </c>
      <c r="B540" s="2" t="s">
        <v>1713</v>
      </c>
      <c r="C540" s="2" t="s">
        <v>1714</v>
      </c>
      <c r="D540" s="2" t="s">
        <v>6025</v>
      </c>
      <c r="E540" s="2" t="s">
        <v>1715</v>
      </c>
      <c r="F540" s="2" t="s">
        <v>2</v>
      </c>
      <c r="G540" s="2" t="str">
        <f>"26565656"</f>
        <v>26565656</v>
      </c>
      <c r="H540" s="2" t="s">
        <v>653</v>
      </c>
      <c r="I540" s="2" t="str">
        <f>"(02)2768-6668"</f>
        <v>(02)2768-6668</v>
      </c>
      <c r="J540" s="2" t="str">
        <f>"--"</f>
        <v>--</v>
      </c>
      <c r="K540" s="2" t="str">
        <f>"--"</f>
        <v>--</v>
      </c>
      <c r="L540" s="2" t="str">
        <f>"--"</f>
        <v>--</v>
      </c>
      <c r="M540" s="2" t="str">
        <f>"否"</f>
        <v>否</v>
      </c>
      <c r="N540" s="2"/>
      <c r="O540" s="2"/>
      <c r="P540" s="2"/>
      <c r="Q540" s="2"/>
    </row>
    <row r="541" spans="1:17" x14ac:dyDescent="0.3">
      <c r="A541" s="2" t="str">
        <f>"3030"</f>
        <v>3030</v>
      </c>
      <c r="B541" s="2" t="s">
        <v>1716</v>
      </c>
      <c r="C541" s="2" t="s">
        <v>1717</v>
      </c>
      <c r="D541" s="2" t="s">
        <v>6051</v>
      </c>
      <c r="E541" s="2" t="s">
        <v>1718</v>
      </c>
      <c r="F541" s="2" t="s">
        <v>2</v>
      </c>
      <c r="G541" s="2" t="str">
        <f>"(02)2832-8918"</f>
        <v>(02)2832-8918</v>
      </c>
      <c r="H541" s="2" t="s">
        <v>451</v>
      </c>
      <c r="I541" s="2" t="str">
        <f>"(02)2389-2999"</f>
        <v>(02)2389-2999</v>
      </c>
      <c r="J541" s="2" t="str">
        <f>"自105年05月04日至105年05月31日止"</f>
        <v>自105年05月04日至105年05月31日止</v>
      </c>
      <c r="K541" s="2" t="str">
        <f>"台灣集中保管結算所股份有限公司"</f>
        <v>台灣集中保管結算所股份有限公司</v>
      </c>
      <c r="L541" s="2" t="str">
        <f>"http://www.stockvote.com.tw"</f>
        <v>http://www.stockvote.com.tw</v>
      </c>
      <c r="M541" s="2" t="str">
        <f>"強制"</f>
        <v>強制</v>
      </c>
      <c r="N541" s="2"/>
      <c r="O541" s="2"/>
      <c r="P541" s="2"/>
      <c r="Q541" s="2"/>
    </row>
    <row r="542" spans="1:17" x14ac:dyDescent="0.3">
      <c r="A542" s="2" t="str">
        <f>"3031"</f>
        <v>3031</v>
      </c>
      <c r="B542" s="2" t="s">
        <v>1719</v>
      </c>
      <c r="C542" s="2" t="s">
        <v>1720</v>
      </c>
      <c r="D542" s="2" t="s">
        <v>6025</v>
      </c>
      <c r="E542" s="2" t="s">
        <v>6244</v>
      </c>
      <c r="F542" s="2" t="s">
        <v>41</v>
      </c>
      <c r="G542" s="2" t="str">
        <f>"(02)29591090"</f>
        <v>(02)29591090</v>
      </c>
      <c r="H542" s="2" t="s">
        <v>404</v>
      </c>
      <c r="I542" s="2" t="str">
        <f>"(02)66365566"</f>
        <v>(02)66365566</v>
      </c>
      <c r="J542" s="2" t="str">
        <f t="shared" ref="J542:L543" si="76">"--"</f>
        <v>--</v>
      </c>
      <c r="K542" s="2" t="str">
        <f t="shared" si="76"/>
        <v>--</v>
      </c>
      <c r="L542" s="2" t="str">
        <f t="shared" si="76"/>
        <v>--</v>
      </c>
      <c r="M542" s="2" t="str">
        <f>"否"</f>
        <v>否</v>
      </c>
      <c r="N542" s="2"/>
      <c r="O542" s="2"/>
      <c r="P542" s="2"/>
      <c r="Q542" s="2"/>
    </row>
    <row r="543" spans="1:17" x14ac:dyDescent="0.3">
      <c r="A543" s="2" t="str">
        <f>"3032"</f>
        <v>3032</v>
      </c>
      <c r="B543" s="2" t="s">
        <v>1721</v>
      </c>
      <c r="C543" s="2" t="s">
        <v>1722</v>
      </c>
      <c r="D543" s="2" t="s">
        <v>6037</v>
      </c>
      <c r="E543" s="2" t="s">
        <v>1723</v>
      </c>
      <c r="F543" s="2" t="s">
        <v>41</v>
      </c>
      <c r="G543" s="2" t="str">
        <f>"06-3560606"</f>
        <v>06-3560606</v>
      </c>
      <c r="H543" s="2" t="s">
        <v>6006</v>
      </c>
      <c r="I543" s="2" t="str">
        <f>"02-2586-5859"</f>
        <v>02-2586-5859</v>
      </c>
      <c r="J543" s="2" t="str">
        <f t="shared" si="76"/>
        <v>--</v>
      </c>
      <c r="K543" s="2" t="str">
        <f t="shared" si="76"/>
        <v>--</v>
      </c>
      <c r="L543" s="2" t="str">
        <f t="shared" si="76"/>
        <v>--</v>
      </c>
      <c r="M543" s="2" t="str">
        <f>"否"</f>
        <v>否</v>
      </c>
      <c r="N543" s="2"/>
      <c r="O543" s="2"/>
      <c r="P543" s="2"/>
      <c r="Q543" s="2"/>
    </row>
    <row r="544" spans="1:17" x14ac:dyDescent="0.3">
      <c r="A544" s="2" t="str">
        <f>"3033"</f>
        <v>3033</v>
      </c>
      <c r="B544" s="2" t="s">
        <v>194</v>
      </c>
      <c r="C544" s="2" t="s">
        <v>1724</v>
      </c>
      <c r="D544" s="2" t="s">
        <v>6004</v>
      </c>
      <c r="E544" s="2" t="s">
        <v>1725</v>
      </c>
      <c r="F544" s="2" t="s">
        <v>2</v>
      </c>
      <c r="G544" s="2" t="str">
        <f>"26590202"</f>
        <v>26590202</v>
      </c>
      <c r="H544" s="2" t="s">
        <v>6009</v>
      </c>
      <c r="I544" s="2" t="str">
        <f>"2586-5859"</f>
        <v>2586-5859</v>
      </c>
      <c r="J544" s="2" t="str">
        <f>"自105年05月18日至105年06月14日止"</f>
        <v>自105年05月18日至105年06月14日止</v>
      </c>
      <c r="K544" s="2" t="str">
        <f t="shared" ref="K544:K549" si="77">"台灣集中保管結算所股份有限公司"</f>
        <v>台灣集中保管結算所股份有限公司</v>
      </c>
      <c r="L544" s="2" t="str">
        <f t="shared" ref="L544:L549" si="78">"http://www.stockvote.com.tw"</f>
        <v>http://www.stockvote.com.tw</v>
      </c>
      <c r="M544" s="2" t="str">
        <f>"強制"</f>
        <v>強制</v>
      </c>
      <c r="N544" s="2"/>
      <c r="O544" s="2"/>
      <c r="P544" s="2"/>
      <c r="Q544" s="2"/>
    </row>
    <row r="545" spans="1:17" x14ac:dyDescent="0.3">
      <c r="A545" s="2" t="str">
        <f>"3034"</f>
        <v>3034</v>
      </c>
      <c r="B545" s="2" t="s">
        <v>27</v>
      </c>
      <c r="C545" s="2" t="s">
        <v>1726</v>
      </c>
      <c r="D545" s="2" t="s">
        <v>6025</v>
      </c>
      <c r="E545" s="2" t="s">
        <v>1727</v>
      </c>
      <c r="F545" s="2" t="s">
        <v>2</v>
      </c>
      <c r="G545" s="2" t="str">
        <f>"(03)567-0889"</f>
        <v>(03)567-0889</v>
      </c>
      <c r="H545" s="2" t="s">
        <v>475</v>
      </c>
      <c r="I545" s="2" t="str">
        <f>"(02)23268818"</f>
        <v>(02)23268818</v>
      </c>
      <c r="J545" s="2" t="str">
        <f>"自105年05月09日至105年06月05日止"</f>
        <v>自105年05月09日至105年06月05日止</v>
      </c>
      <c r="K545" s="2" t="str">
        <f t="shared" si="77"/>
        <v>台灣集中保管結算所股份有限公司</v>
      </c>
      <c r="L545" s="2" t="str">
        <f t="shared" si="78"/>
        <v>http://www.stockvote.com.tw</v>
      </c>
      <c r="M545" s="2" t="str">
        <f>"&lt;b&gt;&lt;font color='red'&gt;自願&lt;/font&gt;&lt;/b&gt;"</f>
        <v>&lt;b&gt;&lt;font color='red'&gt;自願&lt;/font&gt;&lt;/b&gt;</v>
      </c>
      <c r="N545" s="2"/>
      <c r="O545" s="2"/>
      <c r="P545" s="2"/>
      <c r="Q545" s="2"/>
    </row>
    <row r="546" spans="1:17" x14ac:dyDescent="0.3">
      <c r="A546" s="2" t="str">
        <f>"3035"</f>
        <v>3035</v>
      </c>
      <c r="B546" s="2" t="s">
        <v>54</v>
      </c>
      <c r="C546" s="2" t="s">
        <v>1728</v>
      </c>
      <c r="D546" s="2" t="s">
        <v>6002</v>
      </c>
      <c r="E546" s="2" t="s">
        <v>6245</v>
      </c>
      <c r="F546" s="2" t="s">
        <v>41</v>
      </c>
      <c r="G546" s="2" t="str">
        <f>"03-5787888"</f>
        <v>03-5787888</v>
      </c>
      <c r="H546" s="2" t="s">
        <v>1063</v>
      </c>
      <c r="I546" s="2" t="str">
        <f>"(02)2700-8899"</f>
        <v>(02)2700-8899</v>
      </c>
      <c r="J546" s="2" t="str">
        <f>"自105年05月16日至105年06月12日止"</f>
        <v>自105年05月16日至105年06月12日止</v>
      </c>
      <c r="K546" s="2" t="str">
        <f t="shared" si="77"/>
        <v>台灣集中保管結算所股份有限公司</v>
      </c>
      <c r="L546" s="2" t="str">
        <f t="shared" si="78"/>
        <v>http://www.stockvote.com.tw</v>
      </c>
      <c r="M546" s="2" t="str">
        <f>"--"</f>
        <v>--</v>
      </c>
      <c r="N546" s="2"/>
      <c r="O546" s="2"/>
      <c r="P546" s="2"/>
      <c r="Q546" s="2"/>
    </row>
    <row r="547" spans="1:17" x14ac:dyDescent="0.3">
      <c r="A547" s="2" t="str">
        <f>"3036"</f>
        <v>3036</v>
      </c>
      <c r="B547" s="2" t="s">
        <v>1729</v>
      </c>
      <c r="C547" s="2" t="s">
        <v>1730</v>
      </c>
      <c r="D547" s="2" t="s">
        <v>6051</v>
      </c>
      <c r="E547" s="2" t="s">
        <v>1731</v>
      </c>
      <c r="F547" s="2" t="s">
        <v>41</v>
      </c>
      <c r="G547" s="2" t="str">
        <f>"(02)8226-9088"</f>
        <v>(02)8226-9088</v>
      </c>
      <c r="H547" s="2" t="s">
        <v>640</v>
      </c>
      <c r="I547" s="2" t="str">
        <f>"(02)2371-1658"</f>
        <v>(02)2371-1658</v>
      </c>
      <c r="J547" s="2" t="str">
        <f>"自105年05月04日至105年05月31日止"</f>
        <v>自105年05月04日至105年05月31日止</v>
      </c>
      <c r="K547" s="2" t="str">
        <f t="shared" si="77"/>
        <v>台灣集中保管結算所股份有限公司</v>
      </c>
      <c r="L547" s="2" t="str">
        <f t="shared" si="78"/>
        <v>http://www.stockvote.com.tw</v>
      </c>
      <c r="M547" s="2" t="str">
        <f>"強制"</f>
        <v>強制</v>
      </c>
      <c r="N547" s="2"/>
      <c r="O547" s="2"/>
      <c r="P547" s="2"/>
      <c r="Q547" s="2"/>
    </row>
    <row r="548" spans="1:17" x14ac:dyDescent="0.3">
      <c r="A548" s="2" t="str">
        <f>"3037"</f>
        <v>3037</v>
      </c>
      <c r="B548" s="2" t="s">
        <v>1732</v>
      </c>
      <c r="C548" s="2" t="s">
        <v>1733</v>
      </c>
      <c r="D548" s="2" t="s">
        <v>6000</v>
      </c>
      <c r="E548" s="2" t="s">
        <v>1734</v>
      </c>
      <c r="F548" s="2" t="s">
        <v>2</v>
      </c>
      <c r="G548" s="2" t="str">
        <f>"03-3500386"</f>
        <v>03-3500386</v>
      </c>
      <c r="H548" s="2" t="s">
        <v>1735</v>
      </c>
      <c r="I548" s="2" t="str">
        <f>"02-77198899"</f>
        <v>02-77198899</v>
      </c>
      <c r="J548" s="2" t="str">
        <f>"自105年05月21日至105年06月18日止"</f>
        <v>自105年05月21日至105年06月18日止</v>
      </c>
      <c r="K548" s="2" t="str">
        <f t="shared" si="77"/>
        <v>台灣集中保管結算所股份有限公司</v>
      </c>
      <c r="L548" s="2" t="str">
        <f t="shared" si="78"/>
        <v>http://www.stockvote.com.tw</v>
      </c>
      <c r="M548" s="2" t="str">
        <f>"--"</f>
        <v>--</v>
      </c>
      <c r="N548" s="2"/>
      <c r="O548" s="2"/>
      <c r="P548" s="2"/>
      <c r="Q548" s="2"/>
    </row>
    <row r="549" spans="1:17" x14ac:dyDescent="0.3">
      <c r="A549" s="2" t="str">
        <f>"3038"</f>
        <v>3038</v>
      </c>
      <c r="B549" s="2" t="s">
        <v>23</v>
      </c>
      <c r="C549" s="2" t="s">
        <v>24</v>
      </c>
      <c r="D549" s="2" t="s">
        <v>6024</v>
      </c>
      <c r="E549" s="2" t="s">
        <v>1736</v>
      </c>
      <c r="F549" s="2" t="s">
        <v>2</v>
      </c>
      <c r="G549" s="2" t="str">
        <f>"07-8124832"</f>
        <v>07-8124832</v>
      </c>
      <c r="H549" s="2" t="s">
        <v>6006</v>
      </c>
      <c r="I549" s="2" t="str">
        <f>"02-25865859"</f>
        <v>02-25865859</v>
      </c>
      <c r="J549" s="2" t="str">
        <f>"自105年05月07日至105年06月04日止"</f>
        <v>自105年05月07日至105年06月04日止</v>
      </c>
      <c r="K549" s="2" t="str">
        <f t="shared" si="77"/>
        <v>台灣集中保管結算所股份有限公司</v>
      </c>
      <c r="L549" s="2" t="str">
        <f t="shared" si="78"/>
        <v>http://www.stockvote.com.tw</v>
      </c>
      <c r="M549" s="2" t="str">
        <f>"強制"</f>
        <v>強制</v>
      </c>
      <c r="N549" s="2"/>
      <c r="O549" s="2"/>
      <c r="P549" s="2"/>
      <c r="Q549" s="2"/>
    </row>
    <row r="550" spans="1:17" x14ac:dyDescent="0.3">
      <c r="A550" s="2" t="str">
        <f>"3040"</f>
        <v>3040</v>
      </c>
      <c r="B550" s="2" t="s">
        <v>1737</v>
      </c>
      <c r="C550" s="2" t="s">
        <v>6246</v>
      </c>
      <c r="D550" s="2" t="s">
        <v>6024</v>
      </c>
      <c r="E550" s="2" t="s">
        <v>6247</v>
      </c>
      <c r="F550" s="2" t="s">
        <v>2</v>
      </c>
      <c r="G550" s="2" t="str">
        <f>"2257-8866"</f>
        <v>2257-8866</v>
      </c>
      <c r="H550" s="2" t="s">
        <v>6009</v>
      </c>
      <c r="I550" s="2" t="str">
        <f>"02-25865859"</f>
        <v>02-25865859</v>
      </c>
      <c r="J550" s="2" t="str">
        <f>"--"</f>
        <v>--</v>
      </c>
      <c r="K550" s="2" t="str">
        <f>"--"</f>
        <v>--</v>
      </c>
      <c r="L550" s="2" t="str">
        <f>"--"</f>
        <v>--</v>
      </c>
      <c r="M550" s="2" t="str">
        <f>"否"</f>
        <v>否</v>
      </c>
      <c r="N550" s="2"/>
      <c r="O550" s="2"/>
      <c r="P550" s="2"/>
      <c r="Q550" s="2"/>
    </row>
    <row r="551" spans="1:17" x14ac:dyDescent="0.3">
      <c r="A551" s="2" t="str">
        <f>"3041"</f>
        <v>3041</v>
      </c>
      <c r="B551" s="2" t="s">
        <v>66</v>
      </c>
      <c r="C551" s="2" t="s">
        <v>1738</v>
      </c>
      <c r="D551" s="2" t="s">
        <v>6014</v>
      </c>
      <c r="E551" s="2" t="s">
        <v>1739</v>
      </c>
      <c r="F551" s="2" t="s">
        <v>41</v>
      </c>
      <c r="G551" s="2" t="str">
        <f>"8752-2000"</f>
        <v>8752-2000</v>
      </c>
      <c r="H551" s="2" t="s">
        <v>404</v>
      </c>
      <c r="I551" s="2" t="str">
        <f>"(02)6636-5566"</f>
        <v>(02)6636-5566</v>
      </c>
      <c r="J551" s="2" t="str">
        <f>"自105年05月28日至105年06月26日止"</f>
        <v>自105年05月28日至105年06月26日止</v>
      </c>
      <c r="K551" s="2" t="str">
        <f>"台灣集中保管結算所股份有限公司"</f>
        <v>台灣集中保管結算所股份有限公司</v>
      </c>
      <c r="L551" s="2" t="str">
        <f>"http://www.stockvote.com.tw"</f>
        <v>http://www.stockvote.com.tw</v>
      </c>
      <c r="M551" s="2" t="str">
        <f>"--"</f>
        <v>--</v>
      </c>
      <c r="N551" s="2"/>
      <c r="O551" s="2"/>
      <c r="P551" s="2"/>
      <c r="Q551" s="2"/>
    </row>
    <row r="552" spans="1:17" x14ac:dyDescent="0.3">
      <c r="A552" s="2" t="str">
        <f>"3042"</f>
        <v>3042</v>
      </c>
      <c r="B552" s="2" t="s">
        <v>187</v>
      </c>
      <c r="C552" s="2" t="s">
        <v>1740</v>
      </c>
      <c r="D552" s="2" t="s">
        <v>6024</v>
      </c>
      <c r="E552" s="2" t="s">
        <v>6248</v>
      </c>
      <c r="F552" s="2" t="s">
        <v>41</v>
      </c>
      <c r="G552" s="2" t="str">
        <f>"(02)2894-1202"</f>
        <v>(02)2894-1202</v>
      </c>
      <c r="H552" s="2" t="s">
        <v>6006</v>
      </c>
      <c r="I552" s="2" t="str">
        <f>"(02)25865859"</f>
        <v>(02)25865859</v>
      </c>
      <c r="J552" s="2" t="str">
        <f>"自105年05月07日至105年06月04日止"</f>
        <v>自105年05月07日至105年06月04日止</v>
      </c>
      <c r="K552" s="2" t="str">
        <f>"台灣集中保管結算所股份有限公司"</f>
        <v>台灣集中保管結算所股份有限公司</v>
      </c>
      <c r="L552" s="2" t="str">
        <f>"http://www.stockvote.com.tw"</f>
        <v>http://www.stockvote.com.tw</v>
      </c>
      <c r="M552" s="2" t="str">
        <f>"強制"</f>
        <v>強制</v>
      </c>
      <c r="N552" s="2"/>
      <c r="O552" s="2"/>
      <c r="P552" s="2"/>
      <c r="Q552" s="2"/>
    </row>
    <row r="553" spans="1:17" x14ac:dyDescent="0.3">
      <c r="A553" s="2" t="str">
        <f>"3043"</f>
        <v>3043</v>
      </c>
      <c r="B553" s="2" t="s">
        <v>245</v>
      </c>
      <c r="C553" s="2" t="s">
        <v>1741</v>
      </c>
      <c r="D553" s="2" t="s">
        <v>6014</v>
      </c>
      <c r="E553" s="2" t="s">
        <v>1742</v>
      </c>
      <c r="F553" s="2" t="s">
        <v>41</v>
      </c>
      <c r="G553" s="2" t="str">
        <f>"22258552"</f>
        <v>22258552</v>
      </c>
      <c r="H553" s="2" t="s">
        <v>404</v>
      </c>
      <c r="I553" s="2" t="str">
        <f>"02-6636-5566"</f>
        <v>02-6636-5566</v>
      </c>
      <c r="J553" s="2" t="str">
        <f>"--"</f>
        <v>--</v>
      </c>
      <c r="K553" s="2" t="str">
        <f>"--"</f>
        <v>--</v>
      </c>
      <c r="L553" s="2" t="str">
        <f>"--"</f>
        <v>--</v>
      </c>
      <c r="M553" s="2" t="str">
        <f>"--"</f>
        <v>--</v>
      </c>
      <c r="N553" s="2"/>
      <c r="O553" s="2"/>
      <c r="P553" s="2"/>
      <c r="Q553" s="2"/>
    </row>
    <row r="554" spans="1:17" x14ac:dyDescent="0.3">
      <c r="A554" s="2" t="str">
        <f>"3044"</f>
        <v>3044</v>
      </c>
      <c r="B554" s="2" t="s">
        <v>1743</v>
      </c>
      <c r="C554" s="2" t="s">
        <v>1744</v>
      </c>
      <c r="D554" s="2" t="s">
        <v>6000</v>
      </c>
      <c r="E554" s="2" t="s">
        <v>6249</v>
      </c>
      <c r="F554" s="2" t="s">
        <v>2</v>
      </c>
      <c r="G554" s="2" t="str">
        <f>"03-419-5678"</f>
        <v>03-419-5678</v>
      </c>
      <c r="H554" s="2" t="s">
        <v>431</v>
      </c>
      <c r="I554" s="2" t="str">
        <f>"02-2702-3999"</f>
        <v>02-2702-3999</v>
      </c>
      <c r="J554" s="2" t="str">
        <f>"自105年05月22日至105年06月18日止"</f>
        <v>自105年05月22日至105年06月18日止</v>
      </c>
      <c r="K554" s="2" t="str">
        <f>"台灣集中保管結算所股份有限公司"</f>
        <v>台灣集中保管結算所股份有限公司</v>
      </c>
      <c r="L554" s="2" t="str">
        <f>"http://www.stockvote.com.tw"</f>
        <v>http://www.stockvote.com.tw</v>
      </c>
      <c r="M554" s="2" t="str">
        <f>"強制"</f>
        <v>強制</v>
      </c>
      <c r="N554" s="2"/>
      <c r="O554" s="2"/>
      <c r="P554" s="2"/>
      <c r="Q554" s="2"/>
    </row>
    <row r="555" spans="1:17" x14ac:dyDescent="0.3">
      <c r="A555" s="2" t="str">
        <f>"3045"</f>
        <v>3045</v>
      </c>
      <c r="B555" s="2" t="s">
        <v>1745</v>
      </c>
      <c r="C555" s="2" t="s">
        <v>1746</v>
      </c>
      <c r="D555" s="2" t="s">
        <v>6002</v>
      </c>
      <c r="E555" s="2" t="s">
        <v>6250</v>
      </c>
      <c r="F555" s="2" t="s">
        <v>2</v>
      </c>
      <c r="G555" s="2" t="str">
        <f>"(02)6638-6888"</f>
        <v>(02)6638-6888</v>
      </c>
      <c r="H555" s="2" t="s">
        <v>667</v>
      </c>
      <c r="I555" s="2" t="str">
        <f>"(02)2361-1300"</f>
        <v>(02)2361-1300</v>
      </c>
      <c r="J555" s="2" t="str">
        <f>"自105年05月14日至105年06月12日止"</f>
        <v>自105年05月14日至105年06月12日止</v>
      </c>
      <c r="K555" s="2" t="str">
        <f>"台灣集中保管結算所股份有限公司"</f>
        <v>台灣集中保管結算所股份有限公司</v>
      </c>
      <c r="L555" s="2" t="str">
        <f>"http://www.stockvote.com.tw"</f>
        <v>http://www.stockvote.com.tw</v>
      </c>
      <c r="M555" s="2" t="str">
        <f>"強制"</f>
        <v>強制</v>
      </c>
      <c r="N555" s="2"/>
      <c r="O555" s="2"/>
      <c r="P555" s="2"/>
      <c r="Q555" s="2"/>
    </row>
    <row r="556" spans="1:17" x14ac:dyDescent="0.3">
      <c r="A556" s="2" t="str">
        <f>"3046"</f>
        <v>3046</v>
      </c>
      <c r="B556" s="2" t="s">
        <v>1747</v>
      </c>
      <c r="C556" s="2" t="s">
        <v>1748</v>
      </c>
      <c r="D556" s="2" t="s">
        <v>5999</v>
      </c>
      <c r="E556" s="2" t="s">
        <v>6251</v>
      </c>
      <c r="F556" s="2" t="s">
        <v>2</v>
      </c>
      <c r="G556" s="2" t="str">
        <f>"0277101195"</f>
        <v>0277101195</v>
      </c>
      <c r="H556" s="2" t="s">
        <v>1749</v>
      </c>
      <c r="I556" s="2" t="str">
        <f>"0266007998"</f>
        <v>0266007998</v>
      </c>
      <c r="J556" s="2" t="str">
        <f>"自105年05月21日至105年06月19日止"</f>
        <v>自105年05月21日至105年06月19日止</v>
      </c>
      <c r="K556" s="2" t="str">
        <f>"台灣集中保管結算所股份有限公司"</f>
        <v>台灣集中保管結算所股份有限公司</v>
      </c>
      <c r="L556" s="2" t="str">
        <f>"http://www.stockvote.com.tw"</f>
        <v>http://www.stockvote.com.tw</v>
      </c>
      <c r="M556" s="2" t="str">
        <f>"--"</f>
        <v>--</v>
      </c>
      <c r="N556" s="2"/>
      <c r="O556" s="2"/>
      <c r="P556" s="2"/>
      <c r="Q556" s="2"/>
    </row>
    <row r="557" spans="1:17" x14ac:dyDescent="0.3">
      <c r="A557" s="2" t="str">
        <f>"3047"</f>
        <v>3047</v>
      </c>
      <c r="B557" s="2" t="s">
        <v>1750</v>
      </c>
      <c r="C557" s="2" t="s">
        <v>1751</v>
      </c>
      <c r="D557" s="2" t="s">
        <v>6021</v>
      </c>
      <c r="E557" s="2" t="s">
        <v>1752</v>
      </c>
      <c r="F557" s="2" t="s">
        <v>2</v>
      </c>
      <c r="G557" s="2" t="str">
        <f>"(02)7739-6888"</f>
        <v>(02)7739-6888</v>
      </c>
      <c r="H557" s="2" t="s">
        <v>431</v>
      </c>
      <c r="I557" s="2" t="str">
        <f>"(02)2702-3999"</f>
        <v>(02)2702-3999</v>
      </c>
      <c r="J557" s="2" t="str">
        <f>"--"</f>
        <v>--</v>
      </c>
      <c r="K557" s="2" t="str">
        <f>"--"</f>
        <v>--</v>
      </c>
      <c r="L557" s="2" t="str">
        <f>"--"</f>
        <v>--</v>
      </c>
      <c r="M557" s="2" t="str">
        <f>"否"</f>
        <v>否</v>
      </c>
      <c r="N557" s="2"/>
      <c r="O557" s="2"/>
      <c r="P557" s="2"/>
      <c r="Q557" s="2"/>
    </row>
    <row r="558" spans="1:17" x14ac:dyDescent="0.3">
      <c r="A558" s="2" t="str">
        <f>"3048"</f>
        <v>3048</v>
      </c>
      <c r="B558" s="2" t="s">
        <v>1753</v>
      </c>
      <c r="C558" s="2" t="s">
        <v>1754</v>
      </c>
      <c r="D558" s="2" t="s">
        <v>6010</v>
      </c>
      <c r="E558" s="2" t="s">
        <v>6252</v>
      </c>
      <c r="F558" s="2" t="s">
        <v>41</v>
      </c>
      <c r="G558" s="2" t="str">
        <f>"(02)2657-8811"</f>
        <v>(02)2657-8811</v>
      </c>
      <c r="H558" s="2" t="s">
        <v>431</v>
      </c>
      <c r="I558" s="2" t="str">
        <f>"(02)2702-3999"</f>
        <v>(02)2702-3999</v>
      </c>
      <c r="J558" s="2" t="str">
        <f>"自105年05月25日至105年06月21日止"</f>
        <v>自105年05月25日至105年06月21日止</v>
      </c>
      <c r="K558" s="2" t="str">
        <f>"台灣集中保管結算所股份有限公司"</f>
        <v>台灣集中保管結算所股份有限公司</v>
      </c>
      <c r="L558" s="2" t="str">
        <f>"http://www.stockvote.com.tw"</f>
        <v>http://www.stockvote.com.tw</v>
      </c>
      <c r="M558" s="2" t="str">
        <f>"--"</f>
        <v>--</v>
      </c>
      <c r="N558" s="2"/>
      <c r="O558" s="2"/>
      <c r="P558" s="2"/>
      <c r="Q558" s="2"/>
    </row>
    <row r="559" spans="1:17" x14ac:dyDescent="0.3">
      <c r="A559" s="2" t="str">
        <f>"3049"</f>
        <v>3049</v>
      </c>
      <c r="B559" s="2" t="s">
        <v>38</v>
      </c>
      <c r="C559" s="2" t="s">
        <v>1755</v>
      </c>
      <c r="D559" s="2" t="s">
        <v>6024</v>
      </c>
      <c r="E559" s="2" t="s">
        <v>1756</v>
      </c>
      <c r="F559" s="2" t="s">
        <v>2</v>
      </c>
      <c r="G559" s="2" t="str">
        <f>"(06)505-3959"</f>
        <v>(06)505-3959</v>
      </c>
      <c r="H559" s="2" t="s">
        <v>1757</v>
      </c>
      <c r="I559" s="2" t="str">
        <f>"(02)2790-5885"</f>
        <v>(02)2790-5885</v>
      </c>
      <c r="J559" s="2" t="str">
        <f>"自105年05月07日至105年06月04日止"</f>
        <v>自105年05月07日至105年06月04日止</v>
      </c>
      <c r="K559" s="2" t="str">
        <f>"台灣集中保管結算所股份有限公司"</f>
        <v>台灣集中保管結算所股份有限公司</v>
      </c>
      <c r="L559" s="2" t="str">
        <f>"http://www.stockvote.com.tw"</f>
        <v>http://www.stockvote.com.tw</v>
      </c>
      <c r="M559" s="2" t="str">
        <f>"強制"</f>
        <v>強制</v>
      </c>
      <c r="N559" s="2"/>
      <c r="O559" s="2"/>
      <c r="P559" s="2"/>
      <c r="Q559" s="2"/>
    </row>
    <row r="560" spans="1:17" x14ac:dyDescent="0.3">
      <c r="A560" s="2" t="str">
        <f>"3050"</f>
        <v>3050</v>
      </c>
      <c r="B560" s="2" t="s">
        <v>1758</v>
      </c>
      <c r="C560" s="2" t="s">
        <v>6253</v>
      </c>
      <c r="D560" s="2" t="s">
        <v>6015</v>
      </c>
      <c r="E560" s="2" t="s">
        <v>1759</v>
      </c>
      <c r="F560" s="2" t="s">
        <v>2</v>
      </c>
      <c r="G560" s="2" t="str">
        <f>"03-3961111"</f>
        <v>03-3961111</v>
      </c>
      <c r="H560" s="2" t="s">
        <v>431</v>
      </c>
      <c r="I560" s="2" t="str">
        <f>"02-27023999"</f>
        <v>02-27023999</v>
      </c>
      <c r="J560" s="2" t="str">
        <f>"--"</f>
        <v>--</v>
      </c>
      <c r="K560" s="2" t="str">
        <f>"--"</f>
        <v>--</v>
      </c>
      <c r="L560" s="2" t="str">
        <f>"--"</f>
        <v>--</v>
      </c>
      <c r="M560" s="2" t="str">
        <f>"--"</f>
        <v>--</v>
      </c>
      <c r="N560" s="2"/>
      <c r="O560" s="2"/>
      <c r="P560" s="2"/>
      <c r="Q560" s="2"/>
    </row>
    <row r="561" spans="1:17" x14ac:dyDescent="0.3">
      <c r="A561" s="2" t="str">
        <f>"3051"</f>
        <v>3051</v>
      </c>
      <c r="B561" s="2" t="s">
        <v>1760</v>
      </c>
      <c r="C561" s="2" t="s">
        <v>1761</v>
      </c>
      <c r="D561" s="2" t="s">
        <v>6016</v>
      </c>
      <c r="E561" s="2" t="s">
        <v>1762</v>
      </c>
      <c r="F561" s="2" t="s">
        <v>2</v>
      </c>
      <c r="G561" s="2" t="str">
        <f>"03-4606677"</f>
        <v>03-4606677</v>
      </c>
      <c r="H561" s="2" t="s">
        <v>431</v>
      </c>
      <c r="I561" s="2" t="str">
        <f>"(02)2702-3999"</f>
        <v>(02)2702-3999</v>
      </c>
      <c r="J561" s="2" t="str">
        <f>"自105年05月14日至105年06月11日止"</f>
        <v>自105年05月14日至105年06月11日止</v>
      </c>
      <c r="K561" s="2" t="str">
        <f>"台灣集中保管結算所股份有限公司"</f>
        <v>台灣集中保管結算所股份有限公司</v>
      </c>
      <c r="L561" s="2" t="str">
        <f>"http://www.stockvote.com.tw"</f>
        <v>http://www.stockvote.com.tw</v>
      </c>
      <c r="M561" s="2" t="str">
        <f>"--"</f>
        <v>--</v>
      </c>
      <c r="N561" s="2"/>
      <c r="O561" s="2"/>
      <c r="P561" s="2"/>
      <c r="Q561" s="2"/>
    </row>
    <row r="562" spans="1:17" x14ac:dyDescent="0.3">
      <c r="A562" s="2" t="str">
        <f>"3052"</f>
        <v>3052</v>
      </c>
      <c r="B562" s="2" t="s">
        <v>314</v>
      </c>
      <c r="C562" s="2" t="s">
        <v>1763</v>
      </c>
      <c r="D562" s="2" t="s">
        <v>6002</v>
      </c>
      <c r="E562" s="2" t="s">
        <v>1764</v>
      </c>
      <c r="F562" s="2" t="s">
        <v>2</v>
      </c>
      <c r="G562" s="2" t="str">
        <f>"2223-4099"</f>
        <v>2223-4099</v>
      </c>
      <c r="H562" s="2" t="s">
        <v>6006</v>
      </c>
      <c r="I562" s="2" t="str">
        <f>"02-2586-5859"</f>
        <v>02-2586-5859</v>
      </c>
      <c r="J562" s="2" t="str">
        <f>"自105年05月14日至105年06月12日止"</f>
        <v>自105年05月14日至105年06月12日止</v>
      </c>
      <c r="K562" s="2" t="str">
        <f>"台灣集中保管結算所股份有限公司"</f>
        <v>台灣集中保管結算所股份有限公司</v>
      </c>
      <c r="L562" s="2" t="str">
        <f>"http://www.stockvote.com.tw"</f>
        <v>http://www.stockvote.com.tw</v>
      </c>
      <c r="M562" s="2" t="str">
        <f>"強制"</f>
        <v>強制</v>
      </c>
      <c r="N562" s="2"/>
      <c r="O562" s="2"/>
      <c r="P562" s="2"/>
      <c r="Q562" s="2"/>
    </row>
    <row r="563" spans="1:17" x14ac:dyDescent="0.3">
      <c r="A563" s="2" t="str">
        <f>"3054"</f>
        <v>3054</v>
      </c>
      <c r="B563" s="2" t="s">
        <v>5966</v>
      </c>
      <c r="C563" s="2" t="s">
        <v>1765</v>
      </c>
      <c r="D563" s="2" t="s">
        <v>6024</v>
      </c>
      <c r="E563" s="2" t="s">
        <v>1766</v>
      </c>
      <c r="F563" s="2" t="s">
        <v>2</v>
      </c>
      <c r="G563" s="2" t="str">
        <f>"02-82213985"</f>
        <v>02-82213985</v>
      </c>
      <c r="H563" s="2" t="s">
        <v>644</v>
      </c>
      <c r="I563" s="2" t="str">
        <f>"2361-1300"</f>
        <v>2361-1300</v>
      </c>
      <c r="J563" s="2" t="str">
        <f t="shared" ref="J563:L567" si="79">"--"</f>
        <v>--</v>
      </c>
      <c r="K563" s="2" t="str">
        <f t="shared" si="79"/>
        <v>--</v>
      </c>
      <c r="L563" s="2" t="str">
        <f t="shared" si="79"/>
        <v>--</v>
      </c>
      <c r="M563" s="2" t="str">
        <f>"否"</f>
        <v>否</v>
      </c>
      <c r="N563" s="2"/>
      <c r="O563" s="2"/>
      <c r="P563" s="2"/>
      <c r="Q563" s="2"/>
    </row>
    <row r="564" spans="1:17" x14ac:dyDescent="0.3">
      <c r="A564" s="2" t="str">
        <f>"3055"</f>
        <v>3055</v>
      </c>
      <c r="B564" s="2" t="s">
        <v>1767</v>
      </c>
      <c r="C564" s="2" t="s">
        <v>1768</v>
      </c>
      <c r="D564" s="2" t="s">
        <v>5999</v>
      </c>
      <c r="E564" s="2" t="s">
        <v>6254</v>
      </c>
      <c r="F564" s="2" t="s">
        <v>41</v>
      </c>
      <c r="G564" s="2" t="str">
        <f>"03-5738099"</f>
        <v>03-5738099</v>
      </c>
      <c r="H564" s="2" t="s">
        <v>6006</v>
      </c>
      <c r="I564" s="2" t="str">
        <f>"(02)25863117"</f>
        <v>(02)25863117</v>
      </c>
      <c r="J564" s="2" t="str">
        <f t="shared" si="79"/>
        <v>--</v>
      </c>
      <c r="K564" s="2" t="str">
        <f t="shared" si="79"/>
        <v>--</v>
      </c>
      <c r="L564" s="2" t="str">
        <f t="shared" si="79"/>
        <v>--</v>
      </c>
      <c r="M564" s="2" t="str">
        <f>"--"</f>
        <v>--</v>
      </c>
      <c r="N564" s="2"/>
      <c r="O564" s="2"/>
      <c r="P564" s="2"/>
      <c r="Q564" s="2"/>
    </row>
    <row r="565" spans="1:17" x14ac:dyDescent="0.3">
      <c r="A565" s="2" t="str">
        <f>"3056"</f>
        <v>3056</v>
      </c>
      <c r="B565" s="2" t="s">
        <v>1769</v>
      </c>
      <c r="C565" s="2" t="s">
        <v>6255</v>
      </c>
      <c r="D565" s="2" t="s">
        <v>6002</v>
      </c>
      <c r="E565" s="2" t="s">
        <v>1770</v>
      </c>
      <c r="F565" s="2" t="s">
        <v>2</v>
      </c>
      <c r="G565" s="2" t="str">
        <f>"(04)23026018"</f>
        <v>(04)23026018</v>
      </c>
      <c r="H565" s="2" t="s">
        <v>1072</v>
      </c>
      <c r="I565" s="2" t="str">
        <f>"02-27478266"</f>
        <v>02-27478266</v>
      </c>
      <c r="J565" s="2" t="str">
        <f t="shared" si="79"/>
        <v>--</v>
      </c>
      <c r="K565" s="2" t="str">
        <f t="shared" si="79"/>
        <v>--</v>
      </c>
      <c r="L565" s="2" t="str">
        <f t="shared" si="79"/>
        <v>--</v>
      </c>
      <c r="M565" s="2" t="str">
        <f>"--"</f>
        <v>--</v>
      </c>
      <c r="N565" s="2"/>
      <c r="O565" s="2"/>
      <c r="P565" s="2"/>
      <c r="Q565" s="2"/>
    </row>
    <row r="566" spans="1:17" x14ac:dyDescent="0.3">
      <c r="A566" s="2" t="str">
        <f>"3057"</f>
        <v>3057</v>
      </c>
      <c r="B566" s="2" t="s">
        <v>1771</v>
      </c>
      <c r="C566" s="2" t="s">
        <v>1772</v>
      </c>
      <c r="D566" s="2" t="s">
        <v>6091</v>
      </c>
      <c r="E566" s="2" t="s">
        <v>6256</v>
      </c>
      <c r="F566" s="2" t="s">
        <v>2</v>
      </c>
      <c r="G566" s="2" t="str">
        <f>"(03)578-2395"</f>
        <v>(03)578-2395</v>
      </c>
      <c r="H566" s="2" t="s">
        <v>404</v>
      </c>
      <c r="I566" s="2" t="str">
        <f>"(02)6636-5566"</f>
        <v>(02)6636-5566</v>
      </c>
      <c r="J566" s="2" t="str">
        <f t="shared" si="79"/>
        <v>--</v>
      </c>
      <c r="K566" s="2" t="str">
        <f t="shared" si="79"/>
        <v>--</v>
      </c>
      <c r="L566" s="2" t="str">
        <f t="shared" si="79"/>
        <v>--</v>
      </c>
      <c r="M566" s="2" t="str">
        <f>"否"</f>
        <v>否</v>
      </c>
      <c r="N566" s="2"/>
      <c r="O566" s="2"/>
      <c r="P566" s="2"/>
      <c r="Q566" s="2"/>
    </row>
    <row r="567" spans="1:17" x14ac:dyDescent="0.3">
      <c r="A567" s="2" t="str">
        <f>"3058"</f>
        <v>3058</v>
      </c>
      <c r="B567" s="2" t="s">
        <v>1773</v>
      </c>
      <c r="C567" s="2" t="s">
        <v>1774</v>
      </c>
      <c r="D567" s="2" t="s">
        <v>6024</v>
      </c>
      <c r="E567" s="2" t="s">
        <v>1775</v>
      </c>
      <c r="F567" s="2" t="s">
        <v>2</v>
      </c>
      <c r="G567" s="2" t="str">
        <f>"(02)8195-3058"</f>
        <v>(02)8195-3058</v>
      </c>
      <c r="H567" s="2" t="s">
        <v>640</v>
      </c>
      <c r="I567" s="2" t="str">
        <f>"(02)2371-1658"</f>
        <v>(02)2371-1658</v>
      </c>
      <c r="J567" s="2" t="str">
        <f t="shared" si="79"/>
        <v>--</v>
      </c>
      <c r="K567" s="2" t="str">
        <f t="shared" si="79"/>
        <v>--</v>
      </c>
      <c r="L567" s="2" t="str">
        <f t="shared" si="79"/>
        <v>--</v>
      </c>
      <c r="M567" s="2" t="str">
        <f>"否"</f>
        <v>否</v>
      </c>
      <c r="N567" s="2"/>
      <c r="O567" s="2"/>
      <c r="P567" s="2"/>
      <c r="Q567" s="2"/>
    </row>
    <row r="568" spans="1:17" x14ac:dyDescent="0.3">
      <c r="A568" s="2" t="str">
        <f>"3059"</f>
        <v>3059</v>
      </c>
      <c r="B568" s="2" t="s">
        <v>1776</v>
      </c>
      <c r="C568" s="2" t="s">
        <v>1777</v>
      </c>
      <c r="D568" s="2" t="s">
        <v>6004</v>
      </c>
      <c r="E568" s="2" t="s">
        <v>6257</v>
      </c>
      <c r="F568" s="2" t="s">
        <v>41</v>
      </c>
      <c r="G568" s="2" t="str">
        <f>"03-5784567"</f>
        <v>03-5784567</v>
      </c>
      <c r="H568" s="2" t="s">
        <v>465</v>
      </c>
      <c r="I568" s="2" t="str">
        <f>"02-2381-6288"</f>
        <v>02-2381-6288</v>
      </c>
      <c r="J568" s="2" t="str">
        <f>"自105年05月18日至105年06月14日止"</f>
        <v>自105年05月18日至105年06月14日止</v>
      </c>
      <c r="K568" s="2" t="str">
        <f>"台灣集中保管結算所股份有限公司"</f>
        <v>台灣集中保管結算所股份有限公司</v>
      </c>
      <c r="L568" s="2" t="str">
        <f>"http://www.stockvote.com.tw"</f>
        <v>http://www.stockvote.com.tw</v>
      </c>
      <c r="M568" s="2" t="str">
        <f>"強制"</f>
        <v>強制</v>
      </c>
      <c r="N568" s="2"/>
      <c r="O568" s="2"/>
      <c r="P568" s="2"/>
      <c r="Q568" s="2"/>
    </row>
    <row r="569" spans="1:17" x14ac:dyDescent="0.3">
      <c r="A569" s="2" t="str">
        <f>"3060"</f>
        <v>3060</v>
      </c>
      <c r="B569" s="2" t="s">
        <v>123</v>
      </c>
      <c r="C569" s="2" t="s">
        <v>1778</v>
      </c>
      <c r="D569" s="2" t="s">
        <v>6024</v>
      </c>
      <c r="E569" s="2" t="s">
        <v>1779</v>
      </c>
      <c r="F569" s="2" t="s">
        <v>2</v>
      </c>
      <c r="G569" s="2" t="str">
        <f>"(02)82001008"</f>
        <v>(02)82001008</v>
      </c>
      <c r="H569" s="2" t="s">
        <v>6006</v>
      </c>
      <c r="I569" s="2" t="str">
        <f>"(02)25865859"</f>
        <v>(02)25865859</v>
      </c>
      <c r="J569" s="2" t="str">
        <f>"--"</f>
        <v>--</v>
      </c>
      <c r="K569" s="2" t="str">
        <f>"--"</f>
        <v>--</v>
      </c>
      <c r="L569" s="2" t="str">
        <f>"--"</f>
        <v>--</v>
      </c>
      <c r="M569" s="2" t="str">
        <f>"否"</f>
        <v>否</v>
      </c>
      <c r="N569" s="2"/>
      <c r="O569" s="2"/>
      <c r="P569" s="2"/>
      <c r="Q569" s="2"/>
    </row>
    <row r="570" spans="1:17" x14ac:dyDescent="0.3">
      <c r="A570" s="2" t="str">
        <f>"3062"</f>
        <v>3062</v>
      </c>
      <c r="B570" s="2" t="s">
        <v>1780</v>
      </c>
      <c r="C570" s="2" t="s">
        <v>1781</v>
      </c>
      <c r="D570" s="2" t="s">
        <v>6001</v>
      </c>
      <c r="E570" s="2" t="s">
        <v>1782</v>
      </c>
      <c r="F570" s="2" t="s">
        <v>2</v>
      </c>
      <c r="G570" s="2" t="str">
        <f>"03-5777777"</f>
        <v>03-5777777</v>
      </c>
      <c r="H570" s="2" t="s">
        <v>640</v>
      </c>
      <c r="I570" s="2" t="str">
        <f>"(02)2371-1658"</f>
        <v>(02)2371-1658</v>
      </c>
      <c r="J570" s="2" t="str">
        <f>"自105年05月28日至105年06月24日止"</f>
        <v>自105年05月28日至105年06月24日止</v>
      </c>
      <c r="K570" s="2" t="str">
        <f>"台灣集中保管結算所股份有限公司"</f>
        <v>台灣集中保管結算所股份有限公司</v>
      </c>
      <c r="L570" s="2" t="str">
        <f>"http://www.stockvote.com.tw"</f>
        <v>http://www.stockvote.com.tw</v>
      </c>
      <c r="M570" s="2" t="str">
        <f>"強制"</f>
        <v>強制</v>
      </c>
      <c r="N570" s="2"/>
      <c r="O570" s="2"/>
      <c r="P570" s="2"/>
      <c r="Q570" s="2"/>
    </row>
    <row r="571" spans="1:17" x14ac:dyDescent="0.3">
      <c r="A571" s="2" t="str">
        <f>"3090"</f>
        <v>3090</v>
      </c>
      <c r="B571" s="2" t="s">
        <v>306</v>
      </c>
      <c r="C571" s="2" t="s">
        <v>1783</v>
      </c>
      <c r="D571" s="2" t="s">
        <v>6004</v>
      </c>
      <c r="E571" s="2" t="s">
        <v>1784</v>
      </c>
      <c r="F571" s="2" t="s">
        <v>2</v>
      </c>
      <c r="G571" s="2" t="str">
        <f>"(02)2219-0505"</f>
        <v>(02)2219-0505</v>
      </c>
      <c r="H571" s="2" t="s">
        <v>582</v>
      </c>
      <c r="I571" s="2" t="str">
        <f>"(02)2586-5859"</f>
        <v>(02)2586-5859</v>
      </c>
      <c r="J571" s="2" t="str">
        <f t="shared" ref="J571:L573" si="80">"--"</f>
        <v>--</v>
      </c>
      <c r="K571" s="2" t="str">
        <f t="shared" si="80"/>
        <v>--</v>
      </c>
      <c r="L571" s="2" t="str">
        <f t="shared" si="80"/>
        <v>--</v>
      </c>
      <c r="M571" s="2" t="str">
        <f>"否"</f>
        <v>否</v>
      </c>
      <c r="N571" s="2"/>
      <c r="O571" s="2"/>
      <c r="P571" s="2"/>
      <c r="Q571" s="2"/>
    </row>
    <row r="572" spans="1:17" x14ac:dyDescent="0.3">
      <c r="A572" s="2" t="str">
        <f>"3094"</f>
        <v>3094</v>
      </c>
      <c r="B572" s="2" t="s">
        <v>1785</v>
      </c>
      <c r="C572" s="2" t="s">
        <v>1786</v>
      </c>
      <c r="D572" s="2" t="s">
        <v>6031</v>
      </c>
      <c r="E572" s="2" t="s">
        <v>6258</v>
      </c>
      <c r="F572" s="2" t="s">
        <v>41</v>
      </c>
      <c r="G572" s="2" t="str">
        <f>"03-5798797"</f>
        <v>03-5798797</v>
      </c>
      <c r="H572" s="2" t="s">
        <v>667</v>
      </c>
      <c r="I572" s="2" t="str">
        <f>"02-2361-1300"</f>
        <v>02-2361-1300</v>
      </c>
      <c r="J572" s="2" t="str">
        <f t="shared" si="80"/>
        <v>--</v>
      </c>
      <c r="K572" s="2" t="str">
        <f t="shared" si="80"/>
        <v>--</v>
      </c>
      <c r="L572" s="2" t="str">
        <f t="shared" si="80"/>
        <v>--</v>
      </c>
      <c r="M572" s="2" t="str">
        <f>"否"</f>
        <v>否</v>
      </c>
      <c r="N572" s="2"/>
      <c r="O572" s="2"/>
      <c r="P572" s="2"/>
      <c r="Q572" s="2"/>
    </row>
    <row r="573" spans="1:17" x14ac:dyDescent="0.3">
      <c r="A573" s="2" t="str">
        <f>"3130"</f>
        <v>3130</v>
      </c>
      <c r="B573" s="2" t="s">
        <v>1787</v>
      </c>
      <c r="C573" s="2" t="s">
        <v>1788</v>
      </c>
      <c r="D573" s="2" t="s">
        <v>6024</v>
      </c>
      <c r="E573" s="2" t="s">
        <v>1789</v>
      </c>
      <c r="F573" s="2" t="s">
        <v>2</v>
      </c>
      <c r="G573" s="2" t="str">
        <f>"(02)2912-6104"</f>
        <v>(02)2912-6104</v>
      </c>
      <c r="H573" s="2" t="s">
        <v>644</v>
      </c>
      <c r="I573" s="2" t="str">
        <f>"(02)2361-1300"</f>
        <v>(02)2361-1300</v>
      </c>
      <c r="J573" s="2" t="str">
        <f t="shared" si="80"/>
        <v>--</v>
      </c>
      <c r="K573" s="2" t="str">
        <f t="shared" si="80"/>
        <v>--</v>
      </c>
      <c r="L573" s="2" t="str">
        <f t="shared" si="80"/>
        <v>--</v>
      </c>
      <c r="M573" s="2" t="str">
        <f>"--"</f>
        <v>--</v>
      </c>
      <c r="N573" s="2"/>
      <c r="O573" s="2"/>
      <c r="P573" s="2"/>
      <c r="Q573" s="2"/>
    </row>
    <row r="574" spans="1:17" x14ac:dyDescent="0.3">
      <c r="A574" s="2" t="str">
        <f>"3149"</f>
        <v>3149</v>
      </c>
      <c r="B574" s="2" t="s">
        <v>1790</v>
      </c>
      <c r="C574" s="2" t="s">
        <v>1791</v>
      </c>
      <c r="D574" s="2" t="s">
        <v>6007</v>
      </c>
      <c r="E574" s="2" t="s">
        <v>1792</v>
      </c>
      <c r="F574" s="2" t="s">
        <v>2</v>
      </c>
      <c r="G574" s="2" t="str">
        <f>"037-236988"</f>
        <v>037-236988</v>
      </c>
      <c r="H574" s="2" t="s">
        <v>640</v>
      </c>
      <c r="I574" s="2" t="str">
        <f>"(02)2371-1658"</f>
        <v>(02)2371-1658</v>
      </c>
      <c r="J574" s="2" t="str">
        <f>"自105年05月28日至105年06月25日止"</f>
        <v>自105年05月28日至105年06月25日止</v>
      </c>
      <c r="K574" s="2" t="str">
        <f>"台灣集中保管結算所股份有限公司"</f>
        <v>台灣集中保管結算所股份有限公司</v>
      </c>
      <c r="L574" s="2" t="str">
        <f>"http://www.stockvote.com.tw"</f>
        <v>http://www.stockvote.com.tw</v>
      </c>
      <c r="M574" s="2" t="str">
        <f>"--"</f>
        <v>--</v>
      </c>
      <c r="N574" s="2"/>
      <c r="O574" s="2"/>
      <c r="P574" s="2"/>
      <c r="Q574" s="2"/>
    </row>
    <row r="575" spans="1:17" x14ac:dyDescent="0.3">
      <c r="A575" s="2" t="str">
        <f>"3164"</f>
        <v>3164</v>
      </c>
      <c r="B575" s="2" t="s">
        <v>1793</v>
      </c>
      <c r="C575" s="2" t="s">
        <v>1794</v>
      </c>
      <c r="D575" s="2" t="s">
        <v>6007</v>
      </c>
      <c r="E575" s="2" t="s">
        <v>6259</v>
      </c>
      <c r="F575" s="2" t="s">
        <v>2</v>
      </c>
      <c r="G575" s="2" t="str">
        <f>"06-5052151"</f>
        <v>06-5052151</v>
      </c>
      <c r="H575" s="2" t="s">
        <v>465</v>
      </c>
      <c r="I575" s="2" t="str">
        <f>"(02)2381-6288"</f>
        <v>(02)2381-6288</v>
      </c>
      <c r="J575" s="2" t="str">
        <f t="shared" ref="J575:L576" si="81">"--"</f>
        <v>--</v>
      </c>
      <c r="K575" s="2" t="str">
        <f t="shared" si="81"/>
        <v>--</v>
      </c>
      <c r="L575" s="2" t="str">
        <f t="shared" si="81"/>
        <v>--</v>
      </c>
      <c r="M575" s="2" t="str">
        <f>"否"</f>
        <v>否</v>
      </c>
      <c r="N575" s="2"/>
      <c r="O575" s="2"/>
      <c r="P575" s="2"/>
      <c r="Q575" s="2"/>
    </row>
    <row r="576" spans="1:17" x14ac:dyDescent="0.3">
      <c r="A576" s="2" t="str">
        <f>"3167"</f>
        <v>3167</v>
      </c>
      <c r="B576" s="2" t="s">
        <v>1795</v>
      </c>
      <c r="C576" s="2" t="s">
        <v>1796</v>
      </c>
      <c r="D576" s="2" t="s">
        <v>6034</v>
      </c>
      <c r="E576" s="2" t="s">
        <v>6260</v>
      </c>
      <c r="F576" s="2" t="s">
        <v>2</v>
      </c>
      <c r="G576" s="2" t="str">
        <f>"03-3686368"</f>
        <v>03-3686368</v>
      </c>
      <c r="H576" s="2" t="s">
        <v>415</v>
      </c>
      <c r="I576" s="2" t="str">
        <f>"02-23892999"</f>
        <v>02-23892999</v>
      </c>
      <c r="J576" s="2" t="str">
        <f t="shared" si="81"/>
        <v>--</v>
      </c>
      <c r="K576" s="2" t="str">
        <f t="shared" si="81"/>
        <v>--</v>
      </c>
      <c r="L576" s="2" t="str">
        <f t="shared" si="81"/>
        <v>--</v>
      </c>
      <c r="M576" s="2" t="str">
        <f>"否"</f>
        <v>否</v>
      </c>
      <c r="N576" s="2"/>
      <c r="O576" s="2"/>
      <c r="P576" s="2"/>
      <c r="Q576" s="2"/>
    </row>
    <row r="577" spans="1:17" x14ac:dyDescent="0.3">
      <c r="A577" s="2" t="str">
        <f>"3189"</f>
        <v>3189</v>
      </c>
      <c r="B577" s="2" t="s">
        <v>1797</v>
      </c>
      <c r="C577" s="2" t="s">
        <v>6261</v>
      </c>
      <c r="D577" s="2" t="s">
        <v>6034</v>
      </c>
      <c r="E577" s="2" t="s">
        <v>1798</v>
      </c>
      <c r="F577" s="2" t="s">
        <v>2</v>
      </c>
      <c r="G577" s="2" t="str">
        <f>"(03)4871919"</f>
        <v>(03)4871919</v>
      </c>
      <c r="H577" s="2" t="s">
        <v>451</v>
      </c>
      <c r="I577" s="2" t="str">
        <f>"(02)23892999"</f>
        <v>(02)23892999</v>
      </c>
      <c r="J577" s="2" t="str">
        <f>"自105年04月27日至105年05月24日止"</f>
        <v>自105年04月27日至105年05月24日止</v>
      </c>
      <c r="K577" s="2" t="str">
        <f>"台灣集中保管結算所股份有限公司"</f>
        <v>台灣集中保管結算所股份有限公司</v>
      </c>
      <c r="L577" s="2" t="str">
        <f>"http://www.stockvote.com.tw"</f>
        <v>http://www.stockvote.com.tw</v>
      </c>
      <c r="M577" s="2" t="str">
        <f>"強制"</f>
        <v>強制</v>
      </c>
      <c r="N577" s="2"/>
      <c r="O577" s="2"/>
      <c r="P577" s="2"/>
      <c r="Q577" s="2"/>
    </row>
    <row r="578" spans="1:17" x14ac:dyDescent="0.3">
      <c r="A578" s="2" t="str">
        <f>"3209"</f>
        <v>3209</v>
      </c>
      <c r="B578" s="2" t="s">
        <v>259</v>
      </c>
      <c r="C578" s="2" t="s">
        <v>1799</v>
      </c>
      <c r="D578" s="2" t="s">
        <v>6028</v>
      </c>
      <c r="E578" s="2" t="s">
        <v>1800</v>
      </c>
      <c r="F578" s="2" t="s">
        <v>2</v>
      </c>
      <c r="G578" s="2" t="str">
        <f>"02-26275859"</f>
        <v>02-26275859</v>
      </c>
      <c r="H578" s="2" t="s">
        <v>451</v>
      </c>
      <c r="I578" s="2" t="str">
        <f>"02-23892999"</f>
        <v>02-23892999</v>
      </c>
      <c r="J578" s="2" t="str">
        <f t="shared" ref="J578:L579" si="82">"--"</f>
        <v>--</v>
      </c>
      <c r="K578" s="2" t="str">
        <f t="shared" si="82"/>
        <v>--</v>
      </c>
      <c r="L578" s="2" t="str">
        <f t="shared" si="82"/>
        <v>--</v>
      </c>
      <c r="M578" s="2" t="str">
        <f>"否"</f>
        <v>否</v>
      </c>
      <c r="N578" s="2"/>
      <c r="O578" s="2"/>
      <c r="P578" s="2"/>
      <c r="Q578" s="2"/>
    </row>
    <row r="579" spans="1:17" x14ac:dyDescent="0.3">
      <c r="A579" s="2" t="str">
        <f>"3229"</f>
        <v>3229</v>
      </c>
      <c r="B579" s="2" t="s">
        <v>1801</v>
      </c>
      <c r="C579" s="2" t="s">
        <v>1802</v>
      </c>
      <c r="D579" s="2" t="s">
        <v>6010</v>
      </c>
      <c r="E579" s="2" t="s">
        <v>1803</v>
      </c>
      <c r="F579" s="2" t="s">
        <v>2</v>
      </c>
      <c r="G579" s="2" t="str">
        <f>"22052032"</f>
        <v>22052032</v>
      </c>
      <c r="H579" s="2" t="s">
        <v>427</v>
      </c>
      <c r="I579" s="2" t="str">
        <f>"25865859"</f>
        <v>25865859</v>
      </c>
      <c r="J579" s="2" t="str">
        <f t="shared" si="82"/>
        <v>--</v>
      </c>
      <c r="K579" s="2" t="str">
        <f t="shared" si="82"/>
        <v>--</v>
      </c>
      <c r="L579" s="2" t="str">
        <f t="shared" si="82"/>
        <v>--</v>
      </c>
      <c r="M579" s="2" t="str">
        <f>"--"</f>
        <v>--</v>
      </c>
      <c r="N579" s="2"/>
      <c r="O579" s="2"/>
      <c r="P579" s="2"/>
      <c r="Q579" s="2"/>
    </row>
    <row r="580" spans="1:17" x14ac:dyDescent="0.3">
      <c r="A580" s="2" t="str">
        <f>"3231"</f>
        <v>3231</v>
      </c>
      <c r="B580" s="2" t="s">
        <v>1804</v>
      </c>
      <c r="C580" s="2" t="s">
        <v>1805</v>
      </c>
      <c r="D580" s="2" t="s">
        <v>6002</v>
      </c>
      <c r="E580" s="2" t="s">
        <v>6262</v>
      </c>
      <c r="F580" s="2" t="s">
        <v>2</v>
      </c>
      <c r="G580" s="2" t="str">
        <f>"(02)6616-9999"</f>
        <v>(02)6616-9999</v>
      </c>
      <c r="H580" s="2" t="s">
        <v>1806</v>
      </c>
      <c r="I580" s="2" t="str">
        <f>"(02)6600-7998"</f>
        <v>(02)6600-7998</v>
      </c>
      <c r="J580" s="2" t="str">
        <f>"自105年05月14日至105年06月12日止"</f>
        <v>自105年05月14日至105年06月12日止</v>
      </c>
      <c r="K580" s="2" t="str">
        <f>"台灣集中保管結算所股份有限公司"</f>
        <v>台灣集中保管結算所股份有限公司</v>
      </c>
      <c r="L580" s="2" t="str">
        <f>"http://www.stockvote.com.tw"</f>
        <v>http://www.stockvote.com.tw</v>
      </c>
      <c r="M580" s="2" t="str">
        <f>"強制"</f>
        <v>強制</v>
      </c>
      <c r="N580" s="2"/>
      <c r="O580" s="2"/>
      <c r="P580" s="2"/>
      <c r="Q580" s="2"/>
    </row>
    <row r="581" spans="1:17" x14ac:dyDescent="0.3">
      <c r="A581" s="2" t="str">
        <f>"3257"</f>
        <v>3257</v>
      </c>
      <c r="B581" s="2" t="s">
        <v>88</v>
      </c>
      <c r="C581" s="2" t="s">
        <v>1807</v>
      </c>
      <c r="D581" s="2" t="s">
        <v>6020</v>
      </c>
      <c r="E581" s="2" t="s">
        <v>1808</v>
      </c>
      <c r="F581" s="2" t="s">
        <v>2</v>
      </c>
      <c r="G581" s="2" t="str">
        <f>"03-5679979"</f>
        <v>03-5679979</v>
      </c>
      <c r="H581" s="2" t="s">
        <v>456</v>
      </c>
      <c r="I581" s="2" t="str">
        <f>"02-2504-8125"</f>
        <v>02-2504-8125</v>
      </c>
      <c r="J581" s="2" t="str">
        <f>"--"</f>
        <v>--</v>
      </c>
      <c r="K581" s="2" t="str">
        <f>"--"</f>
        <v>--</v>
      </c>
      <c r="L581" s="2" t="str">
        <f>"--"</f>
        <v>--</v>
      </c>
      <c r="M581" s="2" t="str">
        <f>"--"</f>
        <v>--</v>
      </c>
      <c r="N581" s="2"/>
      <c r="O581" s="2"/>
      <c r="P581" s="2"/>
      <c r="Q581" s="2"/>
    </row>
    <row r="582" spans="1:17" x14ac:dyDescent="0.3">
      <c r="A582" s="2" t="str">
        <f>"3266"</f>
        <v>3266</v>
      </c>
      <c r="B582" s="2" t="s">
        <v>1809</v>
      </c>
      <c r="C582" s="2" t="s">
        <v>1810</v>
      </c>
      <c r="D582" s="2" t="s">
        <v>6002</v>
      </c>
      <c r="E582" s="2" t="s">
        <v>1811</v>
      </c>
      <c r="F582" s="2" t="s">
        <v>41</v>
      </c>
      <c r="G582" s="2" t="str">
        <f>"02-27771355"</f>
        <v>02-27771355</v>
      </c>
      <c r="H582" s="2" t="s">
        <v>631</v>
      </c>
      <c r="I582" s="2" t="str">
        <f>"02-25419977"</f>
        <v>02-25419977</v>
      </c>
      <c r="J582" s="2" t="str">
        <f t="shared" ref="J582:L588" si="83">"--"</f>
        <v>--</v>
      </c>
      <c r="K582" s="2" t="str">
        <f t="shared" si="83"/>
        <v>--</v>
      </c>
      <c r="L582" s="2" t="str">
        <f t="shared" si="83"/>
        <v>--</v>
      </c>
      <c r="M582" s="2" t="str">
        <f>"否"</f>
        <v>否</v>
      </c>
      <c r="N582" s="2"/>
      <c r="O582" s="2"/>
      <c r="P582" s="2"/>
      <c r="Q582" s="2"/>
    </row>
    <row r="583" spans="1:17" x14ac:dyDescent="0.3">
      <c r="A583" s="2" t="str">
        <f>"3296"</f>
        <v>3296</v>
      </c>
      <c r="B583" s="2" t="s">
        <v>1812</v>
      </c>
      <c r="C583" s="2" t="s">
        <v>1813</v>
      </c>
      <c r="D583" s="2" t="s">
        <v>6024</v>
      </c>
      <c r="E583" s="2" t="s">
        <v>1814</v>
      </c>
      <c r="F583" s="2" t="s">
        <v>41</v>
      </c>
      <c r="G583" s="2" t="str">
        <f>"82215588"</f>
        <v>82215588</v>
      </c>
      <c r="H583" s="2" t="s">
        <v>424</v>
      </c>
      <c r="I583" s="2" t="str">
        <f>"(02)2586-5859"</f>
        <v>(02)2586-5859</v>
      </c>
      <c r="J583" s="2" t="str">
        <f t="shared" si="83"/>
        <v>--</v>
      </c>
      <c r="K583" s="2" t="str">
        <f t="shared" si="83"/>
        <v>--</v>
      </c>
      <c r="L583" s="2" t="str">
        <f t="shared" si="83"/>
        <v>--</v>
      </c>
      <c r="M583" s="2" t="str">
        <f>"尚未確定"</f>
        <v>尚未確定</v>
      </c>
      <c r="N583" s="2"/>
      <c r="O583" s="2"/>
      <c r="P583" s="2"/>
      <c r="Q583" s="2"/>
    </row>
    <row r="584" spans="1:17" x14ac:dyDescent="0.3">
      <c r="A584" s="2" t="str">
        <f>"3305"</f>
        <v>3305</v>
      </c>
      <c r="B584" s="2" t="s">
        <v>1815</v>
      </c>
      <c r="C584" s="2" t="s">
        <v>1816</v>
      </c>
      <c r="D584" s="2" t="s">
        <v>6024</v>
      </c>
      <c r="E584" s="2" t="s">
        <v>1817</v>
      </c>
      <c r="F584" s="2" t="s">
        <v>41</v>
      </c>
      <c r="G584" s="2" t="str">
        <f>"(03)416-0177"</f>
        <v>(03)416-0177</v>
      </c>
      <c r="H584" s="2" t="s">
        <v>451</v>
      </c>
      <c r="I584" s="2" t="str">
        <f>"(02)2389-2999"</f>
        <v>(02)2389-2999</v>
      </c>
      <c r="J584" s="2" t="str">
        <f t="shared" si="83"/>
        <v>--</v>
      </c>
      <c r="K584" s="2" t="str">
        <f t="shared" si="83"/>
        <v>--</v>
      </c>
      <c r="L584" s="2" t="str">
        <f t="shared" si="83"/>
        <v>--</v>
      </c>
      <c r="M584" s="2" t="str">
        <f>"否"</f>
        <v>否</v>
      </c>
      <c r="N584" s="2"/>
      <c r="O584" s="2"/>
      <c r="P584" s="2"/>
      <c r="Q584" s="2"/>
    </row>
    <row r="585" spans="1:17" x14ac:dyDescent="0.3">
      <c r="A585" s="2" t="str">
        <f>"3308"</f>
        <v>3308</v>
      </c>
      <c r="B585" s="2" t="s">
        <v>1818</v>
      </c>
      <c r="C585" s="2" t="s">
        <v>1819</v>
      </c>
      <c r="D585" s="2" t="s">
        <v>6014</v>
      </c>
      <c r="E585" s="2" t="s">
        <v>6263</v>
      </c>
      <c r="F585" s="2" t="s">
        <v>41</v>
      </c>
      <c r="G585" s="2" t="str">
        <f>"(03)3286800"</f>
        <v>(03)3286800</v>
      </c>
      <c r="H585" s="2" t="s">
        <v>456</v>
      </c>
      <c r="I585" s="2" t="str">
        <f>"02-25048125"</f>
        <v>02-25048125</v>
      </c>
      <c r="J585" s="2" t="str">
        <f t="shared" si="83"/>
        <v>--</v>
      </c>
      <c r="K585" s="2" t="str">
        <f t="shared" si="83"/>
        <v>--</v>
      </c>
      <c r="L585" s="2" t="str">
        <f t="shared" si="83"/>
        <v>--</v>
      </c>
      <c r="M585" s="2" t="str">
        <f>"--"</f>
        <v>--</v>
      </c>
      <c r="N585" s="2"/>
      <c r="O585" s="2"/>
      <c r="P585" s="2"/>
      <c r="Q585" s="2"/>
    </row>
    <row r="586" spans="1:17" x14ac:dyDescent="0.3">
      <c r="A586" s="2" t="str">
        <f>"3311"</f>
        <v>3311</v>
      </c>
      <c r="B586" s="2" t="s">
        <v>220</v>
      </c>
      <c r="C586" s="2" t="s">
        <v>1820</v>
      </c>
      <c r="D586" s="2" t="s">
        <v>6000</v>
      </c>
      <c r="E586" s="2" t="s">
        <v>1056</v>
      </c>
      <c r="F586" s="2" t="s">
        <v>2</v>
      </c>
      <c r="G586" s="2" t="str">
        <f>"(02)2623-2666"</f>
        <v>(02)2623-2666</v>
      </c>
      <c r="H586" s="2" t="s">
        <v>1821</v>
      </c>
      <c r="I586" s="2" t="str">
        <f>"(02)8798-2301"</f>
        <v>(02)8798-2301</v>
      </c>
      <c r="J586" s="2" t="str">
        <f t="shared" si="83"/>
        <v>--</v>
      </c>
      <c r="K586" s="2" t="str">
        <f t="shared" si="83"/>
        <v>--</v>
      </c>
      <c r="L586" s="2" t="str">
        <f t="shared" si="83"/>
        <v>--</v>
      </c>
      <c r="M586" s="2" t="str">
        <f>"否"</f>
        <v>否</v>
      </c>
      <c r="N586" s="2"/>
      <c r="O586" s="2"/>
      <c r="P586" s="2"/>
      <c r="Q586" s="2"/>
    </row>
    <row r="587" spans="1:17" x14ac:dyDescent="0.3">
      <c r="A587" s="2" t="str">
        <f>"3312"</f>
        <v>3312</v>
      </c>
      <c r="B587" s="2" t="s">
        <v>1822</v>
      </c>
      <c r="C587" s="2" t="s">
        <v>1823</v>
      </c>
      <c r="D587" s="2" t="s">
        <v>6000</v>
      </c>
      <c r="E587" s="2" t="s">
        <v>1824</v>
      </c>
      <c r="F587" s="2" t="s">
        <v>2</v>
      </c>
      <c r="G587" s="2" t="str">
        <f>"2659-9838"</f>
        <v>2659-9838</v>
      </c>
      <c r="H587" s="2" t="s">
        <v>1825</v>
      </c>
      <c r="I587" s="2" t="str">
        <f>"02-2702-3999"</f>
        <v>02-2702-3999</v>
      </c>
      <c r="J587" s="2" t="str">
        <f t="shared" si="83"/>
        <v>--</v>
      </c>
      <c r="K587" s="2" t="str">
        <f t="shared" si="83"/>
        <v>--</v>
      </c>
      <c r="L587" s="2" t="str">
        <f t="shared" si="83"/>
        <v>--</v>
      </c>
      <c r="M587" s="2" t="str">
        <f>"--"</f>
        <v>--</v>
      </c>
      <c r="N587" s="2"/>
      <c r="O587" s="2"/>
      <c r="P587" s="2"/>
      <c r="Q587" s="2"/>
    </row>
    <row r="588" spans="1:17" x14ac:dyDescent="0.3">
      <c r="A588" s="2" t="str">
        <f>"3315"</f>
        <v>3315</v>
      </c>
      <c r="B588" s="2" t="s">
        <v>179</v>
      </c>
      <c r="C588" s="2" t="s">
        <v>1826</v>
      </c>
      <c r="D588" s="2" t="s">
        <v>6015</v>
      </c>
      <c r="E588" s="2" t="s">
        <v>1827</v>
      </c>
      <c r="F588" s="2" t="s">
        <v>2</v>
      </c>
      <c r="G588" s="2" t="str">
        <f>"27946060"</f>
        <v>27946060</v>
      </c>
      <c r="H588" s="2" t="s">
        <v>431</v>
      </c>
      <c r="I588" s="2" t="str">
        <f>"(02)2702-3999"</f>
        <v>(02)2702-3999</v>
      </c>
      <c r="J588" s="2" t="str">
        <f t="shared" si="83"/>
        <v>--</v>
      </c>
      <c r="K588" s="2" t="str">
        <f t="shared" si="83"/>
        <v>--</v>
      </c>
      <c r="L588" s="2" t="str">
        <f t="shared" si="83"/>
        <v>--</v>
      </c>
      <c r="M588" s="2" t="str">
        <f>"--"</f>
        <v>--</v>
      </c>
      <c r="N588" s="2"/>
      <c r="O588" s="2"/>
      <c r="P588" s="2"/>
      <c r="Q588" s="2"/>
    </row>
    <row r="589" spans="1:17" x14ac:dyDescent="0.3">
      <c r="A589" s="2" t="str">
        <f>"3321"</f>
        <v>3321</v>
      </c>
      <c r="B589" s="2" t="s">
        <v>4184</v>
      </c>
      <c r="C589" s="2" t="s">
        <v>4185</v>
      </c>
      <c r="D589" s="2" t="s">
        <v>6141</v>
      </c>
      <c r="E589" s="2" t="s">
        <v>4186</v>
      </c>
      <c r="F589" s="2" t="s">
        <v>2</v>
      </c>
      <c r="G589" s="2" t="str">
        <f>"(03)-3498168"</f>
        <v>(03)-3498168</v>
      </c>
      <c r="H589" s="2" t="s">
        <v>1063</v>
      </c>
      <c r="I589" s="2" t="str">
        <f>"(02)77198899"</f>
        <v>(02)77198899</v>
      </c>
      <c r="J589" s="2" t="str">
        <f>"自105年05月03日至105年05月30日止"</f>
        <v>自105年05月03日至105年05月30日止</v>
      </c>
      <c r="K589" s="2" t="str">
        <f>"台灣集中保管結算所股份有限公司"</f>
        <v>台灣集中保管結算所股份有限公司</v>
      </c>
      <c r="L589" s="2" t="str">
        <f>"http://www.stockvote.com.tw"</f>
        <v>http://www.stockvote.com.tw</v>
      </c>
      <c r="M589" s="2" t="str">
        <f>"&lt;b&gt;&lt;font color='red'&gt;自願&lt;/font&gt;&lt;/b&gt;"</f>
        <v>&lt;b&gt;&lt;font color='red'&gt;自願&lt;/font&gt;&lt;/b&gt;</v>
      </c>
      <c r="N589" s="2"/>
      <c r="O589" s="2"/>
      <c r="P589" s="2"/>
      <c r="Q589" s="2"/>
    </row>
    <row r="590" spans="1:17" x14ac:dyDescent="0.3">
      <c r="A590" s="2" t="str">
        <f>"3338"</f>
        <v>3338</v>
      </c>
      <c r="B590" s="2" t="s">
        <v>1828</v>
      </c>
      <c r="C590" s="2" t="s">
        <v>1829</v>
      </c>
      <c r="D590" s="2" t="s">
        <v>6037</v>
      </c>
      <c r="E590" s="2" t="s">
        <v>1830</v>
      </c>
      <c r="F590" s="2" t="s">
        <v>2</v>
      </c>
      <c r="G590" s="2" t="str">
        <f>"(02)26562658"</f>
        <v>(02)26562658</v>
      </c>
      <c r="H590" s="2" t="s">
        <v>1928</v>
      </c>
      <c r="I590" s="2" t="str">
        <f>"(02)8787-1888"</f>
        <v>(02)8787-1888</v>
      </c>
      <c r="J590" s="2" t="str">
        <f t="shared" ref="J590:L592" si="84">"--"</f>
        <v>--</v>
      </c>
      <c r="K590" s="2" t="str">
        <f t="shared" si="84"/>
        <v>--</v>
      </c>
      <c r="L590" s="2" t="str">
        <f t="shared" si="84"/>
        <v>--</v>
      </c>
      <c r="M590" s="2" t="str">
        <f>"否"</f>
        <v>否</v>
      </c>
      <c r="N590" s="2"/>
      <c r="O590" s="2"/>
      <c r="P590" s="2"/>
      <c r="Q590" s="2"/>
    </row>
    <row r="591" spans="1:17" x14ac:dyDescent="0.3">
      <c r="A591" s="2" t="str">
        <f>"3356"</f>
        <v>3356</v>
      </c>
      <c r="B591" s="2" t="s">
        <v>1831</v>
      </c>
      <c r="C591" s="2" t="s">
        <v>1832</v>
      </c>
      <c r="D591" s="2" t="s">
        <v>6016</v>
      </c>
      <c r="E591" s="2" t="s">
        <v>1833</v>
      </c>
      <c r="F591" s="2" t="s">
        <v>2</v>
      </c>
      <c r="G591" s="2" t="str">
        <f>"02-8797-8377"</f>
        <v>02-8797-8377</v>
      </c>
      <c r="H591" s="2" t="s">
        <v>465</v>
      </c>
      <c r="I591" s="2" t="str">
        <f>"02-2381-6288"</f>
        <v>02-2381-6288</v>
      </c>
      <c r="J591" s="2" t="str">
        <f t="shared" si="84"/>
        <v>--</v>
      </c>
      <c r="K591" s="2" t="str">
        <f t="shared" si="84"/>
        <v>--</v>
      </c>
      <c r="L591" s="2" t="str">
        <f t="shared" si="84"/>
        <v>--</v>
      </c>
      <c r="M591" s="2" t="str">
        <f>"--"</f>
        <v>--</v>
      </c>
      <c r="N591" s="2"/>
      <c r="O591" s="2"/>
      <c r="P591" s="2"/>
      <c r="Q591" s="2"/>
    </row>
    <row r="592" spans="1:17" x14ac:dyDescent="0.3">
      <c r="A592" s="2" t="str">
        <f>"3376"</f>
        <v>3376</v>
      </c>
      <c r="B592" s="2" t="s">
        <v>315</v>
      </c>
      <c r="C592" s="2" t="s">
        <v>1834</v>
      </c>
      <c r="D592" s="2" t="s">
        <v>6002</v>
      </c>
      <c r="E592" s="2" t="s">
        <v>1835</v>
      </c>
      <c r="F592" s="2" t="s">
        <v>41</v>
      </c>
      <c r="G592" s="2" t="str">
        <f>"02-26813316"</f>
        <v>02-26813316</v>
      </c>
      <c r="H592" s="2" t="s">
        <v>456</v>
      </c>
      <c r="I592" s="2" t="str">
        <f>"02-25048125"</f>
        <v>02-25048125</v>
      </c>
      <c r="J592" s="2" t="str">
        <f t="shared" si="84"/>
        <v>--</v>
      </c>
      <c r="K592" s="2" t="str">
        <f t="shared" si="84"/>
        <v>--</v>
      </c>
      <c r="L592" s="2" t="str">
        <f t="shared" si="84"/>
        <v>--</v>
      </c>
      <c r="M592" s="2" t="str">
        <f>"否"</f>
        <v>否</v>
      </c>
      <c r="N592" s="2"/>
      <c r="O592" s="2"/>
      <c r="P592" s="2"/>
      <c r="Q592" s="2"/>
    </row>
    <row r="593" spans="1:17" x14ac:dyDescent="0.3">
      <c r="A593" s="2" t="str">
        <f>"3380"</f>
        <v>3380</v>
      </c>
      <c r="B593" s="2" t="s">
        <v>1836</v>
      </c>
      <c r="C593" s="2" t="s">
        <v>1837</v>
      </c>
      <c r="D593" s="2" t="s">
        <v>6004</v>
      </c>
      <c r="E593" s="2" t="s">
        <v>1838</v>
      </c>
      <c r="F593" s="2" t="s">
        <v>2</v>
      </c>
      <c r="G593" s="2" t="str">
        <f>"03-5636666"</f>
        <v>03-5636666</v>
      </c>
      <c r="H593" s="2" t="s">
        <v>404</v>
      </c>
      <c r="I593" s="2" t="str">
        <f>"02-66365566"</f>
        <v>02-66365566</v>
      </c>
      <c r="J593" s="2" t="str">
        <f>"自105年05月18日至105年06月14日止"</f>
        <v>自105年05月18日至105年06月14日止</v>
      </c>
      <c r="K593" s="2" t="str">
        <f>"台灣集中保管結算所股份有限公司"</f>
        <v>台灣集中保管結算所股份有限公司</v>
      </c>
      <c r="L593" s="2" t="str">
        <f>"http://www.stockvote.com.tw"</f>
        <v>http://www.stockvote.com.tw</v>
      </c>
      <c r="M593" s="2" t="str">
        <f>"強制"</f>
        <v>強制</v>
      </c>
      <c r="N593" s="2"/>
      <c r="O593" s="2"/>
      <c r="P593" s="2"/>
      <c r="Q593" s="2"/>
    </row>
    <row r="594" spans="1:17" x14ac:dyDescent="0.3">
      <c r="A594" s="2" t="str">
        <f>"3383"</f>
        <v>3383</v>
      </c>
      <c r="B594" s="2" t="s">
        <v>1839</v>
      </c>
      <c r="C594" s="2" t="s">
        <v>6264</v>
      </c>
      <c r="D594" s="2" t="s">
        <v>6000</v>
      </c>
      <c r="E594" s="2" t="s">
        <v>1840</v>
      </c>
      <c r="F594" s="2" t="s">
        <v>2</v>
      </c>
      <c r="G594" s="2" t="str">
        <f>"06-5053500"</f>
        <v>06-5053500</v>
      </c>
      <c r="H594" s="2" t="s">
        <v>640</v>
      </c>
      <c r="I594" s="2" t="str">
        <f>"(02)2371-1658"</f>
        <v>(02)2371-1658</v>
      </c>
      <c r="J594" s="2" t="str">
        <f>"自105年05月21日至105年06月18日止"</f>
        <v>自105年05月21日至105年06月18日止</v>
      </c>
      <c r="K594" s="2" t="str">
        <f>"台灣集中保管結算所股份有限公司"</f>
        <v>台灣集中保管結算所股份有限公司</v>
      </c>
      <c r="L594" s="2" t="str">
        <f>"http://www.stockvote.com.tw"</f>
        <v>http://www.stockvote.com.tw</v>
      </c>
      <c r="M594" s="2" t="str">
        <f>"--"</f>
        <v>--</v>
      </c>
      <c r="N594" s="2"/>
      <c r="O594" s="2"/>
      <c r="P594" s="2"/>
      <c r="Q594" s="2"/>
    </row>
    <row r="595" spans="1:17" x14ac:dyDescent="0.3">
      <c r="A595" s="2" t="str">
        <f>"3406"</f>
        <v>3406</v>
      </c>
      <c r="B595" s="2" t="s">
        <v>1841</v>
      </c>
      <c r="C595" s="2" t="s">
        <v>1842</v>
      </c>
      <c r="D595" s="2" t="s">
        <v>6001</v>
      </c>
      <c r="E595" s="2" t="s">
        <v>1843</v>
      </c>
      <c r="F595" s="2" t="s">
        <v>41</v>
      </c>
      <c r="G595" s="2" t="str">
        <f>"04-25667115"</f>
        <v>04-25667115</v>
      </c>
      <c r="H595" s="2" t="s">
        <v>465</v>
      </c>
      <c r="I595" s="2" t="str">
        <f>"02-23816288"</f>
        <v>02-23816288</v>
      </c>
      <c r="J595" s="2" t="str">
        <f t="shared" ref="J595:L600" si="85">"--"</f>
        <v>--</v>
      </c>
      <c r="K595" s="2" t="str">
        <f t="shared" si="85"/>
        <v>--</v>
      </c>
      <c r="L595" s="2" t="str">
        <f t="shared" si="85"/>
        <v>--</v>
      </c>
      <c r="M595" s="2" t="str">
        <f>"--"</f>
        <v>--</v>
      </c>
      <c r="N595" s="2"/>
      <c r="O595" s="2"/>
      <c r="P595" s="2"/>
      <c r="Q595" s="2"/>
    </row>
    <row r="596" spans="1:17" x14ac:dyDescent="0.3">
      <c r="A596" s="2" t="str">
        <f>"3413"</f>
        <v>3413</v>
      </c>
      <c r="B596" s="2" t="s">
        <v>4199</v>
      </c>
      <c r="C596" s="2" t="s">
        <v>4200</v>
      </c>
      <c r="D596" s="2" t="s">
        <v>6034</v>
      </c>
      <c r="E596" s="2" t="s">
        <v>6265</v>
      </c>
      <c r="F596" s="2" t="s">
        <v>2</v>
      </c>
      <c r="G596" s="2" t="str">
        <f>"037-580088"</f>
        <v>037-580088</v>
      </c>
      <c r="H596" s="2" t="s">
        <v>640</v>
      </c>
      <c r="I596" s="2" t="str">
        <f>"(02)2371-1658"</f>
        <v>(02)2371-1658</v>
      </c>
      <c r="J596" s="2" t="str">
        <f t="shared" si="85"/>
        <v>--</v>
      </c>
      <c r="K596" s="2" t="str">
        <f t="shared" si="85"/>
        <v>--</v>
      </c>
      <c r="L596" s="2" t="str">
        <f t="shared" si="85"/>
        <v>--</v>
      </c>
      <c r="M596" s="2" t="str">
        <f>"否"</f>
        <v>否</v>
      </c>
      <c r="N596" s="2"/>
      <c r="O596" s="2"/>
      <c r="P596" s="2"/>
      <c r="Q596" s="2"/>
    </row>
    <row r="597" spans="1:17" x14ac:dyDescent="0.3">
      <c r="A597" s="2" t="str">
        <f>"3416"</f>
        <v>3416</v>
      </c>
      <c r="B597" s="2" t="s">
        <v>1844</v>
      </c>
      <c r="C597" s="2" t="s">
        <v>1845</v>
      </c>
      <c r="D597" s="2" t="s">
        <v>6034</v>
      </c>
      <c r="E597" s="2" t="s">
        <v>1846</v>
      </c>
      <c r="F597" s="2" t="s">
        <v>41</v>
      </c>
      <c r="G597" s="2" t="str">
        <f>"(02)8511-0288"</f>
        <v>(02)8511-0288</v>
      </c>
      <c r="H597" s="2" t="s">
        <v>431</v>
      </c>
      <c r="I597" s="2" t="str">
        <f>"(02)2702-3999"</f>
        <v>(02)2702-3999</v>
      </c>
      <c r="J597" s="2" t="str">
        <f t="shared" si="85"/>
        <v>--</v>
      </c>
      <c r="K597" s="2" t="str">
        <f t="shared" si="85"/>
        <v>--</v>
      </c>
      <c r="L597" s="2" t="str">
        <f t="shared" si="85"/>
        <v>--</v>
      </c>
      <c r="M597" s="2" t="str">
        <f>"否"</f>
        <v>否</v>
      </c>
      <c r="N597" s="2"/>
      <c r="O597" s="2"/>
      <c r="P597" s="2"/>
      <c r="Q597" s="2"/>
    </row>
    <row r="598" spans="1:17" x14ac:dyDescent="0.3">
      <c r="A598" s="2" t="str">
        <f>"3419"</f>
        <v>3419</v>
      </c>
      <c r="B598" s="2" t="s">
        <v>1847</v>
      </c>
      <c r="C598" s="2" t="s">
        <v>1848</v>
      </c>
      <c r="D598" s="2" t="s">
        <v>6000</v>
      </c>
      <c r="E598" s="2" t="s">
        <v>6266</v>
      </c>
      <c r="F598" s="2" t="s">
        <v>2</v>
      </c>
      <c r="G598" s="2" t="str">
        <f>"03-5714225"</f>
        <v>03-5714225</v>
      </c>
      <c r="H598" s="2" t="s">
        <v>456</v>
      </c>
      <c r="I598" s="2" t="str">
        <f>"(02)25048125"</f>
        <v>(02)25048125</v>
      </c>
      <c r="J598" s="2" t="str">
        <f t="shared" si="85"/>
        <v>--</v>
      </c>
      <c r="K598" s="2" t="str">
        <f t="shared" si="85"/>
        <v>--</v>
      </c>
      <c r="L598" s="2" t="str">
        <f t="shared" si="85"/>
        <v>--</v>
      </c>
      <c r="M598" s="2" t="str">
        <f>"--"</f>
        <v>--</v>
      </c>
      <c r="N598" s="2"/>
      <c r="O598" s="2"/>
      <c r="P598" s="2"/>
      <c r="Q598" s="2"/>
    </row>
    <row r="599" spans="1:17" x14ac:dyDescent="0.3">
      <c r="A599" s="2" t="str">
        <f>"3432"</f>
        <v>3432</v>
      </c>
      <c r="B599" s="2" t="s">
        <v>1849</v>
      </c>
      <c r="C599" s="2" t="s">
        <v>1850</v>
      </c>
      <c r="D599" s="2" t="s">
        <v>6007</v>
      </c>
      <c r="E599" s="2" t="s">
        <v>1851</v>
      </c>
      <c r="F599" s="2" t="s">
        <v>41</v>
      </c>
      <c r="G599" s="2" t="str">
        <f>"32349988"</f>
        <v>32349988</v>
      </c>
      <c r="H599" s="2" t="s">
        <v>565</v>
      </c>
      <c r="I599" s="2" t="str">
        <f>"23611300"</f>
        <v>23611300</v>
      </c>
      <c r="J599" s="2" t="str">
        <f t="shared" si="85"/>
        <v>--</v>
      </c>
      <c r="K599" s="2" t="str">
        <f t="shared" si="85"/>
        <v>--</v>
      </c>
      <c r="L599" s="2" t="str">
        <f t="shared" si="85"/>
        <v>--</v>
      </c>
      <c r="M599" s="2" t="str">
        <f>"否"</f>
        <v>否</v>
      </c>
      <c r="N599" s="2"/>
      <c r="O599" s="2"/>
      <c r="P599" s="2"/>
      <c r="Q599" s="2"/>
    </row>
    <row r="600" spans="1:17" x14ac:dyDescent="0.3">
      <c r="A600" s="2" t="str">
        <f>"3437"</f>
        <v>3437</v>
      </c>
      <c r="B600" s="2" t="s">
        <v>1852</v>
      </c>
      <c r="C600" s="2" t="s">
        <v>1853</v>
      </c>
      <c r="D600" s="2" t="s">
        <v>6010</v>
      </c>
      <c r="E600" s="2" t="s">
        <v>6267</v>
      </c>
      <c r="F600" s="2" t="s">
        <v>41</v>
      </c>
      <c r="G600" s="2" t="str">
        <f>"03-5976988"</f>
        <v>03-5976988</v>
      </c>
      <c r="H600" s="2" t="s">
        <v>640</v>
      </c>
      <c r="I600" s="2" t="str">
        <f>"02-23711658"</f>
        <v>02-23711658</v>
      </c>
      <c r="J600" s="2" t="str">
        <f t="shared" si="85"/>
        <v>--</v>
      </c>
      <c r="K600" s="2" t="str">
        <f t="shared" si="85"/>
        <v>--</v>
      </c>
      <c r="L600" s="2" t="str">
        <f t="shared" si="85"/>
        <v>--</v>
      </c>
      <c r="M600" s="2" t="str">
        <f>"--"</f>
        <v>--</v>
      </c>
      <c r="N600" s="2"/>
      <c r="O600" s="2"/>
      <c r="P600" s="2"/>
      <c r="Q600" s="2"/>
    </row>
    <row r="601" spans="1:17" x14ac:dyDescent="0.3">
      <c r="A601" s="2" t="str">
        <f>"3443"</f>
        <v>3443</v>
      </c>
      <c r="B601" s="2" t="s">
        <v>1854</v>
      </c>
      <c r="C601" s="2" t="s">
        <v>1855</v>
      </c>
      <c r="D601" s="2" t="s">
        <v>6011</v>
      </c>
      <c r="E601" s="2" t="s">
        <v>6268</v>
      </c>
      <c r="F601" s="2" t="s">
        <v>2</v>
      </c>
      <c r="G601" s="2" t="str">
        <f>"03-5646600"</f>
        <v>03-5646600</v>
      </c>
      <c r="H601" s="2" t="s">
        <v>404</v>
      </c>
      <c r="I601" s="2" t="str">
        <f>"02-66365566"</f>
        <v>02-66365566</v>
      </c>
      <c r="J601" s="2" t="str">
        <f>"自105年04月26日至105年05月23日止"</f>
        <v>自105年04月26日至105年05月23日止</v>
      </c>
      <c r="K601" s="2" t="str">
        <f>"台灣集中保管結算所股份有限公司"</f>
        <v>台灣集中保管結算所股份有限公司</v>
      </c>
      <c r="L601" s="2" t="str">
        <f>"http://www.stockvote.com.tw"</f>
        <v>http://www.stockvote.com.tw</v>
      </c>
      <c r="M601" s="2" t="str">
        <f>"&lt;b&gt;&lt;font color='red'&gt;自願&lt;/font&gt;&lt;/b&gt;"</f>
        <v>&lt;b&gt;&lt;font color='red'&gt;自願&lt;/font&gt;&lt;/b&gt;</v>
      </c>
      <c r="N601" s="2"/>
      <c r="O601" s="2"/>
      <c r="P601" s="2"/>
      <c r="Q601" s="2"/>
    </row>
    <row r="602" spans="1:17" x14ac:dyDescent="0.3">
      <c r="A602" s="2" t="str">
        <f>"3450"</f>
        <v>3450</v>
      </c>
      <c r="B602" s="2" t="s">
        <v>240</v>
      </c>
      <c r="C602" s="2" t="s">
        <v>1856</v>
      </c>
      <c r="D602" s="2" t="s">
        <v>6031</v>
      </c>
      <c r="E602" s="2" t="s">
        <v>1857</v>
      </c>
      <c r="F602" s="2" t="s">
        <v>41</v>
      </c>
      <c r="G602" s="2" t="str">
        <f>"(02)8245-6186"</f>
        <v>(02)8245-6186</v>
      </c>
      <c r="H602" s="2" t="s">
        <v>644</v>
      </c>
      <c r="I602" s="2" t="str">
        <f>"(02)2361-1300"</f>
        <v>(02)2361-1300</v>
      </c>
      <c r="J602" s="2" t="str">
        <f t="shared" ref="J602:L603" si="86">"--"</f>
        <v>--</v>
      </c>
      <c r="K602" s="2" t="str">
        <f t="shared" si="86"/>
        <v>--</v>
      </c>
      <c r="L602" s="2" t="str">
        <f t="shared" si="86"/>
        <v>--</v>
      </c>
      <c r="M602" s="2" t="str">
        <f>"否"</f>
        <v>否</v>
      </c>
      <c r="N602" s="2"/>
      <c r="O602" s="2"/>
      <c r="P602" s="2"/>
      <c r="Q602" s="2"/>
    </row>
    <row r="603" spans="1:17" x14ac:dyDescent="0.3">
      <c r="A603" s="2" t="str">
        <f>"3454"</f>
        <v>3454</v>
      </c>
      <c r="B603" s="2" t="s">
        <v>197</v>
      </c>
      <c r="C603" s="2" t="s">
        <v>1858</v>
      </c>
      <c r="D603" s="2" t="s">
        <v>5999</v>
      </c>
      <c r="E603" s="2" t="s">
        <v>1859</v>
      </c>
      <c r="F603" s="2" t="s">
        <v>2</v>
      </c>
      <c r="G603" s="2" t="str">
        <f>"(02)8245-5282"</f>
        <v>(02)8245-5282</v>
      </c>
      <c r="H603" s="2" t="s">
        <v>996</v>
      </c>
      <c r="I603" s="2" t="str">
        <f>"(02)3393-0898"</f>
        <v>(02)3393-0898</v>
      </c>
      <c r="J603" s="2" t="str">
        <f t="shared" si="86"/>
        <v>--</v>
      </c>
      <c r="K603" s="2" t="str">
        <f t="shared" si="86"/>
        <v>--</v>
      </c>
      <c r="L603" s="2" t="str">
        <f t="shared" si="86"/>
        <v>--</v>
      </c>
      <c r="M603" s="2" t="str">
        <f>"--"</f>
        <v>--</v>
      </c>
      <c r="N603" s="2"/>
      <c r="O603" s="2"/>
      <c r="P603" s="2"/>
      <c r="Q603" s="2"/>
    </row>
    <row r="604" spans="1:17" x14ac:dyDescent="0.3">
      <c r="A604" s="2" t="str">
        <f>"3474"</f>
        <v>3474</v>
      </c>
      <c r="B604" s="2" t="s">
        <v>1860</v>
      </c>
      <c r="C604" s="2" t="s">
        <v>1861</v>
      </c>
      <c r="D604" s="2" t="s">
        <v>6141</v>
      </c>
      <c r="E604" s="2" t="s">
        <v>1862</v>
      </c>
      <c r="F604" s="2" t="s">
        <v>2</v>
      </c>
      <c r="G604" s="2" t="str">
        <f>"(03)3272988"</f>
        <v>(03)3272988</v>
      </c>
      <c r="H604" s="2" t="s">
        <v>486</v>
      </c>
      <c r="I604" s="2" t="str">
        <f>"(02)27189898"</f>
        <v>(02)27189898</v>
      </c>
      <c r="J604" s="2" t="str">
        <f>"自105年05月02日至105年05月30日止"</f>
        <v>自105年05月02日至105年05月30日止</v>
      </c>
      <c r="K604" s="2" t="str">
        <f>"台灣集中保管結算所股份有限公司"</f>
        <v>台灣集中保管結算所股份有限公司</v>
      </c>
      <c r="L604" s="2" t="str">
        <f>"http://www.stockvote.com.tw"</f>
        <v>http://www.stockvote.com.tw</v>
      </c>
      <c r="M604" s="2" t="str">
        <f>"--"</f>
        <v>--</v>
      </c>
      <c r="N604" s="2"/>
      <c r="O604" s="2"/>
      <c r="P604" s="2"/>
      <c r="Q604" s="2"/>
    </row>
    <row r="605" spans="1:17" x14ac:dyDescent="0.3">
      <c r="A605" s="2"/>
      <c r="B605" s="2"/>
      <c r="C605" s="2"/>
      <c r="D605" s="2"/>
      <c r="E605" s="2"/>
      <c r="F605" s="2"/>
      <c r="G605" s="2"/>
      <c r="H605" s="2"/>
      <c r="I605" s="2"/>
      <c r="J605" s="2"/>
      <c r="K605" s="2"/>
      <c r="L605" s="2"/>
      <c r="M605" s="2"/>
      <c r="N605" s="2"/>
      <c r="O605" s="2"/>
      <c r="P605" s="2"/>
      <c r="Q605" s="2"/>
    </row>
    <row r="606" spans="1:17" x14ac:dyDescent="0.3">
      <c r="A606" s="2" t="str">
        <f>"3481"</f>
        <v>3481</v>
      </c>
      <c r="B606" s="2" t="s">
        <v>1863</v>
      </c>
      <c r="C606" s="2" t="s">
        <v>1864</v>
      </c>
      <c r="D606" s="2" t="s">
        <v>6010</v>
      </c>
      <c r="E606" s="2" t="s">
        <v>1865</v>
      </c>
      <c r="F606" s="2" t="s">
        <v>41</v>
      </c>
      <c r="G606" s="2" t="str">
        <f>"037-586000"</f>
        <v>037-586000</v>
      </c>
      <c r="H606" s="2" t="s">
        <v>640</v>
      </c>
      <c r="I606" s="2" t="str">
        <f>"02-23711658"</f>
        <v>02-23711658</v>
      </c>
      <c r="J606" s="2" t="str">
        <f>"自105年05月25日至105年06月21日止"</f>
        <v>自105年05月25日至105年06月21日止</v>
      </c>
      <c r="K606" s="2" t="str">
        <f>"台灣集中保管結算所股份有限公司"</f>
        <v>台灣集中保管結算所股份有限公司</v>
      </c>
      <c r="L606" s="2" t="str">
        <f>"http://www.stockvote.com.tw"</f>
        <v>http://www.stockvote.com.tw</v>
      </c>
      <c r="M606" s="2" t="str">
        <f>"強制"</f>
        <v>強制</v>
      </c>
      <c r="N606" s="2"/>
      <c r="O606" s="2"/>
      <c r="P606" s="2"/>
      <c r="Q606" s="2"/>
    </row>
    <row r="607" spans="1:17" x14ac:dyDescent="0.3">
      <c r="A607" s="2" t="str">
        <f>"3494"</f>
        <v>3494</v>
      </c>
      <c r="B607" s="2" t="s">
        <v>1866</v>
      </c>
      <c r="C607" s="2" t="s">
        <v>1867</v>
      </c>
      <c r="D607" s="2" t="s">
        <v>6010</v>
      </c>
      <c r="E607" s="2" t="s">
        <v>6269</v>
      </c>
      <c r="F607" s="2" t="s">
        <v>2</v>
      </c>
      <c r="G607" s="2" t="str">
        <f>"(02)2912-6268"</f>
        <v>(02)2912-6268</v>
      </c>
      <c r="H607" s="2" t="s">
        <v>404</v>
      </c>
      <c r="I607" s="2" t="str">
        <f>"(02)6636-5566"</f>
        <v>(02)6636-5566</v>
      </c>
      <c r="J607" s="2" t="str">
        <f>"--"</f>
        <v>--</v>
      </c>
      <c r="K607" s="2" t="str">
        <f>"--"</f>
        <v>--</v>
      </c>
      <c r="L607" s="2" t="str">
        <f>"--"</f>
        <v>--</v>
      </c>
      <c r="M607" s="2" t="str">
        <f>"--"</f>
        <v>--</v>
      </c>
      <c r="N607" s="2"/>
      <c r="O607" s="2"/>
      <c r="P607" s="2"/>
      <c r="Q607" s="2"/>
    </row>
    <row r="608" spans="1:17" x14ac:dyDescent="0.3">
      <c r="A608" s="2" t="str">
        <f>"3501"</f>
        <v>3501</v>
      </c>
      <c r="B608" s="2" t="s">
        <v>1868</v>
      </c>
      <c r="C608" s="2" t="s">
        <v>1869</v>
      </c>
      <c r="D608" s="2" t="s">
        <v>6001</v>
      </c>
      <c r="E608" s="2" t="s">
        <v>1870</v>
      </c>
      <c r="F608" s="2" t="s">
        <v>2</v>
      </c>
      <c r="G608" s="2" t="str">
        <f>"27911119"</f>
        <v>27911119</v>
      </c>
      <c r="H608" s="2" t="s">
        <v>640</v>
      </c>
      <c r="I608" s="2" t="str">
        <f>"02-23711658"</f>
        <v>02-23711658</v>
      </c>
      <c r="J608" s="2" t="str">
        <f t="shared" ref="J608:L609" si="87">"--"</f>
        <v>--</v>
      </c>
      <c r="K608" s="2" t="str">
        <f t="shared" si="87"/>
        <v>--</v>
      </c>
      <c r="L608" s="2" t="str">
        <f t="shared" si="87"/>
        <v>--</v>
      </c>
      <c r="M608" s="2" t="str">
        <f>"否"</f>
        <v>否</v>
      </c>
      <c r="N608" s="2"/>
      <c r="O608" s="2"/>
      <c r="P608" s="2"/>
      <c r="Q608" s="2"/>
    </row>
    <row r="609" spans="1:17" x14ac:dyDescent="0.3">
      <c r="A609" s="2" t="str">
        <f>"3504"</f>
        <v>3504</v>
      </c>
      <c r="B609" s="2" t="s">
        <v>1871</v>
      </c>
      <c r="C609" s="2" t="s">
        <v>1872</v>
      </c>
      <c r="D609" s="2" t="s">
        <v>6016</v>
      </c>
      <c r="E609" s="2" t="s">
        <v>6270</v>
      </c>
      <c r="F609" s="2" t="s">
        <v>2</v>
      </c>
      <c r="G609" s="2" t="str">
        <f>"(03)6206789"</f>
        <v>(03)6206789</v>
      </c>
      <c r="H609" s="2" t="s">
        <v>456</v>
      </c>
      <c r="I609" s="2" t="str">
        <f>"(02)2504-8125"</f>
        <v>(02)2504-8125</v>
      </c>
      <c r="J609" s="2" t="str">
        <f t="shared" si="87"/>
        <v>--</v>
      </c>
      <c r="K609" s="2" t="str">
        <f t="shared" si="87"/>
        <v>--</v>
      </c>
      <c r="L609" s="2" t="str">
        <f t="shared" si="87"/>
        <v>--</v>
      </c>
      <c r="M609" s="2" t="str">
        <f>"--"</f>
        <v>--</v>
      </c>
      <c r="N609" s="2"/>
      <c r="O609" s="2"/>
      <c r="P609" s="2"/>
      <c r="Q609" s="2"/>
    </row>
    <row r="610" spans="1:17" x14ac:dyDescent="0.3">
      <c r="A610" s="2" t="str">
        <f>"3514"</f>
        <v>3514</v>
      </c>
      <c r="B610" s="2" t="s">
        <v>1873</v>
      </c>
      <c r="C610" s="2" t="s">
        <v>1874</v>
      </c>
      <c r="D610" s="2" t="s">
        <v>6021</v>
      </c>
      <c r="E610" s="2" t="s">
        <v>1875</v>
      </c>
      <c r="F610" s="2" t="s">
        <v>2</v>
      </c>
      <c r="G610" s="2" t="str">
        <f>"02-26562000"</f>
        <v>02-26562000</v>
      </c>
      <c r="H610" s="2" t="s">
        <v>896</v>
      </c>
      <c r="I610" s="2" t="str">
        <f>"02-2563-5711"</f>
        <v>02-2563-5711</v>
      </c>
      <c r="J610" s="2" t="str">
        <f>"自105年05月13日至105年06月10日止"</f>
        <v>自105年05月13日至105年06月10日止</v>
      </c>
      <c r="K610" s="2" t="str">
        <f>"台灣集中保管結算所股份有限公司"</f>
        <v>台灣集中保管結算所股份有限公司</v>
      </c>
      <c r="L610" s="2" t="str">
        <f>"http://www.stockvote.com.tw"</f>
        <v>http://www.stockvote.com.tw</v>
      </c>
      <c r="M610" s="2" t="str">
        <f>"--"</f>
        <v>--</v>
      </c>
      <c r="N610" s="2"/>
      <c r="O610" s="2"/>
      <c r="P610" s="2"/>
      <c r="Q610" s="2"/>
    </row>
    <row r="611" spans="1:17" x14ac:dyDescent="0.3">
      <c r="A611" s="2" t="str">
        <f>"3515"</f>
        <v>3515</v>
      </c>
      <c r="B611" s="2" t="s">
        <v>1876</v>
      </c>
      <c r="C611" s="2" t="s">
        <v>1877</v>
      </c>
      <c r="D611" s="2" t="s">
        <v>6031</v>
      </c>
      <c r="E611" s="2" t="s">
        <v>6271</v>
      </c>
      <c r="F611" s="2" t="s">
        <v>2</v>
      </c>
      <c r="G611" s="2" t="str">
        <f>"(02)2896-5588"</f>
        <v>(02)2896-5588</v>
      </c>
      <c r="H611" s="2" t="s">
        <v>451</v>
      </c>
      <c r="I611" s="2" t="str">
        <f>"(02)2389-2999"</f>
        <v>(02)2389-2999</v>
      </c>
      <c r="J611" s="2" t="str">
        <f t="shared" ref="J611:L612" si="88">"--"</f>
        <v>--</v>
      </c>
      <c r="K611" s="2" t="str">
        <f t="shared" si="88"/>
        <v>--</v>
      </c>
      <c r="L611" s="2" t="str">
        <f t="shared" si="88"/>
        <v>--</v>
      </c>
      <c r="M611" s="2" t="str">
        <f>"否"</f>
        <v>否</v>
      </c>
      <c r="N611" s="2"/>
      <c r="O611" s="2"/>
      <c r="P611" s="2"/>
      <c r="Q611" s="2"/>
    </row>
    <row r="612" spans="1:17" x14ac:dyDescent="0.3">
      <c r="A612" s="2" t="str">
        <f>"3518"</f>
        <v>3518</v>
      </c>
      <c r="B612" s="2" t="s">
        <v>1879</v>
      </c>
      <c r="C612" s="2" t="s">
        <v>6272</v>
      </c>
      <c r="D612" s="2" t="s">
        <v>6000</v>
      </c>
      <c r="E612" s="2" t="s">
        <v>6273</v>
      </c>
      <c r="F612" s="2" t="s">
        <v>2</v>
      </c>
      <c r="G612" s="2" t="str">
        <f>"(03)396-3518"</f>
        <v>(03)396-3518</v>
      </c>
      <c r="H612" s="2" t="s">
        <v>456</v>
      </c>
      <c r="I612" s="2" t="str">
        <f>"(02)2504-8125"</f>
        <v>(02)2504-8125</v>
      </c>
      <c r="J612" s="2" t="str">
        <f t="shared" si="88"/>
        <v>--</v>
      </c>
      <c r="K612" s="2" t="str">
        <f t="shared" si="88"/>
        <v>--</v>
      </c>
      <c r="L612" s="2" t="str">
        <f t="shared" si="88"/>
        <v>--</v>
      </c>
      <c r="M612" s="2" t="str">
        <f>"--"</f>
        <v>--</v>
      </c>
      <c r="N612" s="2"/>
      <c r="O612" s="2"/>
      <c r="P612" s="2"/>
      <c r="Q612" s="2"/>
    </row>
    <row r="613" spans="1:17" x14ac:dyDescent="0.3">
      <c r="A613" s="2" t="str">
        <f>"3519"</f>
        <v>3519</v>
      </c>
      <c r="B613" s="2" t="s">
        <v>154</v>
      </c>
      <c r="C613" s="2" t="s">
        <v>1881</v>
      </c>
      <c r="D613" s="2" t="s">
        <v>6014</v>
      </c>
      <c r="E613" s="2" t="s">
        <v>1882</v>
      </c>
      <c r="F613" s="2" t="s">
        <v>41</v>
      </c>
      <c r="G613" s="2" t="str">
        <f>"03-4160207"</f>
        <v>03-4160207</v>
      </c>
      <c r="H613" s="2" t="s">
        <v>644</v>
      </c>
      <c r="I613" s="2" t="str">
        <f>"02-23611300"</f>
        <v>02-23611300</v>
      </c>
      <c r="J613" s="2" t="str">
        <f>"自105年05月28日至105年06月26日止"</f>
        <v>自105年05月28日至105年06月26日止</v>
      </c>
      <c r="K613" s="2" t="str">
        <f>"台灣集中保管結算所股份有限公司"</f>
        <v>台灣集中保管結算所股份有限公司</v>
      </c>
      <c r="L613" s="2" t="str">
        <f>"http://www.stockvote.com.tw"</f>
        <v>http://www.stockvote.com.tw</v>
      </c>
      <c r="M613" s="2" t="str">
        <f>"--"</f>
        <v>--</v>
      </c>
      <c r="N613" s="2"/>
      <c r="O613" s="2"/>
      <c r="P613" s="2"/>
      <c r="Q613" s="2"/>
    </row>
    <row r="614" spans="1:17" x14ac:dyDescent="0.3">
      <c r="A614" s="2" t="str">
        <f>"3532"</f>
        <v>3532</v>
      </c>
      <c r="B614" s="2" t="s">
        <v>1883</v>
      </c>
      <c r="C614" s="2" t="s">
        <v>1884</v>
      </c>
      <c r="D614" s="2" t="s">
        <v>6028</v>
      </c>
      <c r="E614" s="2" t="s">
        <v>1885</v>
      </c>
      <c r="F614" s="2" t="s">
        <v>2</v>
      </c>
      <c r="G614" s="2" t="str">
        <f>"02-27122211"</f>
        <v>02-27122211</v>
      </c>
      <c r="H614" s="2" t="s">
        <v>514</v>
      </c>
      <c r="I614" s="2" t="str">
        <f>"02-27189898"</f>
        <v>02-27189898</v>
      </c>
      <c r="J614" s="2" t="str">
        <f>"自105年05月16日至105年06月13日止"</f>
        <v>自105年05月16日至105年06月13日止</v>
      </c>
      <c r="K614" s="2" t="str">
        <f>"台灣集中保管結算所股份有限公司"</f>
        <v>台灣集中保管結算所股份有限公司</v>
      </c>
      <c r="L614" s="2" t="str">
        <f>"http://www.stockvote.com.tw"</f>
        <v>http://www.stockvote.com.tw</v>
      </c>
      <c r="M614" s="2" t="str">
        <f>"--"</f>
        <v>--</v>
      </c>
      <c r="N614" s="2"/>
      <c r="O614" s="2"/>
      <c r="P614" s="2"/>
      <c r="Q614" s="2"/>
    </row>
    <row r="615" spans="1:17" x14ac:dyDescent="0.3">
      <c r="A615" s="2" t="str">
        <f>"3533"</f>
        <v>3533</v>
      </c>
      <c r="B615" s="2" t="s">
        <v>1886</v>
      </c>
      <c r="C615" s="2" t="s">
        <v>1887</v>
      </c>
      <c r="D615" s="2" t="s">
        <v>6031</v>
      </c>
      <c r="E615" s="2" t="s">
        <v>1888</v>
      </c>
      <c r="F615" s="2" t="s">
        <v>41</v>
      </c>
      <c r="G615" s="2" t="str">
        <f>"02 24331110"</f>
        <v>02 24331110</v>
      </c>
      <c r="H615" s="2" t="s">
        <v>465</v>
      </c>
      <c r="I615" s="2" t="str">
        <f>"02 23816288"</f>
        <v>02 23816288</v>
      </c>
      <c r="J615" s="2" t="str">
        <f t="shared" ref="J615:L617" si="89">"--"</f>
        <v>--</v>
      </c>
      <c r="K615" s="2" t="str">
        <f t="shared" si="89"/>
        <v>--</v>
      </c>
      <c r="L615" s="2" t="str">
        <f t="shared" si="89"/>
        <v>--</v>
      </c>
      <c r="M615" s="2" t="str">
        <f>"否"</f>
        <v>否</v>
      </c>
      <c r="N615" s="2"/>
      <c r="O615" s="2"/>
      <c r="P615" s="2"/>
      <c r="Q615" s="2"/>
    </row>
    <row r="616" spans="1:17" x14ac:dyDescent="0.3">
      <c r="A616" s="2" t="str">
        <f>"3535"</f>
        <v>3535</v>
      </c>
      <c r="B616" s="2" t="s">
        <v>1889</v>
      </c>
      <c r="C616" s="2" t="s">
        <v>1890</v>
      </c>
      <c r="D616" s="2" t="s">
        <v>6010</v>
      </c>
      <c r="E616" s="2" t="s">
        <v>1891</v>
      </c>
      <c r="F616" s="2" t="s">
        <v>41</v>
      </c>
      <c r="G616" s="2" t="str">
        <f>"(03)5545988"</f>
        <v>(03)5545988</v>
      </c>
      <c r="H616" s="2" t="s">
        <v>465</v>
      </c>
      <c r="I616" s="2" t="str">
        <f>"(02)23816288"</f>
        <v>(02)23816288</v>
      </c>
      <c r="J616" s="2" t="str">
        <f t="shared" si="89"/>
        <v>--</v>
      </c>
      <c r="K616" s="2" t="str">
        <f t="shared" si="89"/>
        <v>--</v>
      </c>
      <c r="L616" s="2" t="str">
        <f t="shared" si="89"/>
        <v>--</v>
      </c>
      <c r="M616" s="2" t="str">
        <f>"--"</f>
        <v>--</v>
      </c>
      <c r="N616" s="2"/>
      <c r="O616" s="2"/>
      <c r="P616" s="2"/>
      <c r="Q616" s="2"/>
    </row>
    <row r="617" spans="1:17" x14ac:dyDescent="0.3">
      <c r="A617" s="2" t="str">
        <f>"3536"</f>
        <v>3536</v>
      </c>
      <c r="B617" s="2" t="s">
        <v>1892</v>
      </c>
      <c r="C617" s="2" t="s">
        <v>1893</v>
      </c>
      <c r="D617" s="2" t="s">
        <v>6042</v>
      </c>
      <c r="E617" s="2" t="s">
        <v>1894</v>
      </c>
      <c r="F617" s="2" t="s">
        <v>41</v>
      </c>
      <c r="G617" s="2" t="str">
        <f>"(02)27125050"</f>
        <v>(02)27125050</v>
      </c>
      <c r="H617" s="2" t="s">
        <v>6006</v>
      </c>
      <c r="I617" s="2" t="str">
        <f>"(02)2586-5859"</f>
        <v>(02)2586-5859</v>
      </c>
      <c r="J617" s="2" t="str">
        <f t="shared" si="89"/>
        <v>--</v>
      </c>
      <c r="K617" s="2" t="str">
        <f t="shared" si="89"/>
        <v>--</v>
      </c>
      <c r="L617" s="2" t="str">
        <f t="shared" si="89"/>
        <v>--</v>
      </c>
      <c r="M617" s="2" t="str">
        <f>"--"</f>
        <v>--</v>
      </c>
      <c r="N617" s="2"/>
      <c r="O617" s="2"/>
      <c r="P617" s="2"/>
      <c r="Q617" s="2"/>
    </row>
    <row r="618" spans="1:17" x14ac:dyDescent="0.3">
      <c r="A618" s="2" t="str">
        <f>"3545"</f>
        <v>3545</v>
      </c>
      <c r="B618" s="2" t="s">
        <v>131</v>
      </c>
      <c r="C618" s="2" t="s">
        <v>1895</v>
      </c>
      <c r="D618" s="2" t="s">
        <v>5999</v>
      </c>
      <c r="E618" s="2" t="s">
        <v>1896</v>
      </c>
      <c r="F618" s="2" t="s">
        <v>2</v>
      </c>
      <c r="G618" s="2" t="str">
        <f>"03-6661660"</f>
        <v>03-6661660</v>
      </c>
      <c r="H618" s="2" t="s">
        <v>404</v>
      </c>
      <c r="I618" s="2" t="str">
        <f>"02-6636-5566"</f>
        <v>02-6636-5566</v>
      </c>
      <c r="J618" s="2" t="str">
        <f>"自105年05月21日至105年06月19日止"</f>
        <v>自105年05月21日至105年06月19日止</v>
      </c>
      <c r="K618" s="2" t="str">
        <f>"台灣集中保管結算所股份有限公司"</f>
        <v>台灣集中保管結算所股份有限公司</v>
      </c>
      <c r="L618" s="2" t="str">
        <f>"http://www.stockvote.com.tw"</f>
        <v>http://www.stockvote.com.tw</v>
      </c>
      <c r="M618" s="2" t="str">
        <f>"--"</f>
        <v>--</v>
      </c>
      <c r="N618" s="2"/>
      <c r="O618" s="2"/>
      <c r="P618" s="2"/>
      <c r="Q618" s="2"/>
    </row>
    <row r="619" spans="1:17" x14ac:dyDescent="0.3">
      <c r="A619" s="2" t="str">
        <f>"3550"</f>
        <v>3550</v>
      </c>
      <c r="B619" s="2" t="s">
        <v>1897</v>
      </c>
      <c r="C619" s="2" t="s">
        <v>1898</v>
      </c>
      <c r="D619" s="2" t="s">
        <v>6000</v>
      </c>
      <c r="E619" s="2" t="s">
        <v>1899</v>
      </c>
      <c r="F619" s="2" t="s">
        <v>2</v>
      </c>
      <c r="G619" s="2" t="str">
        <f>"8226-5658"</f>
        <v>8226-5658</v>
      </c>
      <c r="H619" s="2" t="s">
        <v>541</v>
      </c>
      <c r="I619" s="2" t="str">
        <f>"3393-0898"</f>
        <v>3393-0898</v>
      </c>
      <c r="J619" s="2" t="str">
        <f t="shared" ref="J619:L621" si="90">"--"</f>
        <v>--</v>
      </c>
      <c r="K619" s="2" t="str">
        <f t="shared" si="90"/>
        <v>--</v>
      </c>
      <c r="L619" s="2" t="str">
        <f t="shared" si="90"/>
        <v>--</v>
      </c>
      <c r="M619" s="2" t="str">
        <f>"否"</f>
        <v>否</v>
      </c>
      <c r="N619" s="2"/>
      <c r="O619" s="2"/>
      <c r="P619" s="2"/>
      <c r="Q619" s="2"/>
    </row>
    <row r="620" spans="1:17" x14ac:dyDescent="0.3">
      <c r="A620" s="2" t="str">
        <f>"3557"</f>
        <v>3557</v>
      </c>
      <c r="B620" s="2" t="s">
        <v>1900</v>
      </c>
      <c r="C620" s="2" t="s">
        <v>1901</v>
      </c>
      <c r="D620" s="2" t="s">
        <v>6015</v>
      </c>
      <c r="E620" s="2" t="s">
        <v>6274</v>
      </c>
      <c r="F620" s="2" t="s">
        <v>41</v>
      </c>
      <c r="G620" s="2" t="str">
        <f>"(07)975-6999"</f>
        <v>(07)975-6999</v>
      </c>
      <c r="H620" s="2" t="s">
        <v>2863</v>
      </c>
      <c r="I620" s="2" t="str">
        <f>"(02)2361-1300"</f>
        <v>(02)2361-1300</v>
      </c>
      <c r="J620" s="2" t="str">
        <f t="shared" si="90"/>
        <v>--</v>
      </c>
      <c r="K620" s="2" t="str">
        <f t="shared" si="90"/>
        <v>--</v>
      </c>
      <c r="L620" s="2" t="str">
        <f t="shared" si="90"/>
        <v>--</v>
      </c>
      <c r="M620" s="2" t="str">
        <f>"否"</f>
        <v>否</v>
      </c>
      <c r="N620" s="2"/>
      <c r="O620" s="2"/>
      <c r="P620" s="2"/>
      <c r="Q620" s="2"/>
    </row>
    <row r="621" spans="1:17" x14ac:dyDescent="0.3">
      <c r="A621" s="2" t="str">
        <f>"3559"</f>
        <v>3559</v>
      </c>
      <c r="B621" s="2" t="s">
        <v>157</v>
      </c>
      <c r="C621" s="2" t="s">
        <v>1902</v>
      </c>
      <c r="D621" s="2" t="s">
        <v>6024</v>
      </c>
      <c r="E621" s="2" t="s">
        <v>1903</v>
      </c>
      <c r="F621" s="2" t="s">
        <v>41</v>
      </c>
      <c r="G621" s="2" t="str">
        <f>"03-6116168"</f>
        <v>03-6116168</v>
      </c>
      <c r="H621" s="2" t="s">
        <v>465</v>
      </c>
      <c r="I621" s="2" t="str">
        <f>"02-23816288"</f>
        <v>02-23816288</v>
      </c>
      <c r="J621" s="2" t="str">
        <f t="shared" si="90"/>
        <v>--</v>
      </c>
      <c r="K621" s="2" t="str">
        <f t="shared" si="90"/>
        <v>--</v>
      </c>
      <c r="L621" s="2" t="str">
        <f t="shared" si="90"/>
        <v>--</v>
      </c>
      <c r="M621" s="2" t="str">
        <f>"--"</f>
        <v>--</v>
      </c>
      <c r="N621" s="2"/>
      <c r="O621" s="2"/>
      <c r="P621" s="2"/>
      <c r="Q621" s="2"/>
    </row>
    <row r="622" spans="1:17" x14ac:dyDescent="0.3">
      <c r="A622" s="2" t="str">
        <f>"3561"</f>
        <v>3561</v>
      </c>
      <c r="B622" s="2" t="s">
        <v>365</v>
      </c>
      <c r="C622" s="2" t="s">
        <v>1904</v>
      </c>
      <c r="D622" s="2" t="s">
        <v>6010</v>
      </c>
      <c r="E622" s="2" t="s">
        <v>1905</v>
      </c>
      <c r="F622" s="2" t="s">
        <v>2</v>
      </c>
      <c r="G622" s="2" t="str">
        <f>"(03)5276888"</f>
        <v>(03)5276888</v>
      </c>
      <c r="H622" s="2" t="s">
        <v>431</v>
      </c>
      <c r="I622" s="2" t="str">
        <f>"(02)27023999"</f>
        <v>(02)27023999</v>
      </c>
      <c r="J622" s="2" t="str">
        <f>"自105年05月25日至105年06月21日止"</f>
        <v>自105年05月25日至105年06月21日止</v>
      </c>
      <c r="K622" s="2" t="str">
        <f>"台灣集中保管結算所股份有限公司"</f>
        <v>台灣集中保管結算所股份有限公司</v>
      </c>
      <c r="L622" s="2" t="str">
        <f>"http://www.stockvote.com.tw"</f>
        <v>http://www.stockvote.com.tw</v>
      </c>
      <c r="M622" s="2" t="str">
        <f>"強制"</f>
        <v>強制</v>
      </c>
      <c r="N622" s="2"/>
      <c r="O622" s="2"/>
      <c r="P622" s="2"/>
      <c r="Q622" s="2"/>
    </row>
    <row r="623" spans="1:17" x14ac:dyDescent="0.3">
      <c r="A623" s="2" t="str">
        <f>"3573"</f>
        <v>3573</v>
      </c>
      <c r="B623" s="2" t="s">
        <v>159</v>
      </c>
      <c r="C623" s="2" t="s">
        <v>1906</v>
      </c>
      <c r="D623" s="2" t="s">
        <v>5999</v>
      </c>
      <c r="E623" s="2" t="s">
        <v>6275</v>
      </c>
      <c r="F623" s="2" t="s">
        <v>2</v>
      </c>
      <c r="G623" s="2" t="str">
        <f>"(03)262-3311"</f>
        <v>(03)262-3311</v>
      </c>
      <c r="H623" s="2" t="s">
        <v>745</v>
      </c>
      <c r="I623" s="2" t="str">
        <f>"(02)2768-6668"</f>
        <v>(02)2768-6668</v>
      </c>
      <c r="J623" s="2" t="str">
        <f>"--"</f>
        <v>--</v>
      </c>
      <c r="K623" s="2" t="str">
        <f>"--"</f>
        <v>--</v>
      </c>
      <c r="L623" s="2" t="str">
        <f>"--"</f>
        <v>--</v>
      </c>
      <c r="M623" s="2" t="str">
        <f>"否"</f>
        <v>否</v>
      </c>
      <c r="N623" s="2"/>
      <c r="O623" s="2"/>
      <c r="P623" s="2"/>
      <c r="Q623" s="2"/>
    </row>
    <row r="624" spans="1:17" x14ac:dyDescent="0.3">
      <c r="A624" s="2"/>
      <c r="B624" s="2"/>
      <c r="C624" s="2"/>
      <c r="D624" s="2"/>
      <c r="E624" s="2"/>
      <c r="F624" s="2"/>
      <c r="G624" s="2"/>
      <c r="H624" s="2"/>
      <c r="I624" s="2"/>
      <c r="J624" s="2"/>
      <c r="K624" s="2"/>
      <c r="L624" s="2"/>
      <c r="M624" s="2"/>
      <c r="N624" s="2"/>
      <c r="O624" s="2"/>
      <c r="P624" s="2"/>
      <c r="Q624" s="2"/>
    </row>
    <row r="625" spans="1:17" x14ac:dyDescent="0.3">
      <c r="A625" s="2" t="str">
        <f>"3576"</f>
        <v>3576</v>
      </c>
      <c r="B625" s="2" t="s">
        <v>347</v>
      </c>
      <c r="C625" s="2" t="s">
        <v>1908</v>
      </c>
      <c r="D625" s="2" t="s">
        <v>6028</v>
      </c>
      <c r="E625" s="2" t="s">
        <v>6276</v>
      </c>
      <c r="F625" s="2" t="s">
        <v>41</v>
      </c>
      <c r="G625" s="2" t="str">
        <f>"(03)578-0011"</f>
        <v>(03)578-0011</v>
      </c>
      <c r="H625" s="2" t="s">
        <v>404</v>
      </c>
      <c r="I625" s="2" t="str">
        <f>"(02)6636-5566"</f>
        <v>(02)6636-5566</v>
      </c>
      <c r="J625" s="2" t="str">
        <f>"自105年05月17日至105年06月13日止"</f>
        <v>自105年05月17日至105年06月13日止</v>
      </c>
      <c r="K625" s="2" t="str">
        <f>"台灣集中保管結算所股份有限公司"</f>
        <v>台灣集中保管結算所股份有限公司</v>
      </c>
      <c r="L625" s="2" t="str">
        <f>"http://www.stockvote.com.tw"</f>
        <v>http://www.stockvote.com.tw</v>
      </c>
      <c r="M625" s="2" t="str">
        <f>"強制"</f>
        <v>強制</v>
      </c>
      <c r="N625" s="2"/>
      <c r="O625" s="2"/>
      <c r="P625" s="2"/>
      <c r="Q625" s="2"/>
    </row>
    <row r="626" spans="1:17" x14ac:dyDescent="0.3">
      <c r="A626" s="2" t="str">
        <f>"3579"</f>
        <v>3579</v>
      </c>
      <c r="B626" s="2" t="s">
        <v>1909</v>
      </c>
      <c r="C626" s="2" t="s">
        <v>1881</v>
      </c>
      <c r="D626" s="2" t="s">
        <v>6007</v>
      </c>
      <c r="E626" s="2" t="s">
        <v>1910</v>
      </c>
      <c r="F626" s="2" t="s">
        <v>41</v>
      </c>
      <c r="G626" s="2" t="str">
        <f>"03-3852130"</f>
        <v>03-3852130</v>
      </c>
      <c r="H626" s="2" t="s">
        <v>1911</v>
      </c>
      <c r="I626" s="2" t="str">
        <f>"02-2541-9977"</f>
        <v>02-2541-9977</v>
      </c>
      <c r="J626" s="2" t="str">
        <f>"--"</f>
        <v>--</v>
      </c>
      <c r="K626" s="2" t="str">
        <f>"--"</f>
        <v>--</v>
      </c>
      <c r="L626" s="2" t="str">
        <f>"--"</f>
        <v>--</v>
      </c>
      <c r="M626" s="2" t="str">
        <f>"--"</f>
        <v>--</v>
      </c>
      <c r="N626" s="2"/>
      <c r="O626" s="2"/>
      <c r="P626" s="2"/>
      <c r="Q626" s="2"/>
    </row>
    <row r="627" spans="1:17" x14ac:dyDescent="0.3">
      <c r="A627" s="2" t="str">
        <f>"3583"</f>
        <v>3583</v>
      </c>
      <c r="B627" s="2" t="s">
        <v>1912</v>
      </c>
      <c r="C627" s="2" t="s">
        <v>1913</v>
      </c>
      <c r="D627" s="2" t="s">
        <v>6024</v>
      </c>
      <c r="E627" s="2" t="s">
        <v>1914</v>
      </c>
      <c r="F627" s="2" t="s">
        <v>41</v>
      </c>
      <c r="G627" s="2" t="str">
        <f>"02-8751-2323"</f>
        <v>02-8751-2323</v>
      </c>
      <c r="H627" s="2" t="s">
        <v>404</v>
      </c>
      <c r="I627" s="2" t="str">
        <f>"02-6636-5566"</f>
        <v>02-6636-5566</v>
      </c>
      <c r="J627" s="2" t="str">
        <f t="shared" ref="J627:L637" si="91">"--"</f>
        <v>--</v>
      </c>
      <c r="K627" s="2" t="str">
        <f t="shared" si="91"/>
        <v>--</v>
      </c>
      <c r="L627" s="2" t="str">
        <f t="shared" si="91"/>
        <v>--</v>
      </c>
      <c r="M627" s="2" t="str">
        <f>"否"</f>
        <v>否</v>
      </c>
      <c r="N627" s="2"/>
      <c r="O627" s="2"/>
      <c r="P627" s="2"/>
      <c r="Q627" s="2"/>
    </row>
    <row r="628" spans="1:17" x14ac:dyDescent="0.3">
      <c r="A628" s="2" t="str">
        <f>"3588"</f>
        <v>3588</v>
      </c>
      <c r="B628" s="2" t="s">
        <v>182</v>
      </c>
      <c r="C628" s="2" t="s">
        <v>6277</v>
      </c>
      <c r="D628" s="2" t="s">
        <v>6000</v>
      </c>
      <c r="E628" s="2" t="s">
        <v>6278</v>
      </c>
      <c r="F628" s="2" t="s">
        <v>41</v>
      </c>
      <c r="G628" s="2" t="str">
        <f>"03-5543588"</f>
        <v>03-5543588</v>
      </c>
      <c r="H628" s="2" t="s">
        <v>411</v>
      </c>
      <c r="I628" s="2" t="str">
        <f>"02-2702-3999"</f>
        <v>02-2702-3999</v>
      </c>
      <c r="J628" s="2" t="str">
        <f t="shared" si="91"/>
        <v>--</v>
      </c>
      <c r="K628" s="2" t="str">
        <f t="shared" si="91"/>
        <v>--</v>
      </c>
      <c r="L628" s="2" t="str">
        <f t="shared" si="91"/>
        <v>--</v>
      </c>
      <c r="M628" s="2" t="str">
        <f>"--"</f>
        <v>--</v>
      </c>
      <c r="N628" s="2"/>
      <c r="O628" s="2"/>
      <c r="P628" s="2"/>
      <c r="Q628" s="2"/>
    </row>
    <row r="629" spans="1:17" x14ac:dyDescent="0.3">
      <c r="A629" s="2" t="str">
        <f>"3591"</f>
        <v>3591</v>
      </c>
      <c r="B629" s="2" t="s">
        <v>360</v>
      </c>
      <c r="C629" s="2" t="s">
        <v>1915</v>
      </c>
      <c r="D629" s="2" t="s">
        <v>6002</v>
      </c>
      <c r="E629" s="2" t="s">
        <v>1916</v>
      </c>
      <c r="F629" s="2" t="s">
        <v>41</v>
      </c>
      <c r="G629" s="2" t="str">
        <f>"(02)8227-6996"</f>
        <v>(02)8227-6996</v>
      </c>
      <c r="H629" s="2" t="s">
        <v>465</v>
      </c>
      <c r="I629" s="2" t="str">
        <f>"(02)2381-6288"</f>
        <v>(02)2381-6288</v>
      </c>
      <c r="J629" s="2" t="str">
        <f t="shared" si="91"/>
        <v>--</v>
      </c>
      <c r="K629" s="2" t="str">
        <f t="shared" si="91"/>
        <v>--</v>
      </c>
      <c r="L629" s="2" t="str">
        <f t="shared" si="91"/>
        <v>--</v>
      </c>
      <c r="M629" s="2" t="str">
        <f>"否"</f>
        <v>否</v>
      </c>
      <c r="N629" s="2"/>
      <c r="O629" s="2"/>
      <c r="P629" s="2"/>
      <c r="Q629" s="2"/>
    </row>
    <row r="630" spans="1:17" x14ac:dyDescent="0.3">
      <c r="A630" s="2" t="str">
        <f>"3593"</f>
        <v>3593</v>
      </c>
      <c r="B630" s="2" t="s">
        <v>247</v>
      </c>
      <c r="C630" s="2" t="s">
        <v>6279</v>
      </c>
      <c r="D630" s="2" t="s">
        <v>6001</v>
      </c>
      <c r="E630" s="2" t="s">
        <v>6280</v>
      </c>
      <c r="F630" s="2" t="s">
        <v>2</v>
      </c>
      <c r="G630" s="2" t="str">
        <f>"07-3433776"</f>
        <v>07-3433776</v>
      </c>
      <c r="H630" s="2" t="s">
        <v>1917</v>
      </c>
      <c r="I630" s="2" t="str">
        <f>"0287982301"</f>
        <v>0287982301</v>
      </c>
      <c r="J630" s="2" t="str">
        <f t="shared" si="91"/>
        <v>--</v>
      </c>
      <c r="K630" s="2" t="str">
        <f t="shared" si="91"/>
        <v>--</v>
      </c>
      <c r="L630" s="2" t="str">
        <f t="shared" si="91"/>
        <v>--</v>
      </c>
      <c r="M630" s="2" t="str">
        <f>"--"</f>
        <v>--</v>
      </c>
      <c r="N630" s="2"/>
      <c r="O630" s="2"/>
      <c r="P630" s="2"/>
      <c r="Q630" s="2"/>
    </row>
    <row r="631" spans="1:17" x14ac:dyDescent="0.3">
      <c r="A631" s="2" t="str">
        <f>"3596"</f>
        <v>3596</v>
      </c>
      <c r="B631" s="2" t="s">
        <v>1918</v>
      </c>
      <c r="C631" s="2" t="s">
        <v>1919</v>
      </c>
      <c r="D631" s="2" t="s">
        <v>6007</v>
      </c>
      <c r="E631" s="2" t="s">
        <v>1920</v>
      </c>
      <c r="F631" s="2" t="s">
        <v>2</v>
      </c>
      <c r="G631" s="2" t="str">
        <f>"(03)5727000"</f>
        <v>(03)5727000</v>
      </c>
      <c r="H631" s="2" t="s">
        <v>404</v>
      </c>
      <c r="I631" s="2" t="str">
        <f>"02-66365566"</f>
        <v>02-66365566</v>
      </c>
      <c r="J631" s="2" t="str">
        <f t="shared" si="91"/>
        <v>--</v>
      </c>
      <c r="K631" s="2" t="str">
        <f t="shared" si="91"/>
        <v>--</v>
      </c>
      <c r="L631" s="2" t="str">
        <f t="shared" si="91"/>
        <v>--</v>
      </c>
      <c r="M631" s="2" t="str">
        <f>"尚未確定"</f>
        <v>尚未確定</v>
      </c>
      <c r="N631" s="2"/>
      <c r="O631" s="2"/>
      <c r="P631" s="2"/>
      <c r="Q631" s="2"/>
    </row>
    <row r="632" spans="1:17" x14ac:dyDescent="0.3">
      <c r="A632" s="2" t="str">
        <f>"3605"</f>
        <v>3605</v>
      </c>
      <c r="B632" s="2" t="s">
        <v>242</v>
      </c>
      <c r="C632" s="2" t="s">
        <v>6281</v>
      </c>
      <c r="D632" s="2" t="s">
        <v>6007</v>
      </c>
      <c r="E632" s="2" t="s">
        <v>1907</v>
      </c>
      <c r="F632" s="2" t="s">
        <v>41</v>
      </c>
      <c r="G632" s="2" t="str">
        <f>"(03)4632808"</f>
        <v>(03)4632808</v>
      </c>
      <c r="H632" s="2" t="s">
        <v>415</v>
      </c>
      <c r="I632" s="2" t="str">
        <f>"(02)2389-2999"</f>
        <v>(02)2389-2999</v>
      </c>
      <c r="J632" s="2" t="str">
        <f t="shared" si="91"/>
        <v>--</v>
      </c>
      <c r="K632" s="2" t="str">
        <f t="shared" si="91"/>
        <v>--</v>
      </c>
      <c r="L632" s="2" t="str">
        <f t="shared" si="91"/>
        <v>--</v>
      </c>
      <c r="M632" s="2" t="str">
        <f>"否"</f>
        <v>否</v>
      </c>
      <c r="N632" s="2"/>
      <c r="O632" s="2"/>
      <c r="P632" s="2"/>
      <c r="Q632" s="2"/>
    </row>
    <row r="633" spans="1:17" x14ac:dyDescent="0.3">
      <c r="A633" s="2" t="str">
        <f>"3607"</f>
        <v>3607</v>
      </c>
      <c r="B633" s="2" t="s">
        <v>32</v>
      </c>
      <c r="C633" s="2" t="s">
        <v>1921</v>
      </c>
      <c r="D633" s="2" t="s">
        <v>6031</v>
      </c>
      <c r="E633" s="2" t="s">
        <v>1922</v>
      </c>
      <c r="F633" s="2" t="s">
        <v>41</v>
      </c>
      <c r="G633" s="2" t="str">
        <f>"03-4252153"</f>
        <v>03-4252153</v>
      </c>
      <c r="H633" s="2" t="s">
        <v>456</v>
      </c>
      <c r="I633" s="2" t="str">
        <f>"02-25048125"</f>
        <v>02-25048125</v>
      </c>
      <c r="J633" s="2" t="str">
        <f t="shared" si="91"/>
        <v>--</v>
      </c>
      <c r="K633" s="2" t="str">
        <f t="shared" si="91"/>
        <v>--</v>
      </c>
      <c r="L633" s="2" t="str">
        <f t="shared" si="91"/>
        <v>--</v>
      </c>
      <c r="M633" s="2" t="str">
        <f>"否"</f>
        <v>否</v>
      </c>
      <c r="N633" s="2"/>
      <c r="O633" s="2"/>
      <c r="P633" s="2"/>
      <c r="Q633" s="2"/>
    </row>
    <row r="634" spans="1:17" x14ac:dyDescent="0.3">
      <c r="A634" s="2" t="str">
        <f>"3617"</f>
        <v>3617</v>
      </c>
      <c r="B634" s="2" t="s">
        <v>1923</v>
      </c>
      <c r="C634" s="2" t="s">
        <v>1924</v>
      </c>
      <c r="D634" s="2" t="s">
        <v>6025</v>
      </c>
      <c r="E634" s="2" t="s">
        <v>1925</v>
      </c>
      <c r="F634" s="2" t="s">
        <v>2</v>
      </c>
      <c r="G634" s="2" t="str">
        <f>"2651-8699"</f>
        <v>2651-8699</v>
      </c>
      <c r="H634" s="2" t="s">
        <v>1926</v>
      </c>
      <c r="I634" s="2" t="str">
        <f>"27023999"</f>
        <v>27023999</v>
      </c>
      <c r="J634" s="2" t="str">
        <f t="shared" si="91"/>
        <v>--</v>
      </c>
      <c r="K634" s="2" t="str">
        <f t="shared" si="91"/>
        <v>--</v>
      </c>
      <c r="L634" s="2" t="str">
        <f t="shared" si="91"/>
        <v>--</v>
      </c>
      <c r="M634" s="2" t="str">
        <f>"--"</f>
        <v>--</v>
      </c>
      <c r="N634" s="2"/>
      <c r="O634" s="2"/>
      <c r="P634" s="2"/>
      <c r="Q634" s="2"/>
    </row>
    <row r="635" spans="1:17" x14ac:dyDescent="0.3">
      <c r="A635" s="2" t="str">
        <f>"3622"</f>
        <v>3622</v>
      </c>
      <c r="B635" s="2" t="s">
        <v>229</v>
      </c>
      <c r="C635" s="2" t="s">
        <v>6282</v>
      </c>
      <c r="D635" s="2" t="s">
        <v>6021</v>
      </c>
      <c r="E635" s="2" t="s">
        <v>1927</v>
      </c>
      <c r="F635" s="2" t="s">
        <v>2</v>
      </c>
      <c r="G635" s="2" t="str">
        <f>"03-4833665"</f>
        <v>03-4833665</v>
      </c>
      <c r="H635" s="2" t="s">
        <v>1928</v>
      </c>
      <c r="I635" s="2" t="str">
        <f>"(02)8787-1888"</f>
        <v>(02)8787-1888</v>
      </c>
      <c r="J635" s="2" t="str">
        <f t="shared" si="91"/>
        <v>--</v>
      </c>
      <c r="K635" s="2" t="str">
        <f t="shared" si="91"/>
        <v>--</v>
      </c>
      <c r="L635" s="2" t="str">
        <f t="shared" si="91"/>
        <v>--</v>
      </c>
      <c r="M635" s="2" t="str">
        <f>"否"</f>
        <v>否</v>
      </c>
      <c r="N635" s="2"/>
      <c r="O635" s="2"/>
      <c r="P635" s="2"/>
      <c r="Q635" s="2"/>
    </row>
    <row r="636" spans="1:17" x14ac:dyDescent="0.3">
      <c r="A636" s="2" t="str">
        <f>"3645"</f>
        <v>3645</v>
      </c>
      <c r="B636" s="2" t="s">
        <v>318</v>
      </c>
      <c r="C636" s="2" t="s">
        <v>1929</v>
      </c>
      <c r="D636" s="2" t="s">
        <v>6010</v>
      </c>
      <c r="E636" s="2" t="s">
        <v>1930</v>
      </c>
      <c r="F636" s="2" t="s">
        <v>2</v>
      </c>
      <c r="G636" s="2" t="str">
        <f>"03-5896088"</f>
        <v>03-5896088</v>
      </c>
      <c r="H636" s="2" t="s">
        <v>431</v>
      </c>
      <c r="I636" s="2" t="str">
        <f>"02-2702-3999"</f>
        <v>02-2702-3999</v>
      </c>
      <c r="J636" s="2" t="str">
        <f t="shared" si="91"/>
        <v>--</v>
      </c>
      <c r="K636" s="2" t="str">
        <f t="shared" si="91"/>
        <v>--</v>
      </c>
      <c r="L636" s="2" t="str">
        <f t="shared" si="91"/>
        <v>--</v>
      </c>
      <c r="M636" s="2" t="str">
        <f>"--"</f>
        <v>--</v>
      </c>
      <c r="N636" s="2"/>
      <c r="O636" s="2"/>
      <c r="P636" s="2"/>
      <c r="Q636" s="2"/>
    </row>
    <row r="637" spans="1:17" x14ac:dyDescent="0.3">
      <c r="A637" s="2" t="str">
        <f>"3653"</f>
        <v>3653</v>
      </c>
      <c r="B637" s="2" t="s">
        <v>1931</v>
      </c>
      <c r="C637" s="2" t="s">
        <v>1932</v>
      </c>
      <c r="D637" s="2" t="s">
        <v>6024</v>
      </c>
      <c r="E637" s="2" t="s">
        <v>6283</v>
      </c>
      <c r="F637" s="2" t="s">
        <v>41</v>
      </c>
      <c r="G637" s="2" t="str">
        <f>"03-2115678"</f>
        <v>03-2115678</v>
      </c>
      <c r="H637" s="2" t="s">
        <v>667</v>
      </c>
      <c r="I637" s="2" t="str">
        <f>"02-2361-1300"</f>
        <v>02-2361-1300</v>
      </c>
      <c r="J637" s="2" t="str">
        <f t="shared" si="91"/>
        <v>--</v>
      </c>
      <c r="K637" s="2" t="str">
        <f t="shared" si="91"/>
        <v>--</v>
      </c>
      <c r="L637" s="2" t="str">
        <f t="shared" si="91"/>
        <v>--</v>
      </c>
      <c r="M637" s="2" t="str">
        <f>"否"</f>
        <v>否</v>
      </c>
      <c r="N637" s="2"/>
      <c r="O637" s="2"/>
      <c r="P637" s="2"/>
      <c r="Q637" s="2"/>
    </row>
    <row r="638" spans="1:17" x14ac:dyDescent="0.3">
      <c r="A638" s="2" t="str">
        <f>"3661"</f>
        <v>3661</v>
      </c>
      <c r="B638" s="2" t="s">
        <v>1933</v>
      </c>
      <c r="C638" s="2" t="s">
        <v>1934</v>
      </c>
      <c r="D638" s="2" t="s">
        <v>6010</v>
      </c>
      <c r="E638" s="2" t="s">
        <v>1935</v>
      </c>
      <c r="F638" s="2" t="s">
        <v>41</v>
      </c>
      <c r="G638" s="2" t="str">
        <f>"02-27992318"</f>
        <v>02-27992318</v>
      </c>
      <c r="H638" s="2" t="s">
        <v>404</v>
      </c>
      <c r="I638" s="2" t="str">
        <f>"02-66365566"</f>
        <v>02-66365566</v>
      </c>
      <c r="J638" s="2" t="str">
        <f>"自105年05月25日至105年06月21日止"</f>
        <v>自105年05月25日至105年06月21日止</v>
      </c>
      <c r="K638" s="2" t="str">
        <f>"台灣集中保管結算所股份有限公司"</f>
        <v>台灣集中保管結算所股份有限公司</v>
      </c>
      <c r="L638" s="2" t="str">
        <f>"http://www.stockvote.com.tw"</f>
        <v>http://www.stockvote.com.tw</v>
      </c>
      <c r="M638" s="2" t="str">
        <f>"--"</f>
        <v>--</v>
      </c>
      <c r="N638" s="2"/>
      <c r="O638" s="2"/>
      <c r="P638" s="2"/>
      <c r="Q638" s="2"/>
    </row>
    <row r="639" spans="1:17" x14ac:dyDescent="0.3">
      <c r="A639" s="2" t="str">
        <f>"3665"</f>
        <v>3665</v>
      </c>
      <c r="B639" s="2" t="s">
        <v>1936</v>
      </c>
      <c r="C639" s="2" t="s">
        <v>1937</v>
      </c>
      <c r="D639" s="2" t="s">
        <v>6002</v>
      </c>
      <c r="E639" s="2" t="s">
        <v>1938</v>
      </c>
      <c r="F639" s="2" t="s">
        <v>2</v>
      </c>
      <c r="G639" s="2" t="str">
        <f>"02-82261000"</f>
        <v>02-82261000</v>
      </c>
      <c r="H639" s="2" t="s">
        <v>556</v>
      </c>
      <c r="I639" s="2" t="str">
        <f>"(02)2371-1658"</f>
        <v>(02)2371-1658</v>
      </c>
      <c r="J639" s="2" t="str">
        <f>"自105年05月14日至105年06月12日止"</f>
        <v>自105年05月14日至105年06月12日止</v>
      </c>
      <c r="K639" s="2" t="str">
        <f>"台灣集中保管結算所股份有限公司"</f>
        <v>台灣集中保管結算所股份有限公司</v>
      </c>
      <c r="L639" s="2" t="str">
        <f>"http://www.stockvote.com.tw"</f>
        <v>http://www.stockvote.com.tw</v>
      </c>
      <c r="M639" s="2" t="str">
        <f>"--"</f>
        <v>--</v>
      </c>
      <c r="N639" s="2"/>
      <c r="O639" s="2"/>
      <c r="P639" s="2"/>
      <c r="Q639" s="2"/>
    </row>
    <row r="640" spans="1:17" x14ac:dyDescent="0.3">
      <c r="A640" s="2" t="str">
        <f>"3669"</f>
        <v>3669</v>
      </c>
      <c r="B640" s="2" t="s">
        <v>1939</v>
      </c>
      <c r="C640" s="2" t="s">
        <v>1940</v>
      </c>
      <c r="D640" s="2" t="s">
        <v>6025</v>
      </c>
      <c r="E640" s="2" t="s">
        <v>1941</v>
      </c>
      <c r="F640" s="2" t="s">
        <v>41</v>
      </c>
      <c r="G640" s="2" t="str">
        <f>"22698535"</f>
        <v>22698535</v>
      </c>
      <c r="H640" s="2" t="s">
        <v>465</v>
      </c>
      <c r="I640" s="2" t="str">
        <f>"23816288"</f>
        <v>23816288</v>
      </c>
      <c r="J640" s="2" t="str">
        <f>"--"</f>
        <v>--</v>
      </c>
      <c r="K640" s="2" t="str">
        <f>"--"</f>
        <v>--</v>
      </c>
      <c r="L640" s="2" t="str">
        <f>"--"</f>
        <v>--</v>
      </c>
      <c r="M640" s="2" t="str">
        <f>"否"</f>
        <v>否</v>
      </c>
      <c r="N640" s="2"/>
      <c r="O640" s="2"/>
      <c r="P640" s="2"/>
      <c r="Q640" s="2"/>
    </row>
    <row r="641" spans="1:17" x14ac:dyDescent="0.3">
      <c r="A641" s="2" t="str">
        <f>"3673"</f>
        <v>3673</v>
      </c>
      <c r="B641" s="2" t="s">
        <v>1942</v>
      </c>
      <c r="C641" s="2" t="s">
        <v>1943</v>
      </c>
      <c r="D641" s="2" t="s">
        <v>6034</v>
      </c>
      <c r="E641" s="2" t="s">
        <v>6284</v>
      </c>
      <c r="F641" s="2" t="s">
        <v>41</v>
      </c>
      <c r="G641" s="2" t="str">
        <f>"02-7727-1199"</f>
        <v>02-7727-1199</v>
      </c>
      <c r="H641" s="2" t="s">
        <v>6006</v>
      </c>
      <c r="I641" s="2" t="str">
        <f>"02-2586-5859"</f>
        <v>02-2586-5859</v>
      </c>
      <c r="J641" s="2" t="str">
        <f>"自105年04月27日至105年05月24日止"</f>
        <v>自105年04月27日至105年05月24日止</v>
      </c>
      <c r="K641" s="2" t="str">
        <f>"台灣集中保管結算所股份有限公司"</f>
        <v>台灣集中保管結算所股份有限公司</v>
      </c>
      <c r="L641" s="2" t="str">
        <f>"http://www.stockvote.com.tw"</f>
        <v>http://www.stockvote.com.tw</v>
      </c>
      <c r="M641" s="2" t="str">
        <f>"強制"</f>
        <v>強制</v>
      </c>
      <c r="N641" s="2"/>
      <c r="O641" s="2"/>
      <c r="P641" s="2"/>
      <c r="Q641" s="2"/>
    </row>
    <row r="642" spans="1:17" x14ac:dyDescent="0.3">
      <c r="A642" s="2" t="str">
        <f>"3679"</f>
        <v>3679</v>
      </c>
      <c r="B642" s="2" t="s">
        <v>1944</v>
      </c>
      <c r="C642" s="2" t="s">
        <v>1945</v>
      </c>
      <c r="D642" s="2" t="s">
        <v>6024</v>
      </c>
      <c r="E642" s="2" t="s">
        <v>1946</v>
      </c>
      <c r="F642" s="2" t="s">
        <v>41</v>
      </c>
      <c r="G642" s="2" t="str">
        <f>"(02)2998-3578"</f>
        <v>(02)2998-3578</v>
      </c>
      <c r="H642" s="2" t="s">
        <v>404</v>
      </c>
      <c r="I642" s="2" t="str">
        <f>"(02)6636-5566"</f>
        <v>(02)6636-5566</v>
      </c>
      <c r="J642" s="2" t="str">
        <f>"--"</f>
        <v>--</v>
      </c>
      <c r="K642" s="2" t="str">
        <f>"--"</f>
        <v>--</v>
      </c>
      <c r="L642" s="2" t="str">
        <f>"--"</f>
        <v>--</v>
      </c>
      <c r="M642" s="2" t="str">
        <f>"否"</f>
        <v>否</v>
      </c>
      <c r="N642" s="2"/>
      <c r="O642" s="2"/>
      <c r="P642" s="2"/>
      <c r="Q642" s="2"/>
    </row>
    <row r="643" spans="1:17" x14ac:dyDescent="0.3">
      <c r="A643" s="2" t="str">
        <f>"3682"</f>
        <v>3682</v>
      </c>
      <c r="B643" s="2" t="s">
        <v>1947</v>
      </c>
      <c r="C643" s="2" t="s">
        <v>6285</v>
      </c>
      <c r="D643" s="2" t="s">
        <v>5999</v>
      </c>
      <c r="E643" s="2" t="s">
        <v>6286</v>
      </c>
      <c r="F643" s="2" t="s">
        <v>41</v>
      </c>
      <c r="G643" s="2" t="str">
        <f>"(02)5555-8888"</f>
        <v>(02)5555-8888</v>
      </c>
      <c r="H643" s="2" t="s">
        <v>431</v>
      </c>
      <c r="I643" s="2" t="str">
        <f>"(02)2702-3999"</f>
        <v>(02)2702-3999</v>
      </c>
      <c r="J643" s="2" t="str">
        <f>"自105年05月23日至105年06月19日止"</f>
        <v>自105年05月23日至105年06月19日止</v>
      </c>
      <c r="K643" s="2" t="str">
        <f>"台灣集中保管結算所股份有限公司"</f>
        <v>台灣集中保管結算所股份有限公司</v>
      </c>
      <c r="L643" s="2" t="str">
        <f>"http://www.stockvote.com.tw"</f>
        <v>http://www.stockvote.com.tw</v>
      </c>
      <c r="M643" s="2" t="str">
        <f>"--"</f>
        <v>--</v>
      </c>
      <c r="N643" s="2"/>
      <c r="O643" s="2"/>
      <c r="P643" s="2"/>
      <c r="Q643" s="2"/>
    </row>
    <row r="644" spans="1:17" x14ac:dyDescent="0.3">
      <c r="A644" s="2" t="str">
        <f>"3686"</f>
        <v>3686</v>
      </c>
      <c r="B644" s="2" t="s">
        <v>173</v>
      </c>
      <c r="C644" s="2" t="s">
        <v>6287</v>
      </c>
      <c r="D644" s="2" t="s">
        <v>6037</v>
      </c>
      <c r="E644" s="2" t="s">
        <v>1948</v>
      </c>
      <c r="F644" s="2" t="s">
        <v>2</v>
      </c>
      <c r="G644" s="2" t="str">
        <f>"(03)473-8788"</f>
        <v>(03)473-8788</v>
      </c>
      <c r="H644" s="2" t="s">
        <v>404</v>
      </c>
      <c r="I644" s="2" t="str">
        <f>"(02)6636-5566"</f>
        <v>(02)6636-5566</v>
      </c>
      <c r="J644" s="2" t="str">
        <f>"自105年04月30日至105年05月28日止"</f>
        <v>自105年04月30日至105年05月28日止</v>
      </c>
      <c r="K644" s="2" t="str">
        <f>"台灣集中保管結算所股份有限公司"</f>
        <v>台灣集中保管結算所股份有限公司</v>
      </c>
      <c r="L644" s="2" t="str">
        <f>"http://www.stockvote.com.tw"</f>
        <v>http://www.stockvote.com.tw</v>
      </c>
      <c r="M644" s="2" t="str">
        <f>"強制"</f>
        <v>強制</v>
      </c>
      <c r="N644" s="2"/>
      <c r="O644" s="2"/>
      <c r="P644" s="2"/>
      <c r="Q644" s="2"/>
    </row>
    <row r="645" spans="1:17" x14ac:dyDescent="0.3">
      <c r="A645" s="2" t="str">
        <f>"3694"</f>
        <v>3694</v>
      </c>
      <c r="B645" s="2" t="s">
        <v>1949</v>
      </c>
      <c r="C645" s="2" t="s">
        <v>1950</v>
      </c>
      <c r="D645" s="2" t="s">
        <v>6028</v>
      </c>
      <c r="E645" s="2" t="s">
        <v>1951</v>
      </c>
      <c r="F645" s="2" t="s">
        <v>2</v>
      </c>
      <c r="G645" s="2" t="str">
        <f>"02-55995599"</f>
        <v>02-55995599</v>
      </c>
      <c r="H645" s="2" t="s">
        <v>6006</v>
      </c>
      <c r="I645" s="2" t="str">
        <f>"02-25865859"</f>
        <v>02-25865859</v>
      </c>
      <c r="J645" s="2" t="str">
        <f>"--"</f>
        <v>--</v>
      </c>
      <c r="K645" s="2" t="str">
        <f>"--"</f>
        <v>--</v>
      </c>
      <c r="L645" s="2" t="str">
        <f>"--"</f>
        <v>--</v>
      </c>
      <c r="M645" s="2" t="str">
        <f>"--"</f>
        <v>--</v>
      </c>
      <c r="N645" s="2"/>
      <c r="O645" s="2"/>
      <c r="P645" s="2"/>
      <c r="Q645" s="2"/>
    </row>
    <row r="646" spans="1:17" x14ac:dyDescent="0.3">
      <c r="A646" s="2" t="str">
        <f>"3698"</f>
        <v>3698</v>
      </c>
      <c r="B646" s="2" t="s">
        <v>1952</v>
      </c>
      <c r="C646" s="2" t="s">
        <v>1953</v>
      </c>
      <c r="D646" s="2" t="s">
        <v>6051</v>
      </c>
      <c r="E646" s="2" t="s">
        <v>1954</v>
      </c>
      <c r="F646" s="2" t="s">
        <v>41</v>
      </c>
      <c r="G646" s="2" t="str">
        <f>"03-5658800"</f>
        <v>03-5658800</v>
      </c>
      <c r="H646" s="2" t="s">
        <v>456</v>
      </c>
      <c r="I646" s="2" t="str">
        <f>"02-25048125"</f>
        <v>02-25048125</v>
      </c>
      <c r="J646" s="2" t="str">
        <f>"自105年05月04日至105年05月31日止"</f>
        <v>自105年05月04日至105年05月31日止</v>
      </c>
      <c r="K646" s="2" t="str">
        <f t="shared" ref="K646:K652" si="92">"台灣集中保管結算所股份有限公司"</f>
        <v>台灣集中保管結算所股份有限公司</v>
      </c>
      <c r="L646" s="2" t="str">
        <f t="shared" ref="L646:L652" si="93">"http://www.stockvote.com.tw"</f>
        <v>http://www.stockvote.com.tw</v>
      </c>
      <c r="M646" s="2" t="str">
        <f>"強制"</f>
        <v>強制</v>
      </c>
      <c r="N646" s="2"/>
      <c r="O646" s="2"/>
      <c r="P646" s="2"/>
      <c r="Q646" s="2"/>
    </row>
    <row r="647" spans="1:17" x14ac:dyDescent="0.3">
      <c r="A647" s="2" t="str">
        <f>"3701"</f>
        <v>3701</v>
      </c>
      <c r="B647" s="2" t="s">
        <v>1955</v>
      </c>
      <c r="C647" s="2" t="s">
        <v>1956</v>
      </c>
      <c r="D647" s="2" t="s">
        <v>6007</v>
      </c>
      <c r="E647" s="2" t="s">
        <v>1957</v>
      </c>
      <c r="F647" s="2" t="s">
        <v>2</v>
      </c>
      <c r="G647" s="2" t="str">
        <f>"(02)8751-8751"</f>
        <v>(02)8751-8751</v>
      </c>
      <c r="H647" s="2" t="s">
        <v>456</v>
      </c>
      <c r="I647" s="2" t="str">
        <f>"(02)2504-8125"</f>
        <v>(02)2504-8125</v>
      </c>
      <c r="J647" s="2" t="str">
        <f>"自105年05月28日至105年06月25日止"</f>
        <v>自105年05月28日至105年06月25日止</v>
      </c>
      <c r="K647" s="2" t="str">
        <f t="shared" si="92"/>
        <v>台灣集中保管結算所股份有限公司</v>
      </c>
      <c r="L647" s="2" t="str">
        <f t="shared" si="93"/>
        <v>http://www.stockvote.com.tw</v>
      </c>
      <c r="M647" s="2" t="str">
        <f>"--"</f>
        <v>--</v>
      </c>
      <c r="N647" s="2"/>
      <c r="O647" s="2"/>
      <c r="P647" s="2"/>
      <c r="Q647" s="2"/>
    </row>
    <row r="648" spans="1:17" x14ac:dyDescent="0.3">
      <c r="A648" s="2" t="str">
        <f>"3702"</f>
        <v>3702</v>
      </c>
      <c r="B648" s="2" t="s">
        <v>1958</v>
      </c>
      <c r="C648" s="2" t="s">
        <v>6288</v>
      </c>
      <c r="D648" s="2" t="s">
        <v>5999</v>
      </c>
      <c r="E648" s="2" t="s">
        <v>1959</v>
      </c>
      <c r="F648" s="2" t="s">
        <v>2</v>
      </c>
      <c r="G648" s="2" t="str">
        <f>"8797-8860"</f>
        <v>8797-8860</v>
      </c>
      <c r="H648" s="2" t="s">
        <v>431</v>
      </c>
      <c r="I648" s="2" t="str">
        <f>"2702-3999"</f>
        <v>2702-3999</v>
      </c>
      <c r="J648" s="2" t="str">
        <f>"自105年05月23日至105年06月19日止"</f>
        <v>自105年05月23日至105年06月19日止</v>
      </c>
      <c r="K648" s="2" t="str">
        <f t="shared" si="92"/>
        <v>台灣集中保管結算所股份有限公司</v>
      </c>
      <c r="L648" s="2" t="str">
        <f t="shared" si="93"/>
        <v>http://www.stockvote.com.tw</v>
      </c>
      <c r="M648" s="2" t="str">
        <f>"--"</f>
        <v>--</v>
      </c>
      <c r="N648" s="2"/>
      <c r="O648" s="2"/>
      <c r="P648" s="2"/>
      <c r="Q648" s="2"/>
    </row>
    <row r="649" spans="1:17" x14ac:dyDescent="0.3">
      <c r="A649" s="2" t="str">
        <f>"3703"</f>
        <v>3703</v>
      </c>
      <c r="B649" s="2" t="s">
        <v>1960</v>
      </c>
      <c r="C649" s="2" t="s">
        <v>1961</v>
      </c>
      <c r="D649" s="2" t="s">
        <v>6016</v>
      </c>
      <c r="E649" s="2" t="s">
        <v>1962</v>
      </c>
      <c r="F649" s="2" t="s">
        <v>2</v>
      </c>
      <c r="G649" s="2" t="str">
        <f>"0237012000"</f>
        <v>0237012000</v>
      </c>
      <c r="H649" s="2" t="s">
        <v>456</v>
      </c>
      <c r="I649" s="2" t="str">
        <f>"02-25048125"</f>
        <v>02-25048125</v>
      </c>
      <c r="J649" s="2" t="str">
        <f>"自105年05月14日至105年06月11日止"</f>
        <v>自105年05月14日至105年06月11日止</v>
      </c>
      <c r="K649" s="2" t="str">
        <f t="shared" si="92"/>
        <v>台灣集中保管結算所股份有限公司</v>
      </c>
      <c r="L649" s="2" t="str">
        <f t="shared" si="93"/>
        <v>http://www.stockvote.com.tw</v>
      </c>
      <c r="M649" s="2" t="str">
        <f>"--"</f>
        <v>--</v>
      </c>
      <c r="N649" s="2"/>
      <c r="O649" s="2"/>
      <c r="P649" s="2"/>
      <c r="Q649" s="2"/>
    </row>
    <row r="650" spans="1:17" x14ac:dyDescent="0.3">
      <c r="A650" s="2" t="str">
        <f>"3704"</f>
        <v>3704</v>
      </c>
      <c r="B650" s="2" t="s">
        <v>168</v>
      </c>
      <c r="C650" s="2" t="s">
        <v>1963</v>
      </c>
      <c r="D650" s="2" t="s">
        <v>6028</v>
      </c>
      <c r="E650" s="2" t="s">
        <v>1964</v>
      </c>
      <c r="F650" s="2" t="s">
        <v>41</v>
      </c>
      <c r="G650" s="2" t="str">
        <f>"03-5788838"</f>
        <v>03-5788838</v>
      </c>
      <c r="H650" s="2" t="s">
        <v>996</v>
      </c>
      <c r="I650" s="2" t="str">
        <f>"02-33930898"</f>
        <v>02-33930898</v>
      </c>
      <c r="J650" s="2" t="str">
        <f>"自105年05月17日至105年06月13日止"</f>
        <v>自105年05月17日至105年06月13日止</v>
      </c>
      <c r="K650" s="2" t="str">
        <f t="shared" si="92"/>
        <v>台灣集中保管結算所股份有限公司</v>
      </c>
      <c r="L650" s="2" t="str">
        <f t="shared" si="93"/>
        <v>http://www.stockvote.com.tw</v>
      </c>
      <c r="M650" s="2" t="str">
        <f>"--"</f>
        <v>--</v>
      </c>
      <c r="N650" s="2"/>
      <c r="O650" s="2"/>
      <c r="P650" s="2"/>
      <c r="Q650" s="2"/>
    </row>
    <row r="651" spans="1:17" x14ac:dyDescent="0.3">
      <c r="A651" s="2" t="str">
        <f>"3705"</f>
        <v>3705</v>
      </c>
      <c r="B651" s="2" t="s">
        <v>267</v>
      </c>
      <c r="C651" s="2" t="s">
        <v>1965</v>
      </c>
      <c r="D651" s="2" t="s">
        <v>5999</v>
      </c>
      <c r="E651" s="2" t="s">
        <v>6289</v>
      </c>
      <c r="F651" s="2" t="s">
        <v>41</v>
      </c>
      <c r="G651" s="2" t="str">
        <f>"04-26875100"</f>
        <v>04-26875100</v>
      </c>
      <c r="H651" s="2" t="s">
        <v>6006</v>
      </c>
      <c r="I651" s="2" t="str">
        <f>"02-25865859"</f>
        <v>02-25865859</v>
      </c>
      <c r="J651" s="2" t="str">
        <f>"自105年05月21日至105年06月19日止"</f>
        <v>自105年05月21日至105年06月19日止</v>
      </c>
      <c r="K651" s="2" t="str">
        <f t="shared" si="92"/>
        <v>台灣集中保管結算所股份有限公司</v>
      </c>
      <c r="L651" s="2" t="str">
        <f t="shared" si="93"/>
        <v>http://www.stockvote.com.tw</v>
      </c>
      <c r="M651" s="2" t="str">
        <f>"強制"</f>
        <v>強制</v>
      </c>
      <c r="N651" s="2"/>
      <c r="O651" s="2"/>
      <c r="P651" s="2"/>
      <c r="Q651" s="2"/>
    </row>
    <row r="652" spans="1:17" x14ac:dyDescent="0.3">
      <c r="A652" s="2" t="str">
        <f>"3706"</f>
        <v>3706</v>
      </c>
      <c r="B652" s="2" t="s">
        <v>111</v>
      </c>
      <c r="C652" s="2" t="s">
        <v>1966</v>
      </c>
      <c r="D652" s="2" t="s">
        <v>6000</v>
      </c>
      <c r="E652" s="2" t="s">
        <v>1967</v>
      </c>
      <c r="F652" s="2" t="s">
        <v>41</v>
      </c>
      <c r="G652" s="2" t="str">
        <f>"(02)2652-5858"</f>
        <v>(02)2652-5858</v>
      </c>
      <c r="H652" s="2" t="s">
        <v>1291</v>
      </c>
      <c r="I652" s="2" t="str">
        <f>"(02)6636-5566"</f>
        <v>(02)6636-5566</v>
      </c>
      <c r="J652" s="2" t="str">
        <f>"自105年05月21日至105年06月18日止"</f>
        <v>自105年05月21日至105年06月18日止</v>
      </c>
      <c r="K652" s="2" t="str">
        <f t="shared" si="92"/>
        <v>台灣集中保管結算所股份有限公司</v>
      </c>
      <c r="L652" s="2" t="str">
        <f t="shared" si="93"/>
        <v>http://www.stockvote.com.tw</v>
      </c>
      <c r="M652" s="2" t="str">
        <f>"--"</f>
        <v>--</v>
      </c>
      <c r="N652" s="2"/>
      <c r="O652" s="2"/>
      <c r="P652" s="2"/>
      <c r="Q652" s="2"/>
    </row>
    <row r="653" spans="1:17" x14ac:dyDescent="0.3">
      <c r="A653" s="2" t="str">
        <f>"4104"</f>
        <v>4104</v>
      </c>
      <c r="B653" s="2" t="s">
        <v>254</v>
      </c>
      <c r="C653" s="2" t="s">
        <v>1968</v>
      </c>
      <c r="D653" s="2" t="s">
        <v>6028</v>
      </c>
      <c r="E653" s="2" t="s">
        <v>6290</v>
      </c>
      <c r="F653" s="2" t="s">
        <v>41</v>
      </c>
      <c r="G653" s="2" t="str">
        <f>"02-22251888"</f>
        <v>02-22251888</v>
      </c>
      <c r="H653" s="2" t="s">
        <v>469</v>
      </c>
      <c r="I653" s="2" t="str">
        <f>"02-27463797"</f>
        <v>02-27463797</v>
      </c>
      <c r="J653" s="2" t="str">
        <f t="shared" ref="J653:L655" si="94">"--"</f>
        <v>--</v>
      </c>
      <c r="K653" s="2" t="str">
        <f t="shared" si="94"/>
        <v>--</v>
      </c>
      <c r="L653" s="2" t="str">
        <f t="shared" si="94"/>
        <v>--</v>
      </c>
      <c r="M653" s="2" t="str">
        <f>"否"</f>
        <v>否</v>
      </c>
      <c r="N653" s="2"/>
      <c r="O653" s="2"/>
      <c r="P653" s="2"/>
      <c r="Q653" s="2"/>
    </row>
    <row r="654" spans="1:17" x14ac:dyDescent="0.3">
      <c r="A654" s="2" t="str">
        <f>"4106"</f>
        <v>4106</v>
      </c>
      <c r="B654" s="2" t="s">
        <v>1969</v>
      </c>
      <c r="C654" s="2" t="s">
        <v>1970</v>
      </c>
      <c r="D654" s="2" t="s">
        <v>6000</v>
      </c>
      <c r="E654" s="2" t="s">
        <v>6291</v>
      </c>
      <c r="F654" s="2" t="s">
        <v>41</v>
      </c>
      <c r="G654" s="2" t="str">
        <f>"(02)22685568"</f>
        <v>(02)22685568</v>
      </c>
      <c r="H654" s="2" t="s">
        <v>1971</v>
      </c>
      <c r="I654" s="2" t="str">
        <f>"(02)27686668"</f>
        <v>(02)27686668</v>
      </c>
      <c r="J654" s="2" t="str">
        <f t="shared" si="94"/>
        <v>--</v>
      </c>
      <c r="K654" s="2" t="str">
        <f t="shared" si="94"/>
        <v>--</v>
      </c>
      <c r="L654" s="2" t="str">
        <f t="shared" si="94"/>
        <v>--</v>
      </c>
      <c r="M654" s="2" t="str">
        <f>"否"</f>
        <v>否</v>
      </c>
      <c r="N654" s="2"/>
      <c r="O654" s="2"/>
      <c r="P654" s="2"/>
      <c r="Q654" s="2"/>
    </row>
    <row r="655" spans="1:17" x14ac:dyDescent="0.3">
      <c r="A655" s="2" t="str">
        <f>"4108"</f>
        <v>4108</v>
      </c>
      <c r="B655" s="2" t="s">
        <v>8</v>
      </c>
      <c r="C655" s="2" t="s">
        <v>1972</v>
      </c>
      <c r="D655" s="2" t="s">
        <v>6034</v>
      </c>
      <c r="E655" s="2" t="s">
        <v>871</v>
      </c>
      <c r="F655" s="2" t="s">
        <v>2</v>
      </c>
      <c r="G655" s="2" t="str">
        <f>"02-25453697"</f>
        <v>02-25453697</v>
      </c>
      <c r="H655" s="2" t="s">
        <v>640</v>
      </c>
      <c r="I655" s="2" t="str">
        <f>"02-2371-1658"</f>
        <v>02-2371-1658</v>
      </c>
      <c r="J655" s="2" t="str">
        <f t="shared" si="94"/>
        <v>--</v>
      </c>
      <c r="K655" s="2" t="str">
        <f t="shared" si="94"/>
        <v>--</v>
      </c>
      <c r="L655" s="2" t="str">
        <f t="shared" si="94"/>
        <v>--</v>
      </c>
      <c r="M655" s="2" t="str">
        <f>"否"</f>
        <v>否</v>
      </c>
      <c r="N655" s="2"/>
      <c r="O655" s="2"/>
      <c r="P655" s="2"/>
      <c r="Q655" s="2"/>
    </row>
    <row r="656" spans="1:17" x14ac:dyDescent="0.3">
      <c r="A656" s="2" t="str">
        <f>"4119"</f>
        <v>4119</v>
      </c>
      <c r="B656" s="2" t="s">
        <v>1973</v>
      </c>
      <c r="C656" s="2" t="s">
        <v>1974</v>
      </c>
      <c r="D656" s="2" t="s">
        <v>6000</v>
      </c>
      <c r="E656" s="2" t="s">
        <v>1975</v>
      </c>
      <c r="F656" s="2" t="s">
        <v>41</v>
      </c>
      <c r="G656" s="2" t="str">
        <f>"03-3543133"</f>
        <v>03-3543133</v>
      </c>
      <c r="H656" s="2" t="s">
        <v>1063</v>
      </c>
      <c r="I656" s="2" t="str">
        <f>"02-23268818"</f>
        <v>02-23268818</v>
      </c>
      <c r="J656" s="2" t="str">
        <f>"自105年05月22日至105年06月18日止"</f>
        <v>自105年05月22日至105年06月18日止</v>
      </c>
      <c r="K656" s="2" t="str">
        <f>"台灣集中保管結算所股份有限公司"</f>
        <v>台灣集中保管結算所股份有限公司</v>
      </c>
      <c r="L656" s="2" t="str">
        <f>"http://www.stockvote.com.tw"</f>
        <v>http://www.stockvote.com.tw</v>
      </c>
      <c r="M656" s="2" t="str">
        <f>"&lt;b&gt;&lt;font color='red'&gt;自願&lt;/font&gt;&lt;/b&gt;"</f>
        <v>&lt;b&gt;&lt;font color='red'&gt;自願&lt;/font&gt;&lt;/b&gt;</v>
      </c>
      <c r="N656" s="2"/>
      <c r="O656" s="2"/>
      <c r="P656" s="2"/>
      <c r="Q656" s="2"/>
    </row>
    <row r="657" spans="1:17" x14ac:dyDescent="0.3">
      <c r="A657" s="2" t="str">
        <f>"4133"</f>
        <v>4133</v>
      </c>
      <c r="B657" s="2" t="s">
        <v>204</v>
      </c>
      <c r="C657" s="2" t="s">
        <v>1976</v>
      </c>
      <c r="D657" s="2" t="s">
        <v>6020</v>
      </c>
      <c r="E657" s="2" t="s">
        <v>1739</v>
      </c>
      <c r="F657" s="2" t="s">
        <v>2</v>
      </c>
      <c r="G657" s="2" t="str">
        <f>"87511888"</f>
        <v>87511888</v>
      </c>
      <c r="H657" s="2" t="s">
        <v>451</v>
      </c>
      <c r="I657" s="2" t="str">
        <f>"23892999"</f>
        <v>23892999</v>
      </c>
      <c r="J657" s="2" t="str">
        <f>"--"</f>
        <v>--</v>
      </c>
      <c r="K657" s="2" t="str">
        <f>"--"</f>
        <v>--</v>
      </c>
      <c r="L657" s="2" t="str">
        <f>"--"</f>
        <v>--</v>
      </c>
      <c r="M657" s="2" t="str">
        <f>"--"</f>
        <v>--</v>
      </c>
      <c r="N657" s="2"/>
      <c r="O657" s="2"/>
      <c r="P657" s="2"/>
      <c r="Q657" s="2"/>
    </row>
    <row r="658" spans="1:17" x14ac:dyDescent="0.3">
      <c r="A658" s="2" t="str">
        <f>"4137"</f>
        <v>4137</v>
      </c>
      <c r="B658" s="2" t="s">
        <v>1977</v>
      </c>
      <c r="C658" s="2" t="s">
        <v>1978</v>
      </c>
      <c r="D658" s="2" t="s">
        <v>6007</v>
      </c>
      <c r="E658" s="2" t="s">
        <v>6292</v>
      </c>
      <c r="F658" s="2" t="s">
        <v>2</v>
      </c>
      <c r="G658" s="2" t="str">
        <f>"87580364"</f>
        <v>87580364</v>
      </c>
      <c r="H658" s="2" t="s">
        <v>644</v>
      </c>
      <c r="I658" s="2" t="str">
        <f>"(02)2361-1300"</f>
        <v>(02)2361-1300</v>
      </c>
      <c r="J658" s="2" t="str">
        <f t="shared" ref="J658:L659" si="95">"--"</f>
        <v>--</v>
      </c>
      <c r="K658" s="2" t="str">
        <f t="shared" si="95"/>
        <v>--</v>
      </c>
      <c r="L658" s="2" t="str">
        <f t="shared" si="95"/>
        <v>--</v>
      </c>
      <c r="M658" s="2" t="str">
        <f>"否"</f>
        <v>否</v>
      </c>
      <c r="N658" s="2"/>
      <c r="O658" s="2"/>
      <c r="P658" s="2"/>
      <c r="Q658" s="2"/>
    </row>
    <row r="659" spans="1:17" x14ac:dyDescent="0.3">
      <c r="A659" s="2" t="str">
        <f>"4141"</f>
        <v>4141</v>
      </c>
      <c r="B659" s="2" t="s">
        <v>1979</v>
      </c>
      <c r="C659" s="2" t="s">
        <v>6293</v>
      </c>
      <c r="D659" s="2" t="s">
        <v>5999</v>
      </c>
      <c r="E659" s="2" t="s">
        <v>6294</v>
      </c>
      <c r="F659" s="2" t="s">
        <v>2</v>
      </c>
      <c r="G659" s="2" t="str">
        <f>"(852)28960662"</f>
        <v>(852)28960662</v>
      </c>
      <c r="H659" s="2" t="s">
        <v>582</v>
      </c>
      <c r="I659" s="2" t="str">
        <f>"02-25865859"</f>
        <v>02-25865859</v>
      </c>
      <c r="J659" s="2" t="str">
        <f t="shared" si="95"/>
        <v>--</v>
      </c>
      <c r="K659" s="2" t="str">
        <f t="shared" si="95"/>
        <v>--</v>
      </c>
      <c r="L659" s="2" t="str">
        <f t="shared" si="95"/>
        <v>--</v>
      </c>
      <c r="M659" s="2" t="str">
        <f>"否"</f>
        <v>否</v>
      </c>
      <c r="N659" s="2"/>
      <c r="O659" s="2"/>
      <c r="P659" s="2"/>
      <c r="Q659" s="2"/>
    </row>
    <row r="660" spans="1:17" x14ac:dyDescent="0.3">
      <c r="A660" s="2" t="str">
        <f>"4142"</f>
        <v>4142</v>
      </c>
      <c r="B660" s="2" t="s">
        <v>1980</v>
      </c>
      <c r="C660" s="2" t="s">
        <v>1981</v>
      </c>
      <c r="D660" s="2" t="s">
        <v>6025</v>
      </c>
      <c r="E660" s="2" t="s">
        <v>1982</v>
      </c>
      <c r="F660" s="2" t="s">
        <v>2</v>
      </c>
      <c r="G660" s="2" t="str">
        <f>"(04)25381220"</f>
        <v>(04)25381220</v>
      </c>
      <c r="H660" s="2" t="s">
        <v>1053</v>
      </c>
      <c r="I660" s="2" t="str">
        <f>"(02)25635711"</f>
        <v>(02)25635711</v>
      </c>
      <c r="J660" s="2" t="str">
        <f>"自105年05月07日至105年06月05日止"</f>
        <v>自105年05月07日至105年06月05日止</v>
      </c>
      <c r="K660" s="2" t="str">
        <f>"台灣集中保管結算所股份有限公司"</f>
        <v>台灣集中保管結算所股份有限公司</v>
      </c>
      <c r="L660" s="2" t="str">
        <f>"http://www.stockvote.com.tw"</f>
        <v>http://www.stockvote.com.tw</v>
      </c>
      <c r="M660" s="2" t="str">
        <f>"強制"</f>
        <v>強制</v>
      </c>
      <c r="N660" s="2"/>
      <c r="O660" s="2"/>
      <c r="P660" s="2"/>
      <c r="Q660" s="2"/>
    </row>
    <row r="661" spans="1:17" x14ac:dyDescent="0.3">
      <c r="A661" s="2" t="str">
        <f>"4144"</f>
        <v>4144</v>
      </c>
      <c r="B661" s="2" t="s">
        <v>1983</v>
      </c>
      <c r="C661" s="2" t="s">
        <v>6295</v>
      </c>
      <c r="D661" s="2" t="s">
        <v>6014</v>
      </c>
      <c r="E661" s="2" t="s">
        <v>1984</v>
      </c>
      <c r="F661" s="2" t="s">
        <v>41</v>
      </c>
      <c r="G661" s="2" t="str">
        <f>"86-2154681666"</f>
        <v>86-2154681666</v>
      </c>
      <c r="H661" s="2" t="s">
        <v>404</v>
      </c>
      <c r="I661" s="2" t="str">
        <f>"02-66365566"</f>
        <v>02-66365566</v>
      </c>
      <c r="J661" s="2" t="str">
        <f>"--"</f>
        <v>--</v>
      </c>
      <c r="K661" s="2" t="str">
        <f>"--"</f>
        <v>--</v>
      </c>
      <c r="L661" s="2" t="str">
        <f>"--"</f>
        <v>--</v>
      </c>
      <c r="M661" s="2" t="str">
        <f>"--"</f>
        <v>--</v>
      </c>
      <c r="N661" s="2"/>
      <c r="O661" s="2"/>
      <c r="P661" s="2"/>
      <c r="Q661" s="2"/>
    </row>
    <row r="662" spans="1:17" x14ac:dyDescent="0.3">
      <c r="A662" s="2" t="str">
        <f>"4164"</f>
        <v>4164</v>
      </c>
      <c r="B662" s="2" t="s">
        <v>1985</v>
      </c>
      <c r="C662" s="2" t="s">
        <v>1986</v>
      </c>
      <c r="D662" s="2" t="s">
        <v>6021</v>
      </c>
      <c r="E662" s="2" t="s">
        <v>6296</v>
      </c>
      <c r="F662" s="2" t="s">
        <v>2</v>
      </c>
      <c r="G662" s="2" t="str">
        <f>"02-66081999"</f>
        <v>02-66081999</v>
      </c>
      <c r="H662" s="2" t="s">
        <v>404</v>
      </c>
      <c r="I662" s="2" t="str">
        <f>"02-66365566"</f>
        <v>02-66365566</v>
      </c>
      <c r="J662" s="2" t="str">
        <f t="shared" ref="J662:L663" si="96">"--"</f>
        <v>--</v>
      </c>
      <c r="K662" s="2" t="str">
        <f t="shared" si="96"/>
        <v>--</v>
      </c>
      <c r="L662" s="2" t="str">
        <f t="shared" si="96"/>
        <v>--</v>
      </c>
      <c r="M662" s="2" t="str">
        <f>"否"</f>
        <v>否</v>
      </c>
      <c r="N662" s="2"/>
      <c r="O662" s="2"/>
      <c r="P662" s="2"/>
      <c r="Q662" s="2"/>
    </row>
    <row r="663" spans="1:17" x14ac:dyDescent="0.3">
      <c r="A663" s="2" t="str">
        <f>"4190"</f>
        <v>4190</v>
      </c>
      <c r="B663" s="2" t="s">
        <v>5602</v>
      </c>
      <c r="C663" s="2" t="s">
        <v>6297</v>
      </c>
      <c r="D663" s="2" t="s">
        <v>6015</v>
      </c>
      <c r="E663" s="2" t="s">
        <v>6298</v>
      </c>
      <c r="F663" s="2" t="s">
        <v>2</v>
      </c>
      <c r="G663" s="2" t="str">
        <f>"04-22922999"</f>
        <v>04-22922999</v>
      </c>
      <c r="H663" s="2" t="s">
        <v>465</v>
      </c>
      <c r="I663" s="2" t="str">
        <f>"02-23816288"</f>
        <v>02-23816288</v>
      </c>
      <c r="J663" s="2" t="str">
        <f t="shared" si="96"/>
        <v>--</v>
      </c>
      <c r="K663" s="2" t="str">
        <f t="shared" si="96"/>
        <v>--</v>
      </c>
      <c r="L663" s="2" t="str">
        <f t="shared" si="96"/>
        <v>--</v>
      </c>
      <c r="M663" s="2" t="str">
        <f>"否"</f>
        <v>否</v>
      </c>
      <c r="N663" s="2"/>
      <c r="O663" s="2"/>
      <c r="P663" s="2"/>
      <c r="Q663" s="2"/>
    </row>
    <row r="664" spans="1:17" x14ac:dyDescent="0.3">
      <c r="A664" s="2" t="str">
        <f>"4306"</f>
        <v>4306</v>
      </c>
      <c r="B664" s="2" t="s">
        <v>265</v>
      </c>
      <c r="C664" s="2" t="s">
        <v>6299</v>
      </c>
      <c r="D664" s="2" t="s">
        <v>6007</v>
      </c>
      <c r="E664" s="2" t="s">
        <v>6300</v>
      </c>
      <c r="F664" s="2" t="s">
        <v>41</v>
      </c>
      <c r="G664" s="2" t="str">
        <f>"02-81706199"</f>
        <v>02-81706199</v>
      </c>
      <c r="H664" s="2" t="s">
        <v>456</v>
      </c>
      <c r="I664" s="2" t="str">
        <f>"02-25048125"</f>
        <v>02-25048125</v>
      </c>
      <c r="J664" s="2" t="str">
        <f>"自105年05月28日至105年06月25日止"</f>
        <v>自105年05月28日至105年06月25日止</v>
      </c>
      <c r="K664" s="2" t="str">
        <f>"台灣集中保管結算所股份有限公司"</f>
        <v>台灣集中保管結算所股份有限公司</v>
      </c>
      <c r="L664" s="2" t="str">
        <f>"http://www.stockvote.com.tw"</f>
        <v>http://www.stockvote.com.tw</v>
      </c>
      <c r="M664" s="2" t="str">
        <f>"--"</f>
        <v>--</v>
      </c>
      <c r="N664" s="2"/>
      <c r="O664" s="2"/>
      <c r="P664" s="2"/>
      <c r="Q664" s="2"/>
    </row>
    <row r="665" spans="1:17" x14ac:dyDescent="0.3">
      <c r="A665" s="2" t="str">
        <f>"4414"</f>
        <v>4414</v>
      </c>
      <c r="B665" s="2" t="s">
        <v>290</v>
      </c>
      <c r="C665" s="2" t="s">
        <v>1987</v>
      </c>
      <c r="D665" s="2" t="s">
        <v>6004</v>
      </c>
      <c r="E665" s="2" t="s">
        <v>1988</v>
      </c>
      <c r="F665" s="2" t="s">
        <v>2</v>
      </c>
      <c r="G665" s="2" t="str">
        <f>"02-27513111"</f>
        <v>02-27513111</v>
      </c>
      <c r="H665" s="2" t="s">
        <v>6006</v>
      </c>
      <c r="I665" s="2" t="str">
        <f>"02-25865859"</f>
        <v>02-25865859</v>
      </c>
      <c r="J665" s="2" t="str">
        <f t="shared" ref="J665:L666" si="97">"--"</f>
        <v>--</v>
      </c>
      <c r="K665" s="2" t="str">
        <f t="shared" si="97"/>
        <v>--</v>
      </c>
      <c r="L665" s="2" t="str">
        <f t="shared" si="97"/>
        <v>--</v>
      </c>
      <c r="M665" s="2" t="str">
        <f>"--"</f>
        <v>--</v>
      </c>
      <c r="N665" s="2"/>
      <c r="O665" s="2"/>
      <c r="P665" s="2"/>
      <c r="Q665" s="2"/>
    </row>
    <row r="666" spans="1:17" x14ac:dyDescent="0.3">
      <c r="A666" s="2" t="str">
        <f>"4426"</f>
        <v>4426</v>
      </c>
      <c r="B666" s="2" t="s">
        <v>1989</v>
      </c>
      <c r="C666" s="2" t="s">
        <v>1990</v>
      </c>
      <c r="D666" s="2" t="s">
        <v>6031</v>
      </c>
      <c r="E666" s="2" t="s">
        <v>6301</v>
      </c>
      <c r="F666" s="2" t="s">
        <v>41</v>
      </c>
      <c r="G666" s="2" t="str">
        <f>"05-5571010"</f>
        <v>05-5571010</v>
      </c>
      <c r="H666" s="2" t="s">
        <v>456</v>
      </c>
      <c r="I666" s="2" t="str">
        <f>"02-25048125"</f>
        <v>02-25048125</v>
      </c>
      <c r="J666" s="2" t="str">
        <f t="shared" si="97"/>
        <v>--</v>
      </c>
      <c r="K666" s="2" t="str">
        <f t="shared" si="97"/>
        <v>--</v>
      </c>
      <c r="L666" s="2" t="str">
        <f t="shared" si="97"/>
        <v>--</v>
      </c>
      <c r="M666" s="2" t="str">
        <f>"否"</f>
        <v>否</v>
      </c>
      <c r="N666" s="2"/>
      <c r="O666" s="2"/>
      <c r="P666" s="2"/>
      <c r="Q666" s="2"/>
    </row>
    <row r="667" spans="1:17" x14ac:dyDescent="0.3">
      <c r="A667" s="2" t="str">
        <f>"4526"</f>
        <v>4526</v>
      </c>
      <c r="B667" s="2" t="s">
        <v>1991</v>
      </c>
      <c r="C667" s="2" t="s">
        <v>1992</v>
      </c>
      <c r="D667" s="2" t="s">
        <v>6024</v>
      </c>
      <c r="E667" s="2" t="s">
        <v>6302</v>
      </c>
      <c r="F667" s="2" t="s">
        <v>2</v>
      </c>
      <c r="G667" s="2" t="str">
        <f>"07-9761588"</f>
        <v>07-9761588</v>
      </c>
      <c r="H667" s="2" t="s">
        <v>456</v>
      </c>
      <c r="I667" s="2" t="str">
        <f>"02-25048125"</f>
        <v>02-25048125</v>
      </c>
      <c r="J667" s="2" t="str">
        <f>"自105年05月07日至105年06月04日止"</f>
        <v>自105年05月07日至105年06月04日止</v>
      </c>
      <c r="K667" s="2" t="str">
        <f>"台灣集中保管結算所股份有限公司"</f>
        <v>台灣集中保管結算所股份有限公司</v>
      </c>
      <c r="L667" s="2" t="str">
        <f>"http://www.stockvote.com.tw"</f>
        <v>http://www.stockvote.com.tw</v>
      </c>
      <c r="M667" s="2" t="str">
        <f>"強制"</f>
        <v>強制</v>
      </c>
      <c r="N667" s="2"/>
      <c r="O667" s="2"/>
      <c r="P667" s="2"/>
      <c r="Q667" s="2"/>
    </row>
    <row r="668" spans="1:17" x14ac:dyDescent="0.3">
      <c r="A668" s="2" t="str">
        <f>"4532"</f>
        <v>4532</v>
      </c>
      <c r="B668" s="2" t="s">
        <v>1993</v>
      </c>
      <c r="C668" s="2" t="s">
        <v>1994</v>
      </c>
      <c r="D668" s="2" t="s">
        <v>6024</v>
      </c>
      <c r="E668" s="2" t="s">
        <v>6303</v>
      </c>
      <c r="F668" s="2" t="s">
        <v>2</v>
      </c>
      <c r="G668" s="2" t="str">
        <f>"(03)4837201"</f>
        <v>(03)4837201</v>
      </c>
      <c r="H668" s="2" t="s">
        <v>539</v>
      </c>
      <c r="I668" s="2" t="str">
        <f>"(02)25865859"</f>
        <v>(02)25865859</v>
      </c>
      <c r="J668" s="2" t="str">
        <f>"自105年05月07日至105年06月04日止"</f>
        <v>自105年05月07日至105年06月04日止</v>
      </c>
      <c r="K668" s="2" t="str">
        <f>"台灣集中保管結算所股份有限公司"</f>
        <v>台灣集中保管結算所股份有限公司</v>
      </c>
      <c r="L668" s="2" t="str">
        <f>"http://www.stockvote.com.tw"</f>
        <v>http://www.stockvote.com.tw</v>
      </c>
      <c r="M668" s="2" t="str">
        <f>"強制"</f>
        <v>強制</v>
      </c>
      <c r="N668" s="2"/>
      <c r="O668" s="2"/>
      <c r="P668" s="2"/>
      <c r="Q668" s="2"/>
    </row>
    <row r="669" spans="1:17" x14ac:dyDescent="0.3">
      <c r="A669" s="2" t="str">
        <f>"4536"</f>
        <v>4536</v>
      </c>
      <c r="B669" s="2" t="s">
        <v>1995</v>
      </c>
      <c r="C669" s="2" t="s">
        <v>1996</v>
      </c>
      <c r="D669" s="2" t="s">
        <v>6037</v>
      </c>
      <c r="E669" s="2" t="s">
        <v>6304</v>
      </c>
      <c r="F669" s="2" t="s">
        <v>41</v>
      </c>
      <c r="G669" s="2" t="str">
        <f>"04-23591229"</f>
        <v>04-23591229</v>
      </c>
      <c r="H669" s="2" t="s">
        <v>465</v>
      </c>
      <c r="I669" s="2" t="str">
        <f>"02-23816288"</f>
        <v>02-23816288</v>
      </c>
      <c r="J669" s="2" t="str">
        <f>"--"</f>
        <v>--</v>
      </c>
      <c r="K669" s="2" t="str">
        <f>"--"</f>
        <v>--</v>
      </c>
      <c r="L669" s="2" t="str">
        <f>"--"</f>
        <v>--</v>
      </c>
      <c r="M669" s="2" t="str">
        <f>"否"</f>
        <v>否</v>
      </c>
      <c r="N669" s="2"/>
      <c r="O669" s="2"/>
      <c r="P669" s="2"/>
      <c r="Q669" s="2"/>
    </row>
    <row r="670" spans="1:17" x14ac:dyDescent="0.3">
      <c r="A670" s="2" t="str">
        <f>"4545"</f>
        <v>4545</v>
      </c>
      <c r="B670" s="2" t="s">
        <v>4331</v>
      </c>
      <c r="C670" s="2" t="s">
        <v>4332</v>
      </c>
      <c r="D670" s="2" t="s">
        <v>6037</v>
      </c>
      <c r="E670" s="2" t="s">
        <v>4333</v>
      </c>
      <c r="F670" s="2" t="s">
        <v>2</v>
      </c>
      <c r="G670" s="2" t="str">
        <f>"(03)438-9966"</f>
        <v>(03)438-9966</v>
      </c>
      <c r="H670" s="2" t="s">
        <v>469</v>
      </c>
      <c r="I670" s="2" t="str">
        <f>"(02)2746-3797"</f>
        <v>(02)2746-3797</v>
      </c>
      <c r="J670" s="2" t="str">
        <f>"自105年04月30日至105年05月28日止"</f>
        <v>自105年04月30日至105年05月28日止</v>
      </c>
      <c r="K670" s="2" t="str">
        <f>"台灣集中保管結算所股份有限公司"</f>
        <v>台灣集中保管結算所股份有限公司</v>
      </c>
      <c r="L670" s="2" t="str">
        <f>"http://www.stockvote.com.tw"</f>
        <v>http://www.stockvote.com.tw</v>
      </c>
      <c r="M670" s="2" t="str">
        <f>"強制"</f>
        <v>強制</v>
      </c>
      <c r="N670" s="2"/>
      <c r="O670" s="2"/>
      <c r="P670" s="2"/>
      <c r="Q670" s="2"/>
    </row>
    <row r="671" spans="1:17" x14ac:dyDescent="0.3">
      <c r="A671" s="2" t="str">
        <f>"4551"</f>
        <v>4551</v>
      </c>
      <c r="B671" s="2" t="s">
        <v>4337</v>
      </c>
      <c r="C671" s="2" t="s">
        <v>4338</v>
      </c>
      <c r="D671" s="2" t="s">
        <v>6001</v>
      </c>
      <c r="E671" s="2" t="s">
        <v>6305</v>
      </c>
      <c r="F671" s="2" t="s">
        <v>2</v>
      </c>
      <c r="G671" s="2" t="str">
        <f>"(02)2696-2060"</f>
        <v>(02)2696-2060</v>
      </c>
      <c r="H671" s="2" t="s">
        <v>1028</v>
      </c>
      <c r="I671" s="2" t="str">
        <f>"(02)2381-6288"</f>
        <v>(02)2381-6288</v>
      </c>
      <c r="J671" s="2" t="str">
        <f t="shared" ref="J671:L675" si="98">"--"</f>
        <v>--</v>
      </c>
      <c r="K671" s="2" t="str">
        <f t="shared" si="98"/>
        <v>--</v>
      </c>
      <c r="L671" s="2" t="str">
        <f t="shared" si="98"/>
        <v>--</v>
      </c>
      <c r="M671" s="2" t="str">
        <f>"否"</f>
        <v>否</v>
      </c>
      <c r="N671" s="2"/>
      <c r="O671" s="2"/>
      <c r="P671" s="2"/>
      <c r="Q671" s="2"/>
    </row>
    <row r="672" spans="1:17" x14ac:dyDescent="0.3">
      <c r="A672" s="2" t="str">
        <f>"4555"</f>
        <v>4555</v>
      </c>
      <c r="B672" s="2" t="s">
        <v>4344</v>
      </c>
      <c r="C672" s="2" t="s">
        <v>4345</v>
      </c>
      <c r="D672" s="2" t="s">
        <v>5999</v>
      </c>
      <c r="E672" s="2" t="s">
        <v>6306</v>
      </c>
      <c r="F672" s="2" t="s">
        <v>41</v>
      </c>
      <c r="G672" s="2" t="str">
        <f>"(02)29041235"</f>
        <v>(02)29041235</v>
      </c>
      <c r="H672" s="2" t="s">
        <v>667</v>
      </c>
      <c r="I672" s="2" t="str">
        <f>"(02)23611300"</f>
        <v>(02)23611300</v>
      </c>
      <c r="J672" s="2" t="str">
        <f t="shared" si="98"/>
        <v>--</v>
      </c>
      <c r="K672" s="2" t="str">
        <f t="shared" si="98"/>
        <v>--</v>
      </c>
      <c r="L672" s="2" t="str">
        <f t="shared" si="98"/>
        <v>--</v>
      </c>
      <c r="M672" s="2" t="str">
        <f>"否"</f>
        <v>否</v>
      </c>
      <c r="N672" s="2"/>
      <c r="O672" s="2"/>
      <c r="P672" s="2"/>
      <c r="Q672" s="2"/>
    </row>
    <row r="673" spans="1:17" x14ac:dyDescent="0.3">
      <c r="A673" s="2" t="str">
        <f>"4557"</f>
        <v>4557</v>
      </c>
      <c r="B673" s="2" t="s">
        <v>5898</v>
      </c>
      <c r="C673" s="2" t="s">
        <v>6307</v>
      </c>
      <c r="D673" s="2" t="s">
        <v>6034</v>
      </c>
      <c r="E673" s="2" t="s">
        <v>6308</v>
      </c>
      <c r="F673" s="2" t="s">
        <v>41</v>
      </c>
      <c r="G673" s="2" t="str">
        <f>"05-2788687"</f>
        <v>05-2788687</v>
      </c>
      <c r="H673" s="2" t="s">
        <v>541</v>
      </c>
      <c r="I673" s="2" t="str">
        <f>"02-33930898"</f>
        <v>02-33930898</v>
      </c>
      <c r="J673" s="2" t="str">
        <f t="shared" si="98"/>
        <v>--</v>
      </c>
      <c r="K673" s="2" t="str">
        <f t="shared" si="98"/>
        <v>--</v>
      </c>
      <c r="L673" s="2" t="str">
        <f t="shared" si="98"/>
        <v>--</v>
      </c>
      <c r="M673" s="2" t="str">
        <f>"否"</f>
        <v>否</v>
      </c>
      <c r="N673" s="2"/>
      <c r="O673" s="2"/>
      <c r="P673" s="2"/>
      <c r="Q673" s="2"/>
    </row>
    <row r="674" spans="1:17" x14ac:dyDescent="0.3">
      <c r="A674" s="2" t="str">
        <f>"4720"</f>
        <v>4720</v>
      </c>
      <c r="B674" s="2" t="s">
        <v>3190</v>
      </c>
      <c r="C674" s="2" t="s">
        <v>3191</v>
      </c>
      <c r="D674" s="2" t="s">
        <v>6001</v>
      </c>
      <c r="E674" s="2" t="s">
        <v>6309</v>
      </c>
      <c r="F674" s="2" t="s">
        <v>41</v>
      </c>
      <c r="G674" s="2" t="str">
        <f>"02-22992121"</f>
        <v>02-22992121</v>
      </c>
      <c r="H674" s="2" t="s">
        <v>631</v>
      </c>
      <c r="I674" s="2" t="str">
        <f>"02-25419977"</f>
        <v>02-25419977</v>
      </c>
      <c r="J674" s="2" t="str">
        <f t="shared" si="98"/>
        <v>--</v>
      </c>
      <c r="K674" s="2" t="str">
        <f t="shared" si="98"/>
        <v>--</v>
      </c>
      <c r="L674" s="2" t="str">
        <f t="shared" si="98"/>
        <v>--</v>
      </c>
      <c r="M674" s="2" t="str">
        <f>"--"</f>
        <v>--</v>
      </c>
      <c r="N674" s="2"/>
      <c r="O674" s="2"/>
      <c r="P674" s="2"/>
      <c r="Q674" s="2"/>
    </row>
    <row r="675" spans="1:17" x14ac:dyDescent="0.3">
      <c r="A675" s="2" t="str">
        <f>"4722"</f>
        <v>4722</v>
      </c>
      <c r="B675" s="2" t="s">
        <v>1997</v>
      </c>
      <c r="C675" s="2" t="s">
        <v>1998</v>
      </c>
      <c r="D675" s="2" t="s">
        <v>6037</v>
      </c>
      <c r="E675" s="2" t="s">
        <v>1998</v>
      </c>
      <c r="F675" s="2" t="s">
        <v>2</v>
      </c>
      <c r="G675" s="2" t="str">
        <f>"(07)6236199"</f>
        <v>(07)6236199</v>
      </c>
      <c r="H675" s="2" t="s">
        <v>574</v>
      </c>
      <c r="I675" s="2" t="str">
        <f>"(02)2718-6425"</f>
        <v>(02)2718-6425</v>
      </c>
      <c r="J675" s="2" t="str">
        <f t="shared" si="98"/>
        <v>--</v>
      </c>
      <c r="K675" s="2" t="str">
        <f t="shared" si="98"/>
        <v>--</v>
      </c>
      <c r="L675" s="2" t="str">
        <f t="shared" si="98"/>
        <v>--</v>
      </c>
      <c r="M675" s="2" t="str">
        <f>"否"</f>
        <v>否</v>
      </c>
      <c r="N675" s="2"/>
      <c r="O675" s="2"/>
      <c r="P675" s="2"/>
      <c r="Q675" s="2"/>
    </row>
    <row r="676" spans="1:17" x14ac:dyDescent="0.3">
      <c r="A676" s="2" t="str">
        <f>"4725"</f>
        <v>4725</v>
      </c>
      <c r="B676" s="2" t="s">
        <v>1999</v>
      </c>
      <c r="C676" s="2" t="s">
        <v>2000</v>
      </c>
      <c r="D676" s="2" t="s">
        <v>6016</v>
      </c>
      <c r="E676" s="2" t="s">
        <v>2001</v>
      </c>
      <c r="F676" s="2" t="s">
        <v>2</v>
      </c>
      <c r="G676" s="2" t="str">
        <f>"(02)2563-3228"</f>
        <v>(02)2563-3228</v>
      </c>
      <c r="H676" s="2" t="s">
        <v>404</v>
      </c>
      <c r="I676" s="2" t="str">
        <f>"(02)6636-5566"</f>
        <v>(02)6636-5566</v>
      </c>
      <c r="J676" s="2" t="str">
        <f>"自105年05月15日至105年06月11日止"</f>
        <v>自105年05月15日至105年06月11日止</v>
      </c>
      <c r="K676" s="2" t="str">
        <f>"台灣集中保管結算所股份有限公司"</f>
        <v>台灣集中保管結算所股份有限公司</v>
      </c>
      <c r="L676" s="2" t="str">
        <f>"http://www.stockvote.com.tw"</f>
        <v>http://www.stockvote.com.tw</v>
      </c>
      <c r="M676" s="2" t="str">
        <f>"強制"</f>
        <v>強制</v>
      </c>
      <c r="N676" s="2"/>
      <c r="O676" s="2"/>
      <c r="P676" s="2"/>
      <c r="Q676" s="2"/>
    </row>
    <row r="677" spans="1:17" x14ac:dyDescent="0.3">
      <c r="A677" s="2" t="str">
        <f>"4733"</f>
        <v>4733</v>
      </c>
      <c r="B677" s="2" t="s">
        <v>2002</v>
      </c>
      <c r="C677" s="2" t="s">
        <v>2003</v>
      </c>
      <c r="D677" s="2" t="s">
        <v>6037</v>
      </c>
      <c r="E677" s="2" t="s">
        <v>2004</v>
      </c>
      <c r="F677" s="2" t="s">
        <v>41</v>
      </c>
      <c r="G677" s="2" t="str">
        <f>"049-2255420"</f>
        <v>049-2255420</v>
      </c>
      <c r="H677" s="2" t="s">
        <v>456</v>
      </c>
      <c r="I677" s="2" t="str">
        <f>"02-25048125"</f>
        <v>02-25048125</v>
      </c>
      <c r="J677" s="2" t="str">
        <f t="shared" ref="J677:L682" si="99">"--"</f>
        <v>--</v>
      </c>
      <c r="K677" s="2" t="str">
        <f t="shared" si="99"/>
        <v>--</v>
      </c>
      <c r="L677" s="2" t="str">
        <f t="shared" si="99"/>
        <v>--</v>
      </c>
      <c r="M677" s="2" t="str">
        <f>"否"</f>
        <v>否</v>
      </c>
      <c r="N677" s="2"/>
      <c r="O677" s="2"/>
      <c r="P677" s="2"/>
      <c r="Q677" s="2"/>
    </row>
    <row r="678" spans="1:17" x14ac:dyDescent="0.3">
      <c r="A678" s="2" t="str">
        <f>"4737"</f>
        <v>4737</v>
      </c>
      <c r="B678" s="2" t="s">
        <v>2005</v>
      </c>
      <c r="C678" s="2" t="s">
        <v>2006</v>
      </c>
      <c r="D678" s="2" t="s">
        <v>6015</v>
      </c>
      <c r="E678" s="2" t="s">
        <v>2006</v>
      </c>
      <c r="F678" s="2" t="s">
        <v>2</v>
      </c>
      <c r="G678" s="2" t="str">
        <f>"04-23692388"</f>
        <v>04-23692388</v>
      </c>
      <c r="H678" s="2" t="s">
        <v>404</v>
      </c>
      <c r="I678" s="2" t="str">
        <f>"(02)6636-5566"</f>
        <v>(02)6636-5566</v>
      </c>
      <c r="J678" s="2" t="str">
        <f t="shared" si="99"/>
        <v>--</v>
      </c>
      <c r="K678" s="2" t="str">
        <f t="shared" si="99"/>
        <v>--</v>
      </c>
      <c r="L678" s="2" t="str">
        <f t="shared" si="99"/>
        <v>--</v>
      </c>
      <c r="M678" s="2" t="str">
        <f>"否"</f>
        <v>否</v>
      </c>
      <c r="N678" s="2"/>
      <c r="O678" s="2"/>
      <c r="P678" s="2"/>
      <c r="Q678" s="2"/>
    </row>
    <row r="679" spans="1:17" x14ac:dyDescent="0.3">
      <c r="A679" s="2"/>
      <c r="B679" s="2"/>
      <c r="C679" s="2"/>
      <c r="D679" s="2"/>
      <c r="E679" s="2"/>
      <c r="F679" s="2"/>
      <c r="G679" s="2"/>
      <c r="H679" s="2"/>
      <c r="I679" s="2"/>
      <c r="J679" s="2"/>
      <c r="K679" s="2"/>
      <c r="L679" s="2"/>
      <c r="M679" s="2"/>
      <c r="N679" s="2"/>
      <c r="O679" s="2"/>
      <c r="P679" s="2"/>
      <c r="Q679" s="2"/>
    </row>
    <row r="680" spans="1:17" x14ac:dyDescent="0.3">
      <c r="A680" s="2" t="str">
        <f>"4746"</f>
        <v>4746</v>
      </c>
      <c r="B680" s="2" t="s">
        <v>2007</v>
      </c>
      <c r="C680" s="2" t="s">
        <v>6310</v>
      </c>
      <c r="D680" s="2" t="s">
        <v>6007</v>
      </c>
      <c r="E680" s="2" t="s">
        <v>6311</v>
      </c>
      <c r="F680" s="2" t="s">
        <v>41</v>
      </c>
      <c r="G680" s="2" t="str">
        <f>"03-3240895"</f>
        <v>03-3240895</v>
      </c>
      <c r="H680" s="2" t="s">
        <v>582</v>
      </c>
      <c r="I680" s="2" t="str">
        <f>"02-25865859"</f>
        <v>02-25865859</v>
      </c>
      <c r="J680" s="2" t="str">
        <f t="shared" si="99"/>
        <v>--</v>
      </c>
      <c r="K680" s="2" t="str">
        <f t="shared" si="99"/>
        <v>--</v>
      </c>
      <c r="L680" s="2" t="str">
        <f t="shared" si="99"/>
        <v>--</v>
      </c>
      <c r="M680" s="2" t="str">
        <f>"--"</f>
        <v>--</v>
      </c>
      <c r="N680" s="2"/>
      <c r="O680" s="2"/>
      <c r="P680" s="2"/>
      <c r="Q680" s="2"/>
    </row>
    <row r="681" spans="1:17" x14ac:dyDescent="0.3">
      <c r="A681" s="2" t="str">
        <f>"4755"</f>
        <v>4755</v>
      </c>
      <c r="B681" s="2" t="s">
        <v>2008</v>
      </c>
      <c r="C681" s="2" t="s">
        <v>2009</v>
      </c>
      <c r="D681" s="2" t="s">
        <v>6014</v>
      </c>
      <c r="E681" s="2" t="s">
        <v>6312</v>
      </c>
      <c r="F681" s="2" t="s">
        <v>2</v>
      </c>
      <c r="G681" s="2" t="str">
        <f>"02-25426789"</f>
        <v>02-25426789</v>
      </c>
      <c r="H681" s="2" t="s">
        <v>1053</v>
      </c>
      <c r="I681" s="2" t="str">
        <f>"02-2563-5711"</f>
        <v>02-2563-5711</v>
      </c>
      <c r="J681" s="2" t="str">
        <f t="shared" si="99"/>
        <v>--</v>
      </c>
      <c r="K681" s="2" t="str">
        <f t="shared" si="99"/>
        <v>--</v>
      </c>
      <c r="L681" s="2" t="str">
        <f t="shared" si="99"/>
        <v>--</v>
      </c>
      <c r="M681" s="2" t="str">
        <f>"--"</f>
        <v>--</v>
      </c>
      <c r="N681" s="2"/>
      <c r="O681" s="2"/>
      <c r="P681" s="2"/>
      <c r="Q681" s="2"/>
    </row>
    <row r="682" spans="1:17" x14ac:dyDescent="0.3">
      <c r="A682" s="2" t="str">
        <f>"4763"</f>
        <v>4763</v>
      </c>
      <c r="B682" s="2" t="s">
        <v>6313</v>
      </c>
      <c r="C682" s="2" t="s">
        <v>6314</v>
      </c>
      <c r="D682" s="2" t="s">
        <v>6020</v>
      </c>
      <c r="E682" s="2" t="s">
        <v>6315</v>
      </c>
      <c r="F682" s="2" t="s">
        <v>2</v>
      </c>
      <c r="G682" s="2" t="str">
        <f>"02-27205045"</f>
        <v>02-27205045</v>
      </c>
      <c r="H682" s="2" t="s">
        <v>640</v>
      </c>
      <c r="I682" s="2" t="str">
        <f>"02-25621658"</f>
        <v>02-25621658</v>
      </c>
      <c r="J682" s="2" t="str">
        <f t="shared" si="99"/>
        <v>--</v>
      </c>
      <c r="K682" s="2" t="str">
        <f t="shared" si="99"/>
        <v>--</v>
      </c>
      <c r="L682" s="2" t="str">
        <f t="shared" si="99"/>
        <v>--</v>
      </c>
      <c r="M682" s="2" t="str">
        <f>"--"</f>
        <v>--</v>
      </c>
      <c r="N682" s="2"/>
      <c r="O682" s="2"/>
      <c r="P682" s="2"/>
      <c r="Q682" s="2"/>
    </row>
    <row r="683" spans="1:17" x14ac:dyDescent="0.3">
      <c r="A683" s="2" t="str">
        <f>"4904"</f>
        <v>4904</v>
      </c>
      <c r="B683" s="2" t="s">
        <v>2010</v>
      </c>
      <c r="C683" s="2" t="s">
        <v>2011</v>
      </c>
      <c r="D683" s="2" t="s">
        <v>6028</v>
      </c>
      <c r="E683" s="2" t="s">
        <v>2012</v>
      </c>
      <c r="F683" s="2" t="s">
        <v>2</v>
      </c>
      <c r="G683" s="2" t="str">
        <f>"(02)7723-5000"</f>
        <v>(02)7723-5000</v>
      </c>
      <c r="H683" s="2" t="s">
        <v>408</v>
      </c>
      <c r="I683" s="2" t="str">
        <f>"(02)23618608"</f>
        <v>(02)23618608</v>
      </c>
      <c r="J683" s="2" t="str">
        <f>"自105年05月17日至105年06月13日止"</f>
        <v>自105年05月17日至105年06月13日止</v>
      </c>
      <c r="K683" s="2" t="str">
        <f>"台灣集中保管結算所股份有限公司"</f>
        <v>台灣集中保管結算所股份有限公司</v>
      </c>
      <c r="L683" s="2" t="str">
        <f>"http://www.stockvote.com.tw"</f>
        <v>http://www.stockvote.com.tw</v>
      </c>
      <c r="M683" s="2" t="str">
        <f>"強制"</f>
        <v>強制</v>
      </c>
      <c r="N683" s="2"/>
      <c r="O683" s="2"/>
      <c r="P683" s="2"/>
      <c r="Q683" s="2"/>
    </row>
    <row r="684" spans="1:17" x14ac:dyDescent="0.3">
      <c r="A684" s="2" t="str">
        <f>"4906"</f>
        <v>4906</v>
      </c>
      <c r="B684" s="2" t="s">
        <v>337</v>
      </c>
      <c r="C684" s="2" t="s">
        <v>2013</v>
      </c>
      <c r="D684" s="2" t="s">
        <v>6016</v>
      </c>
      <c r="E684" s="2" t="s">
        <v>2014</v>
      </c>
      <c r="F684" s="2" t="s">
        <v>41</v>
      </c>
      <c r="G684" s="2" t="str">
        <f>"03-5985535"</f>
        <v>03-5985535</v>
      </c>
      <c r="H684" s="2" t="s">
        <v>465</v>
      </c>
      <c r="I684" s="2" t="str">
        <f>"02-23816288"</f>
        <v>02-23816288</v>
      </c>
      <c r="J684" s="2" t="str">
        <f>"自105年05月14日至105年06月11日止"</f>
        <v>自105年05月14日至105年06月11日止</v>
      </c>
      <c r="K684" s="2" t="str">
        <f>"台灣集中保管結算所股份有限公司"</f>
        <v>台灣集中保管結算所股份有限公司</v>
      </c>
      <c r="L684" s="2" t="str">
        <f>"http://www.stockvote.com.tw"</f>
        <v>http://www.stockvote.com.tw</v>
      </c>
      <c r="M684" s="2" t="str">
        <f>"--"</f>
        <v>--</v>
      </c>
      <c r="N684" s="2"/>
      <c r="O684" s="2"/>
      <c r="P684" s="2"/>
      <c r="Q684" s="2"/>
    </row>
    <row r="685" spans="1:17" x14ac:dyDescent="0.3">
      <c r="A685" s="2" t="str">
        <f>"4912"</f>
        <v>4912</v>
      </c>
      <c r="B685" s="2" t="s">
        <v>3229</v>
      </c>
      <c r="C685" s="2" t="s">
        <v>3230</v>
      </c>
      <c r="D685" s="2" t="s">
        <v>6001</v>
      </c>
      <c r="E685" s="2" t="s">
        <v>6316</v>
      </c>
      <c r="F685" s="2" t="s">
        <v>2</v>
      </c>
      <c r="G685" s="2" t="str">
        <f>"02-86841618"</f>
        <v>02-86841618</v>
      </c>
      <c r="H685" s="2" t="s">
        <v>541</v>
      </c>
      <c r="I685" s="2" t="str">
        <f>"02-33930898"</f>
        <v>02-33930898</v>
      </c>
      <c r="J685" s="2" t="str">
        <f>"--"</f>
        <v>--</v>
      </c>
      <c r="K685" s="2" t="str">
        <f>"--"</f>
        <v>--</v>
      </c>
      <c r="L685" s="2" t="str">
        <f>"--"</f>
        <v>--</v>
      </c>
      <c r="M685" s="2" t="str">
        <f>"--"</f>
        <v>--</v>
      </c>
      <c r="N685" s="2"/>
      <c r="O685" s="2"/>
      <c r="P685" s="2"/>
      <c r="Q685" s="2"/>
    </row>
    <row r="686" spans="1:17" x14ac:dyDescent="0.3">
      <c r="A686" s="2" t="str">
        <f>"4915"</f>
        <v>4915</v>
      </c>
      <c r="B686" s="2" t="s">
        <v>2015</v>
      </c>
      <c r="C686" s="2" t="s">
        <v>2016</v>
      </c>
      <c r="D686" s="2" t="s">
        <v>6020</v>
      </c>
      <c r="E686" s="2" t="s">
        <v>6317</v>
      </c>
      <c r="F686" s="2" t="s">
        <v>2</v>
      </c>
      <c r="G686" s="2" t="str">
        <f>"(02)2798-9008"</f>
        <v>(02)2798-9008</v>
      </c>
      <c r="H686" s="2" t="s">
        <v>465</v>
      </c>
      <c r="I686" s="2" t="str">
        <f>"(02)2381-6288"</f>
        <v>(02)2381-6288</v>
      </c>
      <c r="J686" s="2" t="str">
        <f>"自105年05月21日至105年06月17日止"</f>
        <v>自105年05月21日至105年06月17日止</v>
      </c>
      <c r="K686" s="2" t="str">
        <f>"台灣集中保管結算所股份有限公司"</f>
        <v>台灣集中保管結算所股份有限公司</v>
      </c>
      <c r="L686" s="2" t="str">
        <f>"http://www.stockvote.com.tw"</f>
        <v>http://www.stockvote.com.tw</v>
      </c>
      <c r="M686" s="2" t="str">
        <f>"強制"</f>
        <v>強制</v>
      </c>
      <c r="N686" s="2"/>
      <c r="O686" s="2"/>
      <c r="P686" s="2"/>
      <c r="Q686" s="2"/>
    </row>
    <row r="687" spans="1:17" x14ac:dyDescent="0.3">
      <c r="A687" s="2" t="str">
        <f>"4916"</f>
        <v>4916</v>
      </c>
      <c r="B687" s="2" t="s">
        <v>2017</v>
      </c>
      <c r="C687" s="2" t="s">
        <v>6318</v>
      </c>
      <c r="D687" s="2" t="s">
        <v>6034</v>
      </c>
      <c r="E687" s="2" t="s">
        <v>6319</v>
      </c>
      <c r="F687" s="2" t="s">
        <v>41</v>
      </c>
      <c r="G687" s="2" t="str">
        <f>"034525535"</f>
        <v>034525535</v>
      </c>
      <c r="H687" s="2" t="s">
        <v>415</v>
      </c>
      <c r="I687" s="2" t="str">
        <f>"0223892999"</f>
        <v>0223892999</v>
      </c>
      <c r="J687" s="2" t="str">
        <f>"--"</f>
        <v>--</v>
      </c>
      <c r="K687" s="2" t="str">
        <f>"--"</f>
        <v>--</v>
      </c>
      <c r="L687" s="2" t="str">
        <f>"--"</f>
        <v>--</v>
      </c>
      <c r="M687" s="2" t="str">
        <f>"否"</f>
        <v>否</v>
      </c>
      <c r="N687" s="2"/>
      <c r="O687" s="2"/>
      <c r="P687" s="2"/>
      <c r="Q687" s="2"/>
    </row>
    <row r="688" spans="1:17" x14ac:dyDescent="0.3">
      <c r="A688" s="2" t="str">
        <f>"4919"</f>
        <v>4919</v>
      </c>
      <c r="B688" s="2" t="s">
        <v>2018</v>
      </c>
      <c r="C688" s="2" t="s">
        <v>2019</v>
      </c>
      <c r="D688" s="2" t="s">
        <v>6002</v>
      </c>
      <c r="E688" s="2" t="s">
        <v>2020</v>
      </c>
      <c r="F688" s="2" t="s">
        <v>41</v>
      </c>
      <c r="G688" s="2" t="str">
        <f>"(03)5770066"</f>
        <v>(03)5770066</v>
      </c>
      <c r="H688" s="2" t="s">
        <v>2021</v>
      </c>
      <c r="I688" s="2" t="str">
        <f>"(02)6636-5566"</f>
        <v>(02)6636-5566</v>
      </c>
      <c r="J688" s="2" t="str">
        <f>"自105年05月14日至105年06月12日止"</f>
        <v>自105年05月14日至105年06月12日止</v>
      </c>
      <c r="K688" s="2" t="str">
        <f>"台灣集中保管結算所股份有限公司"</f>
        <v>台灣集中保管結算所股份有限公司</v>
      </c>
      <c r="L688" s="2" t="str">
        <f>"http://www.stockvote.com.tw"</f>
        <v>http://www.stockvote.com.tw</v>
      </c>
      <c r="M688" s="2" t="str">
        <f>"&lt;b&gt;&lt;font color='red'&gt;自願&lt;/font&gt;&lt;/b&gt;"</f>
        <v>&lt;b&gt;&lt;font color='red'&gt;自願&lt;/font&gt;&lt;/b&gt;</v>
      </c>
      <c r="N688" s="2"/>
      <c r="O688" s="2"/>
      <c r="P688" s="2"/>
      <c r="Q688" s="2"/>
    </row>
    <row r="689" spans="1:17" x14ac:dyDescent="0.3">
      <c r="A689" s="2" t="str">
        <f>"4927"</f>
        <v>4927</v>
      </c>
      <c r="B689" s="2" t="s">
        <v>60</v>
      </c>
      <c r="C689" s="2" t="s">
        <v>3233</v>
      </c>
      <c r="D689" s="2" t="s">
        <v>6002</v>
      </c>
      <c r="E689" s="2" t="s">
        <v>3234</v>
      </c>
      <c r="F689" s="2" t="s">
        <v>41</v>
      </c>
      <c r="G689" s="2" t="str">
        <f>"(02)27170032"</f>
        <v>(02)27170032</v>
      </c>
      <c r="H689" s="2" t="s">
        <v>1291</v>
      </c>
      <c r="I689" s="2" t="str">
        <f>"02-6636-5566"</f>
        <v>02-6636-5566</v>
      </c>
      <c r="J689" s="2" t="str">
        <f t="shared" ref="J689:M690" si="100">"--"</f>
        <v>--</v>
      </c>
      <c r="K689" s="2" t="str">
        <f t="shared" si="100"/>
        <v>--</v>
      </c>
      <c r="L689" s="2" t="str">
        <f t="shared" si="100"/>
        <v>--</v>
      </c>
      <c r="M689" s="2" t="str">
        <f t="shared" si="100"/>
        <v>--</v>
      </c>
      <c r="N689" s="2"/>
      <c r="O689" s="2"/>
      <c r="P689" s="2"/>
      <c r="Q689" s="2"/>
    </row>
    <row r="690" spans="1:17" x14ac:dyDescent="0.3">
      <c r="A690" s="2" t="str">
        <f>"4930"</f>
        <v>4930</v>
      </c>
      <c r="B690" s="2" t="s">
        <v>2022</v>
      </c>
      <c r="C690" s="2" t="s">
        <v>2023</v>
      </c>
      <c r="D690" s="2" t="s">
        <v>6004</v>
      </c>
      <c r="E690" s="2" t="s">
        <v>1272</v>
      </c>
      <c r="F690" s="2" t="s">
        <v>41</v>
      </c>
      <c r="G690" s="2" t="str">
        <f>"(02)27956898"</f>
        <v>(02)27956898</v>
      </c>
      <c r="H690" s="2" t="s">
        <v>6006</v>
      </c>
      <c r="I690" s="2" t="str">
        <f>"(02)25865859"</f>
        <v>(02)25865859</v>
      </c>
      <c r="J690" s="2" t="str">
        <f t="shared" si="100"/>
        <v>--</v>
      </c>
      <c r="K690" s="2" t="str">
        <f t="shared" si="100"/>
        <v>--</v>
      </c>
      <c r="L690" s="2" t="str">
        <f t="shared" si="100"/>
        <v>--</v>
      </c>
      <c r="M690" s="2" t="str">
        <f t="shared" si="100"/>
        <v>--</v>
      </c>
      <c r="N690" s="2"/>
      <c r="O690" s="2"/>
      <c r="P690" s="2"/>
      <c r="Q690" s="2"/>
    </row>
    <row r="691" spans="1:17" x14ac:dyDescent="0.3">
      <c r="A691" s="2" t="str">
        <f>"4934"</f>
        <v>4934</v>
      </c>
      <c r="B691" s="2" t="s">
        <v>2024</v>
      </c>
      <c r="C691" s="2" t="s">
        <v>2025</v>
      </c>
      <c r="D691" s="2" t="s">
        <v>6031</v>
      </c>
      <c r="E691" s="2" t="s">
        <v>2025</v>
      </c>
      <c r="F691" s="2" t="s">
        <v>41</v>
      </c>
      <c r="G691" s="2" t="str">
        <f>"03-455-5807"</f>
        <v>03-455-5807</v>
      </c>
      <c r="H691" s="2" t="s">
        <v>456</v>
      </c>
      <c r="I691" s="2" t="str">
        <f>"02-25048125"</f>
        <v>02-25048125</v>
      </c>
      <c r="J691" s="2" t="str">
        <f>"自105年05月07日至105年06月03日止"</f>
        <v>自105年05月07日至105年06月03日止</v>
      </c>
      <c r="K691" s="2" t="str">
        <f>"台灣集中保管結算所股份有限公司"</f>
        <v>台灣集中保管結算所股份有限公司</v>
      </c>
      <c r="L691" s="2" t="str">
        <f>"http://www.stockvote.com.tw"</f>
        <v>http://www.stockvote.com.tw</v>
      </c>
      <c r="M691" s="2" t="str">
        <f>"強制"</f>
        <v>強制</v>
      </c>
      <c r="N691" s="2"/>
      <c r="O691" s="2"/>
      <c r="P691" s="2"/>
      <c r="Q691" s="2"/>
    </row>
    <row r="692" spans="1:17" x14ac:dyDescent="0.3">
      <c r="A692" s="2" t="str">
        <f>"4935"</f>
        <v>4935</v>
      </c>
      <c r="B692" s="2" t="s">
        <v>2026</v>
      </c>
      <c r="C692" s="2" t="s">
        <v>2027</v>
      </c>
      <c r="D692" s="2" t="s">
        <v>6016</v>
      </c>
      <c r="E692" s="2" t="s">
        <v>6320</v>
      </c>
      <c r="F692" s="2" t="s">
        <v>41</v>
      </c>
      <c r="G692" s="2" t="str">
        <f>"03-4262828"</f>
        <v>03-4262828</v>
      </c>
      <c r="H692" s="2" t="s">
        <v>456</v>
      </c>
      <c r="I692" s="2" t="str">
        <f>"02-25048125"</f>
        <v>02-25048125</v>
      </c>
      <c r="J692" s="2" t="str">
        <f>"--"</f>
        <v>--</v>
      </c>
      <c r="K692" s="2" t="str">
        <f>"--"</f>
        <v>--</v>
      </c>
      <c r="L692" s="2" t="str">
        <f>"--"</f>
        <v>--</v>
      </c>
      <c r="M692" s="2" t="str">
        <f>"--"</f>
        <v>--</v>
      </c>
      <c r="N692" s="2"/>
      <c r="O692" s="2"/>
      <c r="P692" s="2"/>
      <c r="Q692" s="2"/>
    </row>
    <row r="693" spans="1:17" x14ac:dyDescent="0.3">
      <c r="A693" s="2" t="str">
        <f>"4938"</f>
        <v>4938</v>
      </c>
      <c r="B693" s="2" t="s">
        <v>2028</v>
      </c>
      <c r="C693" s="2" t="s">
        <v>2029</v>
      </c>
      <c r="D693" s="2" t="s">
        <v>6000</v>
      </c>
      <c r="E693" s="2" t="s">
        <v>2030</v>
      </c>
      <c r="F693" s="2" t="s">
        <v>41</v>
      </c>
      <c r="G693" s="2" t="str">
        <f>"02-81439001"</f>
        <v>02-81439001</v>
      </c>
      <c r="H693" s="2" t="s">
        <v>415</v>
      </c>
      <c r="I693" s="2" t="str">
        <f>"02-23892999"</f>
        <v>02-23892999</v>
      </c>
      <c r="J693" s="2" t="str">
        <f>"自105年05月21日至105年06月18日止"</f>
        <v>自105年05月21日至105年06月18日止</v>
      </c>
      <c r="K693" s="2" t="str">
        <f>"台灣集中保管結算所股份有限公司"</f>
        <v>台灣集中保管結算所股份有限公司</v>
      </c>
      <c r="L693" s="2" t="str">
        <f>"http://www.stockvote.com.tw"</f>
        <v>http://www.stockvote.com.tw</v>
      </c>
      <c r="M693" s="2" t="str">
        <f>"--"</f>
        <v>--</v>
      </c>
      <c r="N693" s="2"/>
      <c r="O693" s="2"/>
      <c r="P693" s="2"/>
      <c r="Q693" s="2"/>
    </row>
    <row r="694" spans="1:17" x14ac:dyDescent="0.3">
      <c r="A694" s="2"/>
      <c r="B694" s="2"/>
      <c r="C694" s="2"/>
      <c r="D694" s="2"/>
      <c r="E694" s="2"/>
      <c r="F694" s="2"/>
      <c r="G694" s="2"/>
      <c r="H694" s="2"/>
      <c r="I694" s="2"/>
      <c r="J694" s="2"/>
      <c r="K694" s="2"/>
      <c r="L694" s="2"/>
      <c r="M694" s="2"/>
      <c r="N694" s="2"/>
      <c r="O694" s="2"/>
      <c r="P694" s="2"/>
      <c r="Q694" s="2"/>
    </row>
    <row r="695" spans="1:17" x14ac:dyDescent="0.3">
      <c r="A695" s="2" t="str">
        <f>"4942"</f>
        <v>4942</v>
      </c>
      <c r="B695" s="2" t="s">
        <v>2031</v>
      </c>
      <c r="C695" s="2" t="s">
        <v>6321</v>
      </c>
      <c r="D695" s="2" t="s">
        <v>6001</v>
      </c>
      <c r="E695" s="2" t="s">
        <v>6322</v>
      </c>
      <c r="F695" s="2" t="s">
        <v>41</v>
      </c>
      <c r="G695" s="2" t="str">
        <f>"03-3228175"</f>
        <v>03-3228175</v>
      </c>
      <c r="H695" s="2" t="s">
        <v>996</v>
      </c>
      <c r="I695" s="2" t="str">
        <f>"02-3393-0898"</f>
        <v>02-3393-0898</v>
      </c>
      <c r="J695" s="2" t="str">
        <f>"--"</f>
        <v>--</v>
      </c>
      <c r="K695" s="2" t="str">
        <f>"--"</f>
        <v>--</v>
      </c>
      <c r="L695" s="2" t="str">
        <f>"--"</f>
        <v>--</v>
      </c>
      <c r="M695" s="2" t="str">
        <f>"--"</f>
        <v>--</v>
      </c>
      <c r="N695" s="2"/>
      <c r="O695" s="2"/>
      <c r="P695" s="2"/>
      <c r="Q695" s="2"/>
    </row>
    <row r="696" spans="1:17" x14ac:dyDescent="0.3">
      <c r="A696" s="2" t="str">
        <f>"4952"</f>
        <v>4952</v>
      </c>
      <c r="B696" s="2" t="s">
        <v>2032</v>
      </c>
      <c r="C696" s="2" t="s">
        <v>2033</v>
      </c>
      <c r="D696" s="2" t="s">
        <v>6031</v>
      </c>
      <c r="E696" s="2" t="s">
        <v>2034</v>
      </c>
      <c r="F696" s="2" t="s">
        <v>41</v>
      </c>
      <c r="G696" s="2" t="str">
        <f>"03-6662118"</f>
        <v>03-6662118</v>
      </c>
      <c r="H696" s="2" t="s">
        <v>404</v>
      </c>
      <c r="I696" s="2" t="str">
        <f>"02-66365566"</f>
        <v>02-66365566</v>
      </c>
      <c r="J696" s="2" t="str">
        <f t="shared" ref="J696:L697" si="101">"--"</f>
        <v>--</v>
      </c>
      <c r="K696" s="2" t="str">
        <f t="shared" si="101"/>
        <v>--</v>
      </c>
      <c r="L696" s="2" t="str">
        <f t="shared" si="101"/>
        <v>--</v>
      </c>
      <c r="M696" s="2" t="str">
        <f>"否"</f>
        <v>否</v>
      </c>
      <c r="N696" s="2"/>
      <c r="O696" s="2"/>
      <c r="P696" s="2"/>
      <c r="Q696" s="2"/>
    </row>
    <row r="697" spans="1:17" x14ac:dyDescent="0.3">
      <c r="A697" s="2" t="str">
        <f>"4956"</f>
        <v>4956</v>
      </c>
      <c r="B697" s="2" t="s">
        <v>2035</v>
      </c>
      <c r="C697" s="2" t="s">
        <v>2036</v>
      </c>
      <c r="D697" s="2" t="s">
        <v>6025</v>
      </c>
      <c r="E697" s="2" t="s">
        <v>1840</v>
      </c>
      <c r="F697" s="2" t="s">
        <v>2</v>
      </c>
      <c r="G697" s="2" t="str">
        <f>"06-5050101"</f>
        <v>06-5050101</v>
      </c>
      <c r="H697" s="2" t="s">
        <v>2037</v>
      </c>
      <c r="I697" s="2" t="str">
        <f>"02-23611300"</f>
        <v>02-23611300</v>
      </c>
      <c r="J697" s="2" t="str">
        <f t="shared" si="101"/>
        <v>--</v>
      </c>
      <c r="K697" s="2" t="str">
        <f t="shared" si="101"/>
        <v>--</v>
      </c>
      <c r="L697" s="2" t="str">
        <f t="shared" si="101"/>
        <v>--</v>
      </c>
      <c r="M697" s="2" t="str">
        <f>"否"</f>
        <v>否</v>
      </c>
      <c r="N697" s="2"/>
      <c r="O697" s="2"/>
      <c r="P697" s="2"/>
      <c r="Q697" s="2"/>
    </row>
    <row r="698" spans="1:17" x14ac:dyDescent="0.3">
      <c r="A698" s="2" t="str">
        <f>"4958"</f>
        <v>4958</v>
      </c>
      <c r="B698" s="2" t="s">
        <v>2038</v>
      </c>
      <c r="C698" s="2" t="s">
        <v>2039</v>
      </c>
      <c r="D698" s="2" t="s">
        <v>6021</v>
      </c>
      <c r="E698" s="2" t="s">
        <v>2040</v>
      </c>
      <c r="F698" s="2" t="s">
        <v>2</v>
      </c>
      <c r="G698" s="2" t="str">
        <f>"(03)383-5678"</f>
        <v>(03)383-5678</v>
      </c>
      <c r="H698" s="2" t="s">
        <v>556</v>
      </c>
      <c r="I698" s="2" t="str">
        <f>"(02)2371-1658"</f>
        <v>(02)2371-1658</v>
      </c>
      <c r="J698" s="2" t="str">
        <f>"自105年05月14日至105年06月10日止"</f>
        <v>自105年05月14日至105年06月10日止</v>
      </c>
      <c r="K698" s="2" t="str">
        <f>"台灣集中保管結算所股份有限公司"</f>
        <v>台灣集中保管結算所股份有限公司</v>
      </c>
      <c r="L698" s="2" t="str">
        <f>"http://www.stockvote.com.tw"</f>
        <v>http://www.stockvote.com.tw</v>
      </c>
      <c r="M698" s="2" t="str">
        <f>"--"</f>
        <v>--</v>
      </c>
      <c r="N698" s="2"/>
      <c r="O698" s="2"/>
      <c r="P698" s="2"/>
      <c r="Q698" s="2"/>
    </row>
    <row r="699" spans="1:17" x14ac:dyDescent="0.3">
      <c r="A699" s="2" t="str">
        <f>"4960"</f>
        <v>4960</v>
      </c>
      <c r="B699" s="2" t="s">
        <v>2041</v>
      </c>
      <c r="C699" s="2" t="s">
        <v>2042</v>
      </c>
      <c r="D699" s="2" t="s">
        <v>6020</v>
      </c>
      <c r="E699" s="2" t="s">
        <v>2043</v>
      </c>
      <c r="F699" s="2" t="s">
        <v>41</v>
      </c>
      <c r="G699" s="2" t="str">
        <f>"(06)5889988"</f>
        <v>(06)5889988</v>
      </c>
      <c r="H699" s="2" t="s">
        <v>456</v>
      </c>
      <c r="I699" s="2" t="str">
        <f>"(02)2504-8125"</f>
        <v>(02)2504-8125</v>
      </c>
      <c r="J699" s="2" t="str">
        <f>"自105年05月21日至105年06月17日止"</f>
        <v>自105年05月21日至105年06月17日止</v>
      </c>
      <c r="K699" s="2" t="str">
        <f>"台灣集中保管結算所股份有限公司"</f>
        <v>台灣集中保管結算所股份有限公司</v>
      </c>
      <c r="L699" s="2" t="str">
        <f>"http://www.stockvote.com.tw"</f>
        <v>http://www.stockvote.com.tw</v>
      </c>
      <c r="M699" s="2" t="str">
        <f>"強制"</f>
        <v>強制</v>
      </c>
      <c r="N699" s="2"/>
      <c r="O699" s="2"/>
      <c r="P699" s="2"/>
      <c r="Q699" s="2"/>
    </row>
    <row r="700" spans="1:17" x14ac:dyDescent="0.3">
      <c r="A700" s="2" t="str">
        <f>"4968"</f>
        <v>4968</v>
      </c>
      <c r="B700" s="2" t="s">
        <v>4403</v>
      </c>
      <c r="C700" s="2" t="s">
        <v>4404</v>
      </c>
      <c r="D700" s="2" t="s">
        <v>6034</v>
      </c>
      <c r="E700" s="2" t="s">
        <v>6323</v>
      </c>
      <c r="F700" s="2" t="s">
        <v>41</v>
      </c>
      <c r="G700" s="2" t="str">
        <f>"(02)8751-1358"</f>
        <v>(02)8751-1358</v>
      </c>
      <c r="H700" s="2" t="s">
        <v>456</v>
      </c>
      <c r="I700" s="2" t="str">
        <f>"(02)2504-8125"</f>
        <v>(02)2504-8125</v>
      </c>
      <c r="J700" s="2" t="str">
        <f t="shared" ref="J700:L713" si="102">"--"</f>
        <v>--</v>
      </c>
      <c r="K700" s="2" t="str">
        <f t="shared" si="102"/>
        <v>--</v>
      </c>
      <c r="L700" s="2" t="str">
        <f t="shared" si="102"/>
        <v>--</v>
      </c>
      <c r="M700" s="2" t="str">
        <f>"否"</f>
        <v>否</v>
      </c>
      <c r="N700" s="2"/>
      <c r="O700" s="2"/>
      <c r="P700" s="2"/>
      <c r="Q700" s="2"/>
    </row>
    <row r="701" spans="1:17" x14ac:dyDescent="0.3">
      <c r="A701" s="2" t="str">
        <f>"4976"</f>
        <v>4976</v>
      </c>
      <c r="B701" s="2" t="s">
        <v>2044</v>
      </c>
      <c r="C701" s="2" t="s">
        <v>2045</v>
      </c>
      <c r="D701" s="2" t="s">
        <v>6000</v>
      </c>
      <c r="E701" s="2" t="s">
        <v>6324</v>
      </c>
      <c r="F701" s="2" t="s">
        <v>2</v>
      </c>
      <c r="G701" s="2" t="str">
        <f>"04-25353658"</f>
        <v>04-25353658</v>
      </c>
      <c r="H701" s="2" t="s">
        <v>1406</v>
      </c>
      <c r="I701" s="2" t="str">
        <f>"(02)2371-1658"</f>
        <v>(02)2371-1658</v>
      </c>
      <c r="J701" s="2" t="str">
        <f t="shared" si="102"/>
        <v>--</v>
      </c>
      <c r="K701" s="2" t="str">
        <f t="shared" si="102"/>
        <v>--</v>
      </c>
      <c r="L701" s="2" t="str">
        <f t="shared" si="102"/>
        <v>--</v>
      </c>
      <c r="M701" s="2" t="str">
        <f>"--"</f>
        <v>--</v>
      </c>
      <c r="N701" s="2"/>
      <c r="O701" s="2"/>
      <c r="P701" s="2"/>
      <c r="Q701" s="2"/>
    </row>
    <row r="702" spans="1:17" x14ac:dyDescent="0.3">
      <c r="A702" s="2" t="str">
        <f>"4977"</f>
        <v>4977</v>
      </c>
      <c r="B702" s="2" t="s">
        <v>2046</v>
      </c>
      <c r="C702" s="2" t="s">
        <v>6325</v>
      </c>
      <c r="D702" s="2" t="s">
        <v>6051</v>
      </c>
      <c r="E702" s="2" t="s">
        <v>6326</v>
      </c>
      <c r="F702" s="2" t="s">
        <v>41</v>
      </c>
      <c r="G702" s="2" t="str">
        <f>"27006650"</f>
        <v>27006650</v>
      </c>
      <c r="H702" s="2" t="s">
        <v>404</v>
      </c>
      <c r="I702" s="2" t="str">
        <f>"(02)6636-5566"</f>
        <v>(02)6636-5566</v>
      </c>
      <c r="J702" s="2" t="str">
        <f t="shared" si="102"/>
        <v>--</v>
      </c>
      <c r="K702" s="2" t="str">
        <f t="shared" si="102"/>
        <v>--</v>
      </c>
      <c r="L702" s="2" t="str">
        <f t="shared" si="102"/>
        <v>--</v>
      </c>
      <c r="M702" s="2" t="str">
        <f>"否"</f>
        <v>否</v>
      </c>
      <c r="N702" s="2"/>
      <c r="O702" s="2"/>
      <c r="P702" s="2"/>
      <c r="Q702" s="2"/>
    </row>
    <row r="703" spans="1:17" x14ac:dyDescent="0.3">
      <c r="A703" s="2" t="str">
        <f>"4984"</f>
        <v>4984</v>
      </c>
      <c r="B703" s="2" t="s">
        <v>2047</v>
      </c>
      <c r="C703" s="2" t="s">
        <v>6327</v>
      </c>
      <c r="D703" s="2" t="s">
        <v>6010</v>
      </c>
      <c r="E703" s="2" t="s">
        <v>6328</v>
      </c>
      <c r="F703" s="2" t="s">
        <v>2</v>
      </c>
      <c r="G703" s="2" t="str">
        <f>"(02)2656 2356"</f>
        <v>(02)2656 2356</v>
      </c>
      <c r="H703" s="2" t="s">
        <v>404</v>
      </c>
      <c r="I703" s="2" t="str">
        <f>"(02)66365566"</f>
        <v>(02)66365566</v>
      </c>
      <c r="J703" s="2" t="str">
        <f t="shared" si="102"/>
        <v>--</v>
      </c>
      <c r="K703" s="2" t="str">
        <f t="shared" si="102"/>
        <v>--</v>
      </c>
      <c r="L703" s="2" t="str">
        <f t="shared" si="102"/>
        <v>--</v>
      </c>
      <c r="M703" s="2" t="str">
        <f>"--"</f>
        <v>--</v>
      </c>
      <c r="N703" s="2"/>
      <c r="O703" s="2"/>
      <c r="P703" s="2"/>
      <c r="Q703" s="2"/>
    </row>
    <row r="704" spans="1:17" x14ac:dyDescent="0.3">
      <c r="A704" s="2" t="str">
        <f>"4994"</f>
        <v>4994</v>
      </c>
      <c r="B704" s="2" t="s">
        <v>2048</v>
      </c>
      <c r="C704" s="2" t="s">
        <v>6329</v>
      </c>
      <c r="D704" s="2" t="s">
        <v>5999</v>
      </c>
      <c r="E704" s="2" t="s">
        <v>2049</v>
      </c>
      <c r="F704" s="2" t="s">
        <v>41</v>
      </c>
      <c r="G704" s="2" t="str">
        <f>"02-77186620"</f>
        <v>02-77186620</v>
      </c>
      <c r="H704" s="2" t="s">
        <v>456</v>
      </c>
      <c r="I704" s="2" t="str">
        <f>"02-25048125"</f>
        <v>02-25048125</v>
      </c>
      <c r="J704" s="2" t="str">
        <f t="shared" si="102"/>
        <v>--</v>
      </c>
      <c r="K704" s="2" t="str">
        <f t="shared" si="102"/>
        <v>--</v>
      </c>
      <c r="L704" s="2" t="str">
        <f t="shared" si="102"/>
        <v>--</v>
      </c>
      <c r="M704" s="2" t="str">
        <f>"--"</f>
        <v>--</v>
      </c>
      <c r="N704" s="2"/>
      <c r="O704" s="2"/>
      <c r="P704" s="2"/>
      <c r="Q704" s="2"/>
    </row>
    <row r="705" spans="1:17" x14ac:dyDescent="0.3">
      <c r="A705" s="2" t="str">
        <f>"4999"</f>
        <v>4999</v>
      </c>
      <c r="B705" s="2" t="s">
        <v>328</v>
      </c>
      <c r="C705" s="2" t="s">
        <v>2050</v>
      </c>
      <c r="D705" s="2" t="s">
        <v>6016</v>
      </c>
      <c r="E705" s="2" t="s">
        <v>2051</v>
      </c>
      <c r="F705" s="2" t="s">
        <v>2</v>
      </c>
      <c r="G705" s="2" t="str">
        <f>"(02)2692-6960"</f>
        <v>(02)2692-6960</v>
      </c>
      <c r="H705" s="2" t="s">
        <v>541</v>
      </c>
      <c r="I705" s="2" t="str">
        <f>"(02)3393-0898"</f>
        <v>(02)3393-0898</v>
      </c>
      <c r="J705" s="2" t="str">
        <f t="shared" si="102"/>
        <v>--</v>
      </c>
      <c r="K705" s="2" t="str">
        <f t="shared" si="102"/>
        <v>--</v>
      </c>
      <c r="L705" s="2" t="str">
        <f t="shared" si="102"/>
        <v>--</v>
      </c>
      <c r="M705" s="2" t="str">
        <f>"否"</f>
        <v>否</v>
      </c>
      <c r="N705" s="2"/>
      <c r="O705" s="2"/>
      <c r="P705" s="2"/>
      <c r="Q705" s="2"/>
    </row>
    <row r="706" spans="1:17" x14ac:dyDescent="0.3">
      <c r="A706" s="2" t="str">
        <f>"5007"</f>
        <v>5007</v>
      </c>
      <c r="B706" s="2" t="s">
        <v>2052</v>
      </c>
      <c r="C706" s="2" t="s">
        <v>2053</v>
      </c>
      <c r="D706" s="2" t="s">
        <v>6330</v>
      </c>
      <c r="E706" s="2" t="s">
        <v>2054</v>
      </c>
      <c r="F706" s="2" t="s">
        <v>2</v>
      </c>
      <c r="G706" s="2" t="str">
        <f>"(06)2306611"</f>
        <v>(06)2306611</v>
      </c>
      <c r="H706" s="2" t="s">
        <v>653</v>
      </c>
      <c r="I706" s="2" t="str">
        <f>"(02)27686668"</f>
        <v>(02)27686668</v>
      </c>
      <c r="J706" s="2" t="str">
        <f t="shared" si="102"/>
        <v>--</v>
      </c>
      <c r="K706" s="2" t="str">
        <f t="shared" si="102"/>
        <v>--</v>
      </c>
      <c r="L706" s="2" t="str">
        <f t="shared" si="102"/>
        <v>--</v>
      </c>
      <c r="M706" s="2" t="str">
        <f>"否"</f>
        <v>否</v>
      </c>
      <c r="N706" s="2"/>
      <c r="O706" s="2"/>
      <c r="P706" s="2"/>
      <c r="Q706" s="2"/>
    </row>
    <row r="707" spans="1:17" x14ac:dyDescent="0.3">
      <c r="A707" s="2" t="str">
        <f>"5203"</f>
        <v>5203</v>
      </c>
      <c r="B707" s="2" t="s">
        <v>359</v>
      </c>
      <c r="C707" s="2" t="s">
        <v>2055</v>
      </c>
      <c r="D707" s="2" t="s">
        <v>6015</v>
      </c>
      <c r="E707" s="2" t="s">
        <v>2056</v>
      </c>
      <c r="F707" s="2" t="s">
        <v>41</v>
      </c>
      <c r="G707" s="2" t="str">
        <f>"86671298"</f>
        <v>86671298</v>
      </c>
      <c r="H707" s="2" t="s">
        <v>582</v>
      </c>
      <c r="I707" s="2" t="str">
        <f>"02-2586-5859"</f>
        <v>02-2586-5859</v>
      </c>
      <c r="J707" s="2" t="str">
        <f t="shared" si="102"/>
        <v>--</v>
      </c>
      <c r="K707" s="2" t="str">
        <f t="shared" si="102"/>
        <v>--</v>
      </c>
      <c r="L707" s="2" t="str">
        <f t="shared" si="102"/>
        <v>--</v>
      </c>
      <c r="M707" s="2" t="str">
        <f>"--"</f>
        <v>--</v>
      </c>
      <c r="N707" s="2"/>
      <c r="O707" s="2"/>
      <c r="P707" s="2"/>
      <c r="Q707" s="2"/>
    </row>
    <row r="708" spans="1:17" x14ac:dyDescent="0.3">
      <c r="A708" s="2" t="str">
        <f>"5215"</f>
        <v>5215</v>
      </c>
      <c r="B708" s="2" t="s">
        <v>2057</v>
      </c>
      <c r="C708" s="2" t="s">
        <v>2058</v>
      </c>
      <c r="D708" s="2" t="s">
        <v>6025</v>
      </c>
      <c r="E708" s="2" t="s">
        <v>1742</v>
      </c>
      <c r="F708" s="2" t="s">
        <v>2</v>
      </c>
      <c r="G708" s="2" t="str">
        <f>"(02)2243-6177"</f>
        <v>(02)2243-6177</v>
      </c>
      <c r="H708" s="2" t="s">
        <v>2059</v>
      </c>
      <c r="I708" s="2" t="str">
        <f>"(02)2541-9977"</f>
        <v>(02)2541-9977</v>
      </c>
      <c r="J708" s="2" t="str">
        <f t="shared" si="102"/>
        <v>--</v>
      </c>
      <c r="K708" s="2" t="str">
        <f t="shared" si="102"/>
        <v>--</v>
      </c>
      <c r="L708" s="2" t="str">
        <f t="shared" si="102"/>
        <v>--</v>
      </c>
      <c r="M708" s="2" t="str">
        <f>"否"</f>
        <v>否</v>
      </c>
      <c r="N708" s="2"/>
      <c r="O708" s="2"/>
      <c r="P708" s="2"/>
      <c r="Q708" s="2"/>
    </row>
    <row r="709" spans="1:17" x14ac:dyDescent="0.3">
      <c r="A709" s="2" t="str">
        <f>"5225"</f>
        <v>5225</v>
      </c>
      <c r="B709" s="2" t="s">
        <v>2060</v>
      </c>
      <c r="C709" s="2" t="s">
        <v>6331</v>
      </c>
      <c r="D709" s="2" t="s">
        <v>6332</v>
      </c>
      <c r="E709" s="2" t="s">
        <v>2061</v>
      </c>
      <c r="F709" s="2" t="s">
        <v>2</v>
      </c>
      <c r="G709" s="2" t="str">
        <f>"(02)8911-3535"</f>
        <v>(02)8911-3535</v>
      </c>
      <c r="H709" s="2" t="s">
        <v>465</v>
      </c>
      <c r="I709" s="2" t="str">
        <f>"(02)2381-6288"</f>
        <v>(02)2381-6288</v>
      </c>
      <c r="J709" s="2" t="str">
        <f t="shared" si="102"/>
        <v>--</v>
      </c>
      <c r="K709" s="2" t="str">
        <f t="shared" si="102"/>
        <v>--</v>
      </c>
      <c r="L709" s="2" t="str">
        <f t="shared" si="102"/>
        <v>--</v>
      </c>
      <c r="M709" s="2" t="str">
        <f>"否"</f>
        <v>否</v>
      </c>
      <c r="N709" s="2"/>
      <c r="O709" s="2"/>
      <c r="P709" s="2"/>
      <c r="Q709" s="2"/>
    </row>
    <row r="710" spans="1:17" x14ac:dyDescent="0.3">
      <c r="A710" s="2" t="str">
        <f>"5234"</f>
        <v>5234</v>
      </c>
      <c r="B710" s="2" t="s">
        <v>2062</v>
      </c>
      <c r="C710" s="2" t="s">
        <v>2063</v>
      </c>
      <c r="D710" s="2" t="s">
        <v>6034</v>
      </c>
      <c r="E710" s="2" t="s">
        <v>2064</v>
      </c>
      <c r="F710" s="2" t="s">
        <v>2</v>
      </c>
      <c r="G710" s="2" t="str">
        <f>"04-24608889"</f>
        <v>04-24608889</v>
      </c>
      <c r="H710" s="2" t="s">
        <v>456</v>
      </c>
      <c r="I710" s="2" t="str">
        <f>"02-25048125"</f>
        <v>02-25048125</v>
      </c>
      <c r="J710" s="2" t="str">
        <f t="shared" si="102"/>
        <v>--</v>
      </c>
      <c r="K710" s="2" t="str">
        <f t="shared" si="102"/>
        <v>--</v>
      </c>
      <c r="L710" s="2" t="str">
        <f t="shared" si="102"/>
        <v>--</v>
      </c>
      <c r="M710" s="2" t="str">
        <f>"否"</f>
        <v>否</v>
      </c>
      <c r="N710" s="2"/>
      <c r="O710" s="2"/>
      <c r="P710" s="2"/>
      <c r="Q710" s="2"/>
    </row>
    <row r="711" spans="1:17" x14ac:dyDescent="0.3">
      <c r="A711" s="2" t="str">
        <f>"5243"</f>
        <v>5243</v>
      </c>
      <c r="B711" s="2" t="s">
        <v>2065</v>
      </c>
      <c r="C711" s="2" t="s">
        <v>2066</v>
      </c>
      <c r="D711" s="2" t="s">
        <v>5999</v>
      </c>
      <c r="E711" s="2" t="s">
        <v>2067</v>
      </c>
      <c r="F711" s="2" t="s">
        <v>2</v>
      </c>
      <c r="G711" s="2" t="str">
        <f>"02-2267-3272"</f>
        <v>02-2267-3272</v>
      </c>
      <c r="H711" s="2" t="s">
        <v>640</v>
      </c>
      <c r="I711" s="2" t="str">
        <f>"02-2371-1658"</f>
        <v>02-2371-1658</v>
      </c>
      <c r="J711" s="2" t="str">
        <f t="shared" si="102"/>
        <v>--</v>
      </c>
      <c r="K711" s="2" t="str">
        <f t="shared" si="102"/>
        <v>--</v>
      </c>
      <c r="L711" s="2" t="str">
        <f t="shared" si="102"/>
        <v>--</v>
      </c>
      <c r="M711" s="2" t="str">
        <f>"--"</f>
        <v>--</v>
      </c>
      <c r="N711" s="2"/>
      <c r="O711" s="2"/>
      <c r="P711" s="2"/>
      <c r="Q711" s="2"/>
    </row>
    <row r="712" spans="1:17" x14ac:dyDescent="0.3">
      <c r="A712" s="2" t="str">
        <f>"5259"</f>
        <v>5259</v>
      </c>
      <c r="B712" s="2" t="s">
        <v>2068</v>
      </c>
      <c r="C712" s="2" t="s">
        <v>2069</v>
      </c>
      <c r="D712" s="2" t="s">
        <v>6021</v>
      </c>
      <c r="E712" s="2" t="s">
        <v>6333</v>
      </c>
      <c r="F712" s="2" t="s">
        <v>41</v>
      </c>
      <c r="G712" s="2" t="str">
        <f>"03-5996720"</f>
        <v>03-5996720</v>
      </c>
      <c r="H712" s="2" t="s">
        <v>1063</v>
      </c>
      <c r="I712" s="2" t="str">
        <f>"02-77198899"</f>
        <v>02-77198899</v>
      </c>
      <c r="J712" s="2" t="str">
        <f t="shared" si="102"/>
        <v>--</v>
      </c>
      <c r="K712" s="2" t="str">
        <f t="shared" si="102"/>
        <v>--</v>
      </c>
      <c r="L712" s="2" t="str">
        <f t="shared" si="102"/>
        <v>--</v>
      </c>
      <c r="M712" s="2" t="str">
        <f>"--"</f>
        <v>--</v>
      </c>
      <c r="N712" s="2"/>
      <c r="O712" s="2"/>
      <c r="P712" s="2"/>
      <c r="Q712" s="2"/>
    </row>
    <row r="713" spans="1:17" x14ac:dyDescent="0.3">
      <c r="A713" s="2" t="str">
        <f>"5264"</f>
        <v>5264</v>
      </c>
      <c r="B713" s="2" t="s">
        <v>2070</v>
      </c>
      <c r="C713" s="2" t="s">
        <v>2071</v>
      </c>
      <c r="D713" s="2" t="s">
        <v>6010</v>
      </c>
      <c r="E713" s="2" t="s">
        <v>1878</v>
      </c>
      <c r="F713" s="2" t="s">
        <v>41</v>
      </c>
      <c r="G713" s="2" t="str">
        <f>"02-55630588"</f>
        <v>02-55630588</v>
      </c>
      <c r="H713" s="2" t="s">
        <v>415</v>
      </c>
      <c r="I713" s="2" t="str">
        <f>"02-2389-2999"</f>
        <v>02-2389-2999</v>
      </c>
      <c r="J713" s="2" t="str">
        <f t="shared" si="102"/>
        <v>--</v>
      </c>
      <c r="K713" s="2" t="str">
        <f t="shared" si="102"/>
        <v>--</v>
      </c>
      <c r="L713" s="2" t="str">
        <f t="shared" si="102"/>
        <v>--</v>
      </c>
      <c r="M713" s="2" t="str">
        <f>"--"</f>
        <v>--</v>
      </c>
      <c r="N713" s="2"/>
      <c r="O713" s="2"/>
      <c r="P713" s="2"/>
      <c r="Q713" s="2"/>
    </row>
    <row r="714" spans="1:17" x14ac:dyDescent="0.3">
      <c r="A714" s="2" t="str">
        <f>"5269"</f>
        <v>5269</v>
      </c>
      <c r="B714" s="2" t="s">
        <v>2072</v>
      </c>
      <c r="C714" s="2" t="s">
        <v>2073</v>
      </c>
      <c r="D714" s="2" t="s">
        <v>6024</v>
      </c>
      <c r="E714" s="2" t="s">
        <v>2074</v>
      </c>
      <c r="F714" s="2" t="s">
        <v>2</v>
      </c>
      <c r="G714" s="2" t="str">
        <f>"(02)22196088"</f>
        <v>(02)22196088</v>
      </c>
      <c r="H714" s="2" t="s">
        <v>415</v>
      </c>
      <c r="I714" s="2" t="str">
        <f>"(02)23892999"</f>
        <v>(02)23892999</v>
      </c>
      <c r="J714" s="2" t="str">
        <f>"自105年05月07日至105年06月04日止"</f>
        <v>自105年05月07日至105年06月04日止</v>
      </c>
      <c r="K714" s="2" t="str">
        <f>"台灣集中保管結算所股份有限公司"</f>
        <v>台灣集中保管結算所股份有限公司</v>
      </c>
      <c r="L714" s="2" t="str">
        <f>"http://www.stockvote.com.tw"</f>
        <v>http://www.stockvote.com.tw</v>
      </c>
      <c r="M714" s="2" t="str">
        <f>"&lt;b&gt;&lt;font color='red'&gt;自願&lt;/font&gt;&lt;/b&gt;"</f>
        <v>&lt;b&gt;&lt;font color='red'&gt;自願&lt;/font&gt;&lt;/b&gt;</v>
      </c>
      <c r="N714" s="2"/>
      <c r="O714" s="2"/>
      <c r="P714" s="2"/>
      <c r="Q714" s="2"/>
    </row>
    <row r="715" spans="1:17" x14ac:dyDescent="0.3">
      <c r="A715" s="2" t="str">
        <f>"5285"</f>
        <v>5285</v>
      </c>
      <c r="B715" s="2" t="s">
        <v>2075</v>
      </c>
      <c r="C715" s="2" t="s">
        <v>2076</v>
      </c>
      <c r="D715" s="2" t="s">
        <v>6000</v>
      </c>
      <c r="E715" s="2" t="s">
        <v>6334</v>
      </c>
      <c r="F715" s="2" t="s">
        <v>2</v>
      </c>
      <c r="G715" s="2" t="str">
        <f>"(07)3658228"</f>
        <v>(07)3658228</v>
      </c>
      <c r="H715" s="2" t="s">
        <v>631</v>
      </c>
      <c r="I715" s="2" t="str">
        <f>"(02)2541-9977"</f>
        <v>(02)2541-9977</v>
      </c>
      <c r="J715" s="2" t="str">
        <f>"--"</f>
        <v>--</v>
      </c>
      <c r="K715" s="2" t="str">
        <f>"--"</f>
        <v>--</v>
      </c>
      <c r="L715" s="2" t="str">
        <f>"--"</f>
        <v>--</v>
      </c>
      <c r="M715" s="2" t="str">
        <f>"--"</f>
        <v>--</v>
      </c>
      <c r="N715" s="2"/>
      <c r="O715" s="2"/>
      <c r="P715" s="2"/>
      <c r="Q715" s="2"/>
    </row>
    <row r="716" spans="1:17" x14ac:dyDescent="0.3">
      <c r="A716" s="2" t="str">
        <f>"5288"</f>
        <v>5288</v>
      </c>
      <c r="B716" s="2" t="s">
        <v>2077</v>
      </c>
      <c r="C716" s="2" t="s">
        <v>2078</v>
      </c>
      <c r="D716" s="2" t="s">
        <v>6015</v>
      </c>
      <c r="E716" s="2" t="s">
        <v>2079</v>
      </c>
      <c r="F716" s="2" t="s">
        <v>41</v>
      </c>
      <c r="G716" s="2" t="str">
        <f>"02-2908-3963"</f>
        <v>02-2908-3963</v>
      </c>
      <c r="H716" s="2" t="s">
        <v>539</v>
      </c>
      <c r="I716" s="2" t="str">
        <f>"02-2586-5859"</f>
        <v>02-2586-5859</v>
      </c>
      <c r="J716" s="2" t="str">
        <f>"自105年05月24日至105年06月20日止"</f>
        <v>自105年05月24日至105年06月20日止</v>
      </c>
      <c r="K716" s="2" t="str">
        <f>"台灣集中保管結算所股份有限公司"</f>
        <v>台灣集中保管結算所股份有限公司</v>
      </c>
      <c r="L716" s="2" t="str">
        <f>"http://www.stockvote.com.tw"</f>
        <v>http://www.stockvote.com.tw</v>
      </c>
      <c r="M716" s="2" t="str">
        <f>"--"</f>
        <v>--</v>
      </c>
      <c r="N716" s="2"/>
      <c r="O716" s="2"/>
      <c r="P716" s="2"/>
      <c r="Q716" s="2"/>
    </row>
    <row r="717" spans="1:17" x14ac:dyDescent="0.3">
      <c r="A717" s="2" t="str">
        <f>"5305"</f>
        <v>5305</v>
      </c>
      <c r="B717" s="2" t="s">
        <v>2080</v>
      </c>
      <c r="C717" s="2" t="s">
        <v>6335</v>
      </c>
      <c r="D717" s="2" t="s">
        <v>6021</v>
      </c>
      <c r="E717" s="2" t="s">
        <v>1056</v>
      </c>
      <c r="F717" s="2" t="s">
        <v>41</v>
      </c>
      <c r="G717" s="2" t="str">
        <f>"2916-0230"</f>
        <v>2916-0230</v>
      </c>
      <c r="H717" s="2" t="s">
        <v>2081</v>
      </c>
      <c r="I717" s="2" t="str">
        <f>"87982301"</f>
        <v>87982301</v>
      </c>
      <c r="J717" s="2" t="str">
        <f>"自105年05月14日至105年06月10日止"</f>
        <v>自105年05月14日至105年06月10日止</v>
      </c>
      <c r="K717" s="2" t="str">
        <f>"台灣集中保管結算所股份有限公司"</f>
        <v>台灣集中保管結算所股份有限公司</v>
      </c>
      <c r="L717" s="2" t="str">
        <f>"http://www.stockvote.com.tw"</f>
        <v>http://www.stockvote.com.tw</v>
      </c>
      <c r="M717" s="2" t="str">
        <f>"強制"</f>
        <v>強制</v>
      </c>
      <c r="N717" s="2"/>
      <c r="O717" s="2"/>
      <c r="P717" s="2"/>
      <c r="Q717" s="2"/>
    </row>
    <row r="718" spans="1:17" x14ac:dyDescent="0.3">
      <c r="A718" s="2" t="str">
        <f>"5388"</f>
        <v>5388</v>
      </c>
      <c r="B718" s="2" t="s">
        <v>2082</v>
      </c>
      <c r="C718" s="2" t="s">
        <v>2083</v>
      </c>
      <c r="D718" s="2" t="s">
        <v>6002</v>
      </c>
      <c r="E718" s="2" t="s">
        <v>2084</v>
      </c>
      <c r="F718" s="2" t="s">
        <v>41</v>
      </c>
      <c r="G718" s="2" t="str">
        <f>"2655-3988"</f>
        <v>2655-3988</v>
      </c>
      <c r="H718" s="2" t="s">
        <v>456</v>
      </c>
      <c r="I718" s="2" t="str">
        <f>"(02)2504-8125"</f>
        <v>(02)2504-8125</v>
      </c>
      <c r="J718" s="2" t="str">
        <f>"自105年05月14日至105年06月12日止"</f>
        <v>自105年05月14日至105年06月12日止</v>
      </c>
      <c r="K718" s="2" t="str">
        <f>"台灣集中保管結算所股份有限公司"</f>
        <v>台灣集中保管結算所股份有限公司</v>
      </c>
      <c r="L718" s="2" t="str">
        <f>"http://www.stockvote.com.tw"</f>
        <v>http://www.stockvote.com.tw</v>
      </c>
      <c r="M718" s="2" t="str">
        <f>"--"</f>
        <v>--</v>
      </c>
      <c r="N718" s="2"/>
      <c r="O718" s="2"/>
      <c r="P718" s="2"/>
      <c r="Q718" s="2"/>
    </row>
    <row r="719" spans="1:17" x14ac:dyDescent="0.3">
      <c r="A719" s="2" t="str">
        <f>"5434"</f>
        <v>5434</v>
      </c>
      <c r="B719" s="2" t="s">
        <v>2085</v>
      </c>
      <c r="C719" s="2" t="s">
        <v>2086</v>
      </c>
      <c r="D719" s="2" t="s">
        <v>6002</v>
      </c>
      <c r="E719" s="2" t="s">
        <v>6336</v>
      </c>
      <c r="F719" s="2" t="s">
        <v>2</v>
      </c>
      <c r="G719" s="2" t="str">
        <f>"02-8797-8020"</f>
        <v>02-8797-8020</v>
      </c>
      <c r="H719" s="2" t="s">
        <v>640</v>
      </c>
      <c r="I719" s="2" t="str">
        <f>"02-2371-1658"</f>
        <v>02-2371-1658</v>
      </c>
      <c r="J719" s="2" t="str">
        <f>"--"</f>
        <v>--</v>
      </c>
      <c r="K719" s="2" t="str">
        <f>"--"</f>
        <v>--</v>
      </c>
      <c r="L719" s="2" t="str">
        <f>"--"</f>
        <v>--</v>
      </c>
      <c r="M719" s="2" t="str">
        <f>"--"</f>
        <v>--</v>
      </c>
      <c r="N719" s="2"/>
      <c r="O719" s="2"/>
      <c r="P719" s="2"/>
      <c r="Q719" s="2"/>
    </row>
    <row r="720" spans="1:17" x14ac:dyDescent="0.3">
      <c r="A720" s="2" t="str">
        <f>"5469"</f>
        <v>5469</v>
      </c>
      <c r="B720" s="2" t="s">
        <v>2087</v>
      </c>
      <c r="C720" s="2" t="s">
        <v>6337</v>
      </c>
      <c r="D720" s="2" t="s">
        <v>6002</v>
      </c>
      <c r="E720" s="2" t="s">
        <v>2088</v>
      </c>
      <c r="F720" s="2" t="s">
        <v>2</v>
      </c>
      <c r="G720" s="2" t="str">
        <f>"(03)4838500"</f>
        <v>(03)4838500</v>
      </c>
      <c r="H720" s="2" t="s">
        <v>2089</v>
      </c>
      <c r="I720" s="2" t="str">
        <f>"(02)27905885"</f>
        <v>(02)27905885</v>
      </c>
      <c r="J720" s="2" t="str">
        <f>"自105年05月16日至105年06月12日止"</f>
        <v>自105年05月16日至105年06月12日止</v>
      </c>
      <c r="K720" s="2" t="str">
        <f>"台灣集中保管結算所股份有限公司"</f>
        <v>台灣集中保管結算所股份有限公司</v>
      </c>
      <c r="L720" s="2" t="str">
        <f>"http://www.stockvote.com.tw"</f>
        <v>http://www.stockvote.com.tw</v>
      </c>
      <c r="M720" s="2" t="str">
        <f>"&lt;b&gt;&lt;font color='red'&gt;自願&lt;/font&gt;&lt;/b&gt;"</f>
        <v>&lt;b&gt;&lt;font color='red'&gt;自願&lt;/font&gt;&lt;/b&gt;</v>
      </c>
      <c r="N720" s="2"/>
      <c r="O720" s="2"/>
      <c r="P720" s="2"/>
      <c r="Q720" s="2"/>
    </row>
    <row r="721" spans="1:17" x14ac:dyDescent="0.3">
      <c r="A721" s="2" t="str">
        <f>"5471"</f>
        <v>5471</v>
      </c>
      <c r="B721" s="2" t="s">
        <v>2090</v>
      </c>
      <c r="C721" s="2" t="s">
        <v>2091</v>
      </c>
      <c r="D721" s="2" t="s">
        <v>6000</v>
      </c>
      <c r="E721" s="2" t="s">
        <v>2092</v>
      </c>
      <c r="F721" s="2" t="s">
        <v>2</v>
      </c>
      <c r="G721" s="2" t="str">
        <f>"03-5600888"</f>
        <v>03-5600888</v>
      </c>
      <c r="H721" s="2" t="s">
        <v>539</v>
      </c>
      <c r="I721" s="2" t="str">
        <f>"02-25865859"</f>
        <v>02-25865859</v>
      </c>
      <c r="J721" s="2" t="str">
        <f>"--"</f>
        <v>--</v>
      </c>
      <c r="K721" s="2" t="str">
        <f>"--"</f>
        <v>--</v>
      </c>
      <c r="L721" s="2" t="str">
        <f>"--"</f>
        <v>--</v>
      </c>
      <c r="M721" s="2" t="str">
        <f>"--"</f>
        <v>--</v>
      </c>
      <c r="N721" s="2"/>
      <c r="O721" s="2"/>
      <c r="P721" s="2"/>
      <c r="Q721" s="2"/>
    </row>
    <row r="722" spans="1:17" x14ac:dyDescent="0.3">
      <c r="A722" s="2" t="str">
        <f>"5484"</f>
        <v>5484</v>
      </c>
      <c r="B722" s="2" t="s">
        <v>2093</v>
      </c>
      <c r="C722" s="2" t="s">
        <v>2094</v>
      </c>
      <c r="D722" s="2" t="s">
        <v>6025</v>
      </c>
      <c r="E722" s="2" t="s">
        <v>6338</v>
      </c>
      <c r="F722" s="2" t="s">
        <v>2</v>
      </c>
      <c r="G722" s="2" t="str">
        <f>"(02)2698-2334"</f>
        <v>(02)2698-2334</v>
      </c>
      <c r="H722" s="2" t="s">
        <v>2095</v>
      </c>
      <c r="I722" s="2" t="str">
        <f>"(02)2371-1658"</f>
        <v>(02)2371-1658</v>
      </c>
      <c r="J722" s="2" t="str">
        <f>"--"</f>
        <v>--</v>
      </c>
      <c r="K722" s="2" t="str">
        <f>"--"</f>
        <v>--</v>
      </c>
      <c r="L722" s="2" t="str">
        <f>"--"</f>
        <v>--</v>
      </c>
      <c r="M722" s="2" t="str">
        <f>"否"</f>
        <v>否</v>
      </c>
      <c r="N722" s="2"/>
      <c r="O722" s="2"/>
      <c r="P722" s="2"/>
      <c r="Q722" s="2"/>
    </row>
    <row r="723" spans="1:17" x14ac:dyDescent="0.3">
      <c r="A723" s="2" t="str">
        <f>"5515"</f>
        <v>5515</v>
      </c>
      <c r="B723" s="2" t="s">
        <v>2096</v>
      </c>
      <c r="C723" s="2" t="s">
        <v>2097</v>
      </c>
      <c r="D723" s="2" t="s">
        <v>6000</v>
      </c>
      <c r="E723" s="2" t="s">
        <v>6339</v>
      </c>
      <c r="F723" s="2" t="s">
        <v>41</v>
      </c>
      <c r="G723" s="2" t="str">
        <f>"2784-9730"</f>
        <v>2784-9730</v>
      </c>
      <c r="H723" s="2" t="s">
        <v>6006</v>
      </c>
      <c r="I723" s="2" t="str">
        <f>"02-2586-5859"</f>
        <v>02-2586-5859</v>
      </c>
      <c r="J723" s="2" t="str">
        <f>"自105年05月21日至105年06月18日止"</f>
        <v>自105年05月21日至105年06月18日止</v>
      </c>
      <c r="K723" s="2" t="str">
        <f>"台灣集中保管結算所股份有限公司"</f>
        <v>台灣集中保管結算所股份有限公司</v>
      </c>
      <c r="L723" s="2" t="str">
        <f>"http://www.stockvote.com.tw"</f>
        <v>http://www.stockvote.com.tw</v>
      </c>
      <c r="M723" s="2" t="str">
        <f>"--"</f>
        <v>--</v>
      </c>
      <c r="N723" s="2"/>
      <c r="O723" s="2"/>
      <c r="P723" s="2"/>
      <c r="Q723" s="2"/>
    </row>
    <row r="724" spans="1:17" x14ac:dyDescent="0.3">
      <c r="A724" s="2" t="str">
        <f>"5519"</f>
        <v>5519</v>
      </c>
      <c r="B724" s="2" t="s">
        <v>2098</v>
      </c>
      <c r="C724" s="2" t="s">
        <v>2099</v>
      </c>
      <c r="D724" s="2" t="s">
        <v>6020</v>
      </c>
      <c r="E724" s="2" t="s">
        <v>2100</v>
      </c>
      <c r="F724" s="2" t="s">
        <v>2</v>
      </c>
      <c r="G724" s="2" t="str">
        <f>"07-3367041"</f>
        <v>07-3367041</v>
      </c>
      <c r="H724" s="2" t="s">
        <v>1028</v>
      </c>
      <c r="I724" s="2" t="str">
        <f>"02-23816288"</f>
        <v>02-23816288</v>
      </c>
      <c r="J724" s="2" t="str">
        <f>"--"</f>
        <v>--</v>
      </c>
      <c r="K724" s="2" t="str">
        <f>"--"</f>
        <v>--</v>
      </c>
      <c r="L724" s="2" t="str">
        <f>"--"</f>
        <v>--</v>
      </c>
      <c r="M724" s="2" t="str">
        <f>"否"</f>
        <v>否</v>
      </c>
      <c r="N724" s="2"/>
      <c r="O724" s="2"/>
      <c r="P724" s="2"/>
      <c r="Q724" s="2"/>
    </row>
    <row r="725" spans="1:17" x14ac:dyDescent="0.3">
      <c r="A725" s="2" t="str">
        <f>"5521"</f>
        <v>5521</v>
      </c>
      <c r="B725" s="2" t="s">
        <v>253</v>
      </c>
      <c r="C725" s="2" t="s">
        <v>2101</v>
      </c>
      <c r="D725" s="2" t="s">
        <v>6007</v>
      </c>
      <c r="E725" s="2" t="s">
        <v>6340</v>
      </c>
      <c r="F725" s="2" t="s">
        <v>2</v>
      </c>
      <c r="G725" s="2" t="str">
        <f>"(02)27514188"</f>
        <v>(02)27514188</v>
      </c>
      <c r="H725" s="2" t="s">
        <v>456</v>
      </c>
      <c r="I725" s="2" t="str">
        <f>"02-25048125"</f>
        <v>02-25048125</v>
      </c>
      <c r="J725" s="2" t="str">
        <f>"自105年05月28日至105年06月25日止"</f>
        <v>自105年05月28日至105年06月25日止</v>
      </c>
      <c r="K725" s="2" t="str">
        <f>"台灣集中保管結算所股份有限公司"</f>
        <v>台灣集中保管結算所股份有限公司</v>
      </c>
      <c r="L725" s="2" t="str">
        <f>"http://www.stockvote.com.tw"</f>
        <v>http://www.stockvote.com.tw</v>
      </c>
      <c r="M725" s="2" t="str">
        <f>"--"</f>
        <v>--</v>
      </c>
      <c r="N725" s="2"/>
      <c r="O725" s="2"/>
      <c r="P725" s="2"/>
      <c r="Q725" s="2"/>
    </row>
    <row r="726" spans="1:17" x14ac:dyDescent="0.3">
      <c r="A726" s="2" t="str">
        <f>"5522"</f>
        <v>5522</v>
      </c>
      <c r="B726" s="2" t="s">
        <v>2102</v>
      </c>
      <c r="C726" s="2" t="s">
        <v>2103</v>
      </c>
      <c r="D726" s="2" t="s">
        <v>6025</v>
      </c>
      <c r="E726" s="2" t="s">
        <v>2104</v>
      </c>
      <c r="F726" s="2" t="s">
        <v>41</v>
      </c>
      <c r="G726" s="2" t="str">
        <f>"2723-9999"</f>
        <v>2723-9999</v>
      </c>
      <c r="H726" s="2" t="s">
        <v>6006</v>
      </c>
      <c r="I726" s="2" t="str">
        <f>"2586-5859"</f>
        <v>2586-5859</v>
      </c>
      <c r="J726" s="2" t="str">
        <f>"自105年05月09日至105年06月05日止"</f>
        <v>自105年05月09日至105年06月05日止</v>
      </c>
      <c r="K726" s="2" t="str">
        <f>"台灣集中保管結算所股份有限公司"</f>
        <v>台灣集中保管結算所股份有限公司</v>
      </c>
      <c r="L726" s="2" t="str">
        <f>"http://www.stockvote.com.tw"</f>
        <v>http://www.stockvote.com.tw</v>
      </c>
      <c r="M726" s="2" t="str">
        <f>"強制"</f>
        <v>強制</v>
      </c>
      <c r="N726" s="2"/>
      <c r="O726" s="2"/>
      <c r="P726" s="2"/>
      <c r="Q726" s="2"/>
    </row>
    <row r="727" spans="1:17" x14ac:dyDescent="0.3">
      <c r="A727" s="2" t="str">
        <f>"5525"</f>
        <v>5525</v>
      </c>
      <c r="B727" s="2" t="s">
        <v>2105</v>
      </c>
      <c r="C727" s="2" t="s">
        <v>2106</v>
      </c>
      <c r="D727" s="2" t="s">
        <v>6024</v>
      </c>
      <c r="E727" s="2" t="s">
        <v>2107</v>
      </c>
      <c r="F727" s="2" t="s">
        <v>41</v>
      </c>
      <c r="G727" s="2" t="str">
        <f>"04-22595777"</f>
        <v>04-22595777</v>
      </c>
      <c r="H727" s="2" t="s">
        <v>431</v>
      </c>
      <c r="I727" s="2" t="str">
        <f>"02-27035000"</f>
        <v>02-27035000</v>
      </c>
      <c r="J727" s="2" t="str">
        <f>"--"</f>
        <v>--</v>
      </c>
      <c r="K727" s="2" t="str">
        <f>"--"</f>
        <v>--</v>
      </c>
      <c r="L727" s="2" t="str">
        <f>"--"</f>
        <v>--</v>
      </c>
      <c r="M727" s="2" t="str">
        <f>"否"</f>
        <v>否</v>
      </c>
      <c r="N727" s="2"/>
      <c r="O727" s="2"/>
      <c r="P727" s="2"/>
      <c r="Q727" s="2"/>
    </row>
    <row r="728" spans="1:17" x14ac:dyDescent="0.3">
      <c r="A728" s="2" t="str">
        <f>"5531"</f>
        <v>5531</v>
      </c>
      <c r="B728" s="2" t="s">
        <v>2108</v>
      </c>
      <c r="C728" s="2" t="s">
        <v>2109</v>
      </c>
      <c r="D728" s="2" t="s">
        <v>6028</v>
      </c>
      <c r="E728" s="2" t="s">
        <v>2110</v>
      </c>
      <c r="F728" s="2" t="s">
        <v>41</v>
      </c>
      <c r="G728" s="2" t="str">
        <f>"04-23227777"</f>
        <v>04-23227777</v>
      </c>
      <c r="H728" s="2" t="s">
        <v>667</v>
      </c>
      <c r="I728" s="2" t="str">
        <f>"02-23611300"</f>
        <v>02-23611300</v>
      </c>
      <c r="J728" s="2" t="str">
        <f>"自105年05月17日至105年06月13日止"</f>
        <v>自105年05月17日至105年06月13日止</v>
      </c>
      <c r="K728" s="2" t="str">
        <f>"台灣集中保管結算所股份有限公司"</f>
        <v>台灣集中保管結算所股份有限公司</v>
      </c>
      <c r="L728" s="2" t="str">
        <f>"http://www.stockvote.com.tw"</f>
        <v>http://www.stockvote.com.tw</v>
      </c>
      <c r="M728" s="2" t="str">
        <f>"--"</f>
        <v>--</v>
      </c>
      <c r="N728" s="2"/>
      <c r="O728" s="2"/>
      <c r="P728" s="2"/>
      <c r="Q728" s="2"/>
    </row>
    <row r="729" spans="1:17" x14ac:dyDescent="0.3">
      <c r="A729" s="2" t="str">
        <f>"5533"</f>
        <v>5533</v>
      </c>
      <c r="B729" s="2" t="s">
        <v>2111</v>
      </c>
      <c r="C729" s="2" t="s">
        <v>2112</v>
      </c>
      <c r="D729" s="2" t="s">
        <v>6031</v>
      </c>
      <c r="E729" s="2" t="s">
        <v>2113</v>
      </c>
      <c r="F729" s="2" t="s">
        <v>2</v>
      </c>
      <c r="G729" s="2" t="str">
        <f>"27025887"</f>
        <v>27025887</v>
      </c>
      <c r="H729" s="2" t="s">
        <v>456</v>
      </c>
      <c r="I729" s="2" t="str">
        <f>"25048125"</f>
        <v>25048125</v>
      </c>
      <c r="J729" s="2" t="str">
        <f>"--"</f>
        <v>--</v>
      </c>
      <c r="K729" s="2" t="str">
        <f>"--"</f>
        <v>--</v>
      </c>
      <c r="L729" s="2" t="str">
        <f>"--"</f>
        <v>--</v>
      </c>
      <c r="M729" s="2" t="str">
        <f>"否"</f>
        <v>否</v>
      </c>
      <c r="N729" s="2"/>
      <c r="O729" s="2"/>
      <c r="P729" s="2"/>
      <c r="Q729" s="2"/>
    </row>
    <row r="730" spans="1:17" x14ac:dyDescent="0.3">
      <c r="A730" s="2" t="str">
        <f>"5534"</f>
        <v>5534</v>
      </c>
      <c r="B730" s="2" t="s">
        <v>2114</v>
      </c>
      <c r="C730" s="2" t="s">
        <v>2115</v>
      </c>
      <c r="D730" s="2" t="s">
        <v>6015</v>
      </c>
      <c r="E730" s="2" t="s">
        <v>6341</v>
      </c>
      <c r="F730" s="2" t="s">
        <v>41</v>
      </c>
      <c r="G730" s="2" t="str">
        <f>"02-2396-3280"</f>
        <v>02-2396-3280</v>
      </c>
      <c r="H730" s="2" t="s">
        <v>431</v>
      </c>
      <c r="I730" s="2" t="str">
        <f>"(02)2703-5000"</f>
        <v>(02)2703-5000</v>
      </c>
      <c r="J730" s="2" t="str">
        <f>"自105年05月24日至105年06月20日止"</f>
        <v>自105年05月24日至105年06月20日止</v>
      </c>
      <c r="K730" s="2" t="str">
        <f>"台灣集中保管結算所股份有限公司"</f>
        <v>台灣集中保管結算所股份有限公司</v>
      </c>
      <c r="L730" s="2" t="str">
        <f>"http://www.stockvote.com.tw"</f>
        <v>http://www.stockvote.com.tw</v>
      </c>
      <c r="M730" s="2" t="str">
        <f>"&lt;b&gt;&lt;font color='red'&gt;自願&lt;/font&gt;&lt;/b&gt;"</f>
        <v>&lt;b&gt;&lt;font color='red'&gt;自願&lt;/font&gt;&lt;/b&gt;</v>
      </c>
      <c r="N730" s="2"/>
      <c r="O730" s="2"/>
      <c r="P730" s="2"/>
      <c r="Q730" s="2"/>
    </row>
    <row r="731" spans="1:17" x14ac:dyDescent="0.3">
      <c r="A731" s="2" t="str">
        <f>"5538"</f>
        <v>5538</v>
      </c>
      <c r="B731" s="2" t="s">
        <v>2116</v>
      </c>
      <c r="C731" s="2" t="s">
        <v>2117</v>
      </c>
      <c r="D731" s="2" t="s">
        <v>6001</v>
      </c>
      <c r="E731" s="2" t="s">
        <v>6342</v>
      </c>
      <c r="F731" s="2" t="s">
        <v>41</v>
      </c>
      <c r="G731" s="2" t="str">
        <f>"07-6235538"</f>
        <v>07-6235538</v>
      </c>
      <c r="H731" s="2" t="s">
        <v>415</v>
      </c>
      <c r="I731" s="2" t="str">
        <f>"02-23148800"</f>
        <v>02-23148800</v>
      </c>
      <c r="J731" s="2" t="str">
        <f t="shared" ref="J731:L732" si="103">"--"</f>
        <v>--</v>
      </c>
      <c r="K731" s="2" t="str">
        <f t="shared" si="103"/>
        <v>--</v>
      </c>
      <c r="L731" s="2" t="str">
        <f t="shared" si="103"/>
        <v>--</v>
      </c>
      <c r="M731" s="2" t="str">
        <f>"否"</f>
        <v>否</v>
      </c>
      <c r="N731" s="2"/>
      <c r="O731" s="2"/>
      <c r="P731" s="2"/>
      <c r="Q731" s="2"/>
    </row>
    <row r="732" spans="1:17" x14ac:dyDescent="0.3">
      <c r="A732" s="2" t="str">
        <f>"5607"</f>
        <v>5607</v>
      </c>
      <c r="B732" s="2" t="s">
        <v>2118</v>
      </c>
      <c r="C732" s="2" t="s">
        <v>2119</v>
      </c>
      <c r="D732" s="2" t="s">
        <v>6014</v>
      </c>
      <c r="E732" s="2" t="s">
        <v>2120</v>
      </c>
      <c r="F732" s="2" t="s">
        <v>41</v>
      </c>
      <c r="G732" s="2" t="str">
        <f>"03-3992888"</f>
        <v>03-3992888</v>
      </c>
      <c r="H732" s="2" t="s">
        <v>6006</v>
      </c>
      <c r="I732" s="2" t="str">
        <f>"02-25865859"</f>
        <v>02-25865859</v>
      </c>
      <c r="J732" s="2" t="str">
        <f t="shared" si="103"/>
        <v>--</v>
      </c>
      <c r="K732" s="2" t="str">
        <f t="shared" si="103"/>
        <v>--</v>
      </c>
      <c r="L732" s="2" t="str">
        <f t="shared" si="103"/>
        <v>--</v>
      </c>
      <c r="M732" s="2" t="str">
        <f>"否"</f>
        <v>否</v>
      </c>
      <c r="N732" s="2"/>
      <c r="O732" s="2"/>
      <c r="P732" s="2"/>
      <c r="Q732" s="2"/>
    </row>
    <row r="733" spans="1:17" x14ac:dyDescent="0.3">
      <c r="A733" s="2" t="str">
        <f>"5608"</f>
        <v>5608</v>
      </c>
      <c r="B733" s="2" t="s">
        <v>2121</v>
      </c>
      <c r="C733" s="2" t="s">
        <v>2122</v>
      </c>
      <c r="D733" s="2" t="s">
        <v>6007</v>
      </c>
      <c r="E733" s="2" t="s">
        <v>2123</v>
      </c>
      <c r="F733" s="2" t="s">
        <v>2</v>
      </c>
      <c r="G733" s="2" t="str">
        <f>"02-87121888"</f>
        <v>02-87121888</v>
      </c>
      <c r="H733" s="2" t="s">
        <v>541</v>
      </c>
      <c r="I733" s="2" t="str">
        <f>"02-33930898"</f>
        <v>02-33930898</v>
      </c>
      <c r="J733" s="2" t="str">
        <f>"自105年05月29日至105年06月25日止"</f>
        <v>自105年05月29日至105年06月25日止</v>
      </c>
      <c r="K733" s="2" t="str">
        <f>"台灣集中保管結算所股份有限公司"</f>
        <v>台灣集中保管結算所股份有限公司</v>
      </c>
      <c r="L733" s="2" t="str">
        <f>"http://www.stockvote.com.tw"</f>
        <v>http://www.stockvote.com.tw</v>
      </c>
      <c r="M733" s="2" t="str">
        <f>"--"</f>
        <v>--</v>
      </c>
      <c r="N733" s="2"/>
      <c r="O733" s="2"/>
      <c r="P733" s="2"/>
      <c r="Q733" s="2"/>
    </row>
    <row r="734" spans="1:17" x14ac:dyDescent="0.3">
      <c r="A734" s="2" t="str">
        <f>"5706"</f>
        <v>5706</v>
      </c>
      <c r="B734" s="2" t="s">
        <v>2124</v>
      </c>
      <c r="C734" s="2" t="s">
        <v>2125</v>
      </c>
      <c r="D734" s="2" t="s">
        <v>6028</v>
      </c>
      <c r="E734" s="2" t="s">
        <v>2126</v>
      </c>
      <c r="F734" s="2" t="s">
        <v>2</v>
      </c>
      <c r="G734" s="2" t="str">
        <f>"25370000"</f>
        <v>25370000</v>
      </c>
      <c r="H734" s="2" t="s">
        <v>465</v>
      </c>
      <c r="I734" s="2" t="str">
        <f>"23816288"</f>
        <v>23816288</v>
      </c>
      <c r="J734" s="2" t="str">
        <f>"--"</f>
        <v>--</v>
      </c>
      <c r="K734" s="2" t="str">
        <f>"--"</f>
        <v>--</v>
      </c>
      <c r="L734" s="2" t="str">
        <f>"--"</f>
        <v>--</v>
      </c>
      <c r="M734" s="2" t="str">
        <f>"--"</f>
        <v>--</v>
      </c>
      <c r="N734" s="2"/>
      <c r="O734" s="2"/>
      <c r="P734" s="2"/>
      <c r="Q734" s="2"/>
    </row>
    <row r="735" spans="1:17" x14ac:dyDescent="0.3">
      <c r="A735" s="2" t="str">
        <f>"5871"</f>
        <v>5871</v>
      </c>
      <c r="B735" s="2" t="s">
        <v>2127</v>
      </c>
      <c r="C735" s="2" t="s">
        <v>2128</v>
      </c>
      <c r="D735" s="2" t="s">
        <v>6034</v>
      </c>
      <c r="E735" s="2" t="s">
        <v>2129</v>
      </c>
      <c r="F735" s="2" t="s">
        <v>2</v>
      </c>
      <c r="G735" s="2" t="str">
        <f>"02-87526388"</f>
        <v>02-87526388</v>
      </c>
      <c r="H735" s="2" t="s">
        <v>1926</v>
      </c>
      <c r="I735" s="2" t="str">
        <f>"02-27035000"</f>
        <v>02-27035000</v>
      </c>
      <c r="J735" s="2" t="str">
        <f>"自105年04月27日至105年05月24日止"</f>
        <v>自105年04月27日至105年05月24日止</v>
      </c>
      <c r="K735" s="2" t="str">
        <f>"台灣集中保管結算所股份有限公司"</f>
        <v>台灣集中保管結算所股份有限公司</v>
      </c>
      <c r="L735" s="2" t="str">
        <f>"http://www.stockvote.com.tw"</f>
        <v>http://www.stockvote.com.tw</v>
      </c>
      <c r="M735" s="2" t="str">
        <f>"強制"</f>
        <v>強制</v>
      </c>
      <c r="N735" s="2"/>
      <c r="O735" s="2"/>
      <c r="P735" s="2"/>
      <c r="Q735" s="2"/>
    </row>
    <row r="736" spans="1:17" x14ac:dyDescent="0.3">
      <c r="A736" s="2" t="str">
        <f>"5880"</f>
        <v>5880</v>
      </c>
      <c r="B736" s="2" t="s">
        <v>2130</v>
      </c>
      <c r="C736" s="2" t="s">
        <v>2131</v>
      </c>
      <c r="D736" s="2" t="s">
        <v>6010</v>
      </c>
      <c r="E736" s="2" t="s">
        <v>6343</v>
      </c>
      <c r="F736" s="2" t="s">
        <v>2</v>
      </c>
      <c r="G736" s="2" t="str">
        <f>"(02)2311-8811"</f>
        <v>(02)2311-8811</v>
      </c>
      <c r="H736" s="2" t="s">
        <v>6006</v>
      </c>
      <c r="I736" s="2" t="str">
        <f>"02-2586-5859"</f>
        <v>02-2586-5859</v>
      </c>
      <c r="J736" s="2" t="str">
        <f>"自105年05月25日至105年06月21日止"</f>
        <v>自105年05月25日至105年06月21日止</v>
      </c>
      <c r="K736" s="2" t="str">
        <f>"台灣集中保管結算所股份有限公司"</f>
        <v>台灣集中保管結算所股份有限公司</v>
      </c>
      <c r="L736" s="2" t="str">
        <f>"http://www.stockvote.com.tw"</f>
        <v>http://www.stockvote.com.tw</v>
      </c>
      <c r="M736" s="2" t="str">
        <f>"--"</f>
        <v>--</v>
      </c>
      <c r="N736" s="2"/>
      <c r="O736" s="2"/>
      <c r="P736" s="2"/>
      <c r="Q736" s="2"/>
    </row>
    <row r="737" spans="1:17" x14ac:dyDescent="0.3">
      <c r="A737" s="2" t="str">
        <f>"5906"</f>
        <v>5906</v>
      </c>
      <c r="B737" s="2" t="s">
        <v>2132</v>
      </c>
      <c r="C737" s="2" t="s">
        <v>2133</v>
      </c>
      <c r="D737" s="2" t="s">
        <v>6059</v>
      </c>
      <c r="E737" s="2" t="s">
        <v>2134</v>
      </c>
      <c r="F737" s="2" t="s">
        <v>41</v>
      </c>
      <c r="G737" s="2" t="str">
        <f>"(02)2391-6421"</f>
        <v>(02)2391-6421</v>
      </c>
      <c r="H737" s="2" t="s">
        <v>431</v>
      </c>
      <c r="I737" s="2" t="str">
        <f>"(02)2702-3999"</f>
        <v>(02)2702-3999</v>
      </c>
      <c r="J737" s="2" t="str">
        <f t="shared" ref="J737:L738" si="104">"--"</f>
        <v>--</v>
      </c>
      <c r="K737" s="2" t="str">
        <f t="shared" si="104"/>
        <v>--</v>
      </c>
      <c r="L737" s="2" t="str">
        <f t="shared" si="104"/>
        <v>--</v>
      </c>
      <c r="M737" s="2" t="str">
        <f>"否"</f>
        <v>否</v>
      </c>
      <c r="N737" s="2"/>
      <c r="O737" s="2"/>
      <c r="P737" s="2"/>
      <c r="Q737" s="2"/>
    </row>
    <row r="738" spans="1:17" x14ac:dyDescent="0.3">
      <c r="A738" s="2" t="str">
        <f>"5907"</f>
        <v>5907</v>
      </c>
      <c r="B738" s="2" t="s">
        <v>2135</v>
      </c>
      <c r="C738" s="2" t="s">
        <v>2136</v>
      </c>
      <c r="D738" s="2" t="s">
        <v>5999</v>
      </c>
      <c r="E738" s="2" t="s">
        <v>2137</v>
      </c>
      <c r="F738" s="2" t="s">
        <v>41</v>
      </c>
      <c r="G738" s="2" t="str">
        <f>"(02)2707-8833"</f>
        <v>(02)2707-8833</v>
      </c>
      <c r="H738" s="2" t="s">
        <v>582</v>
      </c>
      <c r="I738" s="2" t="str">
        <f>"(02)2586-5859"</f>
        <v>(02)2586-5859</v>
      </c>
      <c r="J738" s="2" t="str">
        <f t="shared" si="104"/>
        <v>--</v>
      </c>
      <c r="K738" s="2" t="str">
        <f t="shared" si="104"/>
        <v>--</v>
      </c>
      <c r="L738" s="2" t="str">
        <f t="shared" si="104"/>
        <v>--</v>
      </c>
      <c r="M738" s="2" t="str">
        <f>"--"</f>
        <v>--</v>
      </c>
      <c r="N738" s="2"/>
      <c r="O738" s="2"/>
      <c r="P738" s="2"/>
      <c r="Q738" s="2"/>
    </row>
    <row r="739" spans="1:17" x14ac:dyDescent="0.3">
      <c r="A739" s="2" t="str">
        <f>"6005"</f>
        <v>6005</v>
      </c>
      <c r="B739" s="2" t="s">
        <v>302</v>
      </c>
      <c r="C739" s="2" t="s">
        <v>2138</v>
      </c>
      <c r="D739" s="2" t="s">
        <v>6001</v>
      </c>
      <c r="E739" s="2" t="s">
        <v>2139</v>
      </c>
      <c r="F739" s="2" t="s">
        <v>41</v>
      </c>
      <c r="G739" s="2" t="str">
        <f>"8789-8888"</f>
        <v>8789-8888</v>
      </c>
      <c r="H739" s="2" t="s">
        <v>1926</v>
      </c>
      <c r="I739" s="2" t="str">
        <f>"(02)2702-3999"</f>
        <v>(02)2702-3999</v>
      </c>
      <c r="J739" s="2" t="str">
        <f>"自105年05月28日至105年06月24日止"</f>
        <v>自105年05月28日至105年06月24日止</v>
      </c>
      <c r="K739" s="2" t="str">
        <f>"台灣集中保管結算所股份有限公司"</f>
        <v>台灣集中保管結算所股份有限公司</v>
      </c>
      <c r="L739" s="2" t="str">
        <f>"http://www.stockvote.com.tw"</f>
        <v>http://www.stockvote.com.tw</v>
      </c>
      <c r="M739" s="2" t="str">
        <f>"強制"</f>
        <v>強制</v>
      </c>
      <c r="N739" s="2"/>
      <c r="O739" s="2"/>
      <c r="P739" s="2"/>
      <c r="Q739" s="2"/>
    </row>
    <row r="740" spans="1:17" x14ac:dyDescent="0.3">
      <c r="A740" s="2" t="str">
        <f>"6108"</f>
        <v>6108</v>
      </c>
      <c r="B740" s="2" t="s">
        <v>2140</v>
      </c>
      <c r="C740" s="2" t="s">
        <v>2141</v>
      </c>
      <c r="D740" s="2" t="s">
        <v>6000</v>
      </c>
      <c r="E740" s="2" t="s">
        <v>2142</v>
      </c>
      <c r="F740" s="2" t="s">
        <v>41</v>
      </c>
      <c r="G740" s="2" t="str">
        <f>"(02)2683-2626"</f>
        <v>(02)2683-2626</v>
      </c>
      <c r="H740" s="2" t="s">
        <v>451</v>
      </c>
      <c r="I740" s="2" t="str">
        <f>"(02)2389-2999"</f>
        <v>(02)2389-2999</v>
      </c>
      <c r="J740" s="2" t="str">
        <f t="shared" ref="J740:M742" si="105">"--"</f>
        <v>--</v>
      </c>
      <c r="K740" s="2" t="str">
        <f t="shared" si="105"/>
        <v>--</v>
      </c>
      <c r="L740" s="2" t="str">
        <f t="shared" si="105"/>
        <v>--</v>
      </c>
      <c r="M740" s="2" t="str">
        <f t="shared" si="105"/>
        <v>--</v>
      </c>
      <c r="N740" s="2"/>
      <c r="O740" s="2"/>
      <c r="P740" s="2"/>
      <c r="Q740" s="2"/>
    </row>
    <row r="741" spans="1:17" x14ac:dyDescent="0.3">
      <c r="A741" s="2" t="str">
        <f>"6112"</f>
        <v>6112</v>
      </c>
      <c r="B741" s="2" t="s">
        <v>234</v>
      </c>
      <c r="C741" s="2" t="s">
        <v>2143</v>
      </c>
      <c r="D741" s="2" t="s">
        <v>6021</v>
      </c>
      <c r="E741" s="2" t="s">
        <v>2144</v>
      </c>
      <c r="F741" s="2" t="s">
        <v>41</v>
      </c>
      <c r="G741" s="2" t="str">
        <f>"(02)87978260"</f>
        <v>(02)87978260</v>
      </c>
      <c r="H741" s="2" t="s">
        <v>505</v>
      </c>
      <c r="I741" s="2" t="str">
        <f>"(02)23816288"</f>
        <v>(02)23816288</v>
      </c>
      <c r="J741" s="2" t="str">
        <f t="shared" si="105"/>
        <v>--</v>
      </c>
      <c r="K741" s="2" t="str">
        <f t="shared" si="105"/>
        <v>--</v>
      </c>
      <c r="L741" s="2" t="str">
        <f t="shared" si="105"/>
        <v>--</v>
      </c>
      <c r="M741" s="2" t="str">
        <f t="shared" si="105"/>
        <v>--</v>
      </c>
      <c r="N741" s="2"/>
      <c r="O741" s="2"/>
      <c r="P741" s="2"/>
      <c r="Q741" s="2"/>
    </row>
    <row r="742" spans="1:17" x14ac:dyDescent="0.3">
      <c r="A742" s="2" t="str">
        <f>"6115"</f>
        <v>6115</v>
      </c>
      <c r="B742" s="2" t="s">
        <v>2145</v>
      </c>
      <c r="C742" s="2" t="s">
        <v>6344</v>
      </c>
      <c r="D742" s="2" t="s">
        <v>6020</v>
      </c>
      <c r="E742" s="2" t="s">
        <v>2146</v>
      </c>
      <c r="F742" s="2" t="s">
        <v>41</v>
      </c>
      <c r="G742" s="2" t="str">
        <f>"03-3282391"</f>
        <v>03-3282391</v>
      </c>
      <c r="H742" s="2" t="s">
        <v>2147</v>
      </c>
      <c r="I742" s="2" t="str">
        <f>"02-23816288"</f>
        <v>02-23816288</v>
      </c>
      <c r="J742" s="2" t="str">
        <f t="shared" si="105"/>
        <v>--</v>
      </c>
      <c r="K742" s="2" t="str">
        <f t="shared" si="105"/>
        <v>--</v>
      </c>
      <c r="L742" s="2" t="str">
        <f t="shared" si="105"/>
        <v>--</v>
      </c>
      <c r="M742" s="2" t="str">
        <f t="shared" si="105"/>
        <v>--</v>
      </c>
      <c r="N742" s="2"/>
      <c r="O742" s="2"/>
      <c r="P742" s="2"/>
      <c r="Q742" s="2"/>
    </row>
    <row r="743" spans="1:17" x14ac:dyDescent="0.3">
      <c r="A743" s="2" t="str">
        <f>"6116"</f>
        <v>6116</v>
      </c>
      <c r="B743" s="2" t="s">
        <v>73</v>
      </c>
      <c r="C743" s="2" t="s">
        <v>2148</v>
      </c>
      <c r="D743" s="2" t="s">
        <v>6016</v>
      </c>
      <c r="E743" s="2" t="s">
        <v>2149</v>
      </c>
      <c r="F743" s="2" t="s">
        <v>2</v>
      </c>
      <c r="G743" s="2" t="str">
        <f>"02-55550077"</f>
        <v>02-55550077</v>
      </c>
      <c r="H743" s="2" t="s">
        <v>2150</v>
      </c>
      <c r="I743" s="2" t="str">
        <f>"02-27905885"</f>
        <v>02-27905885</v>
      </c>
      <c r="J743" s="2" t="str">
        <f>"自105年05月15日至105年06月11日止"</f>
        <v>自105年05月15日至105年06月11日止</v>
      </c>
      <c r="K743" s="2" t="str">
        <f>"台灣集中保管結算所股份有限公司"</f>
        <v>台灣集中保管結算所股份有限公司</v>
      </c>
      <c r="L743" s="2" t="str">
        <f>"http://www.stockvote.com.tw"</f>
        <v>http://www.stockvote.com.tw</v>
      </c>
      <c r="M743" s="2" t="str">
        <f>"強制"</f>
        <v>強制</v>
      </c>
      <c r="N743" s="2"/>
      <c r="O743" s="2"/>
      <c r="P743" s="2"/>
      <c r="Q743" s="2"/>
    </row>
    <row r="744" spans="1:17" x14ac:dyDescent="0.3">
      <c r="A744" s="2" t="str">
        <f>"6117"</f>
        <v>6117</v>
      </c>
      <c r="B744" s="2" t="s">
        <v>2151</v>
      </c>
      <c r="C744" s="2" t="s">
        <v>6345</v>
      </c>
      <c r="D744" s="2" t="s">
        <v>6007</v>
      </c>
      <c r="E744" s="2" t="s">
        <v>6346</v>
      </c>
      <c r="F744" s="2" t="s">
        <v>2</v>
      </c>
      <c r="G744" s="2" t="str">
        <f>"(03)3229898"</f>
        <v>(03)3229898</v>
      </c>
      <c r="H744" s="2" t="s">
        <v>469</v>
      </c>
      <c r="I744" s="2" t="str">
        <f>"(02)2747-8266"</f>
        <v>(02)2747-8266</v>
      </c>
      <c r="J744" s="2" t="str">
        <f>"--"</f>
        <v>--</v>
      </c>
      <c r="K744" s="2" t="str">
        <f>"--"</f>
        <v>--</v>
      </c>
      <c r="L744" s="2" t="str">
        <f>"--"</f>
        <v>--</v>
      </c>
      <c r="M744" s="2" t="str">
        <f>"否"</f>
        <v>否</v>
      </c>
      <c r="N744" s="2"/>
      <c r="O744" s="2"/>
      <c r="P744" s="2"/>
      <c r="Q744" s="2"/>
    </row>
    <row r="745" spans="1:17" x14ac:dyDescent="0.3">
      <c r="A745" s="2" t="str">
        <f>"6120"</f>
        <v>6120</v>
      </c>
      <c r="B745" s="2" t="s">
        <v>2152</v>
      </c>
      <c r="C745" s="2" t="s">
        <v>2153</v>
      </c>
      <c r="D745" s="2" t="s">
        <v>6024</v>
      </c>
      <c r="E745" s="2" t="s">
        <v>2154</v>
      </c>
      <c r="F745" s="2" t="s">
        <v>2</v>
      </c>
      <c r="G745" s="2" t="str">
        <f>"04-25692188"</f>
        <v>04-25692188</v>
      </c>
      <c r="H745" s="2" t="s">
        <v>456</v>
      </c>
      <c r="I745" s="2" t="str">
        <f>"(02)2504-8125"</f>
        <v>(02)2504-8125</v>
      </c>
      <c r="J745" s="2" t="str">
        <f>"自105年05月07日至105年06月04日止"</f>
        <v>自105年05月07日至105年06月04日止</v>
      </c>
      <c r="K745" s="2" t="str">
        <f>"台灣集中保管結算所股份有限公司"</f>
        <v>台灣集中保管結算所股份有限公司</v>
      </c>
      <c r="L745" s="2" t="str">
        <f>"http://www.stockvote.com.tw"</f>
        <v>http://www.stockvote.com.tw</v>
      </c>
      <c r="M745" s="2" t="str">
        <f>"強制"</f>
        <v>強制</v>
      </c>
      <c r="N745" s="2"/>
      <c r="O745" s="2"/>
      <c r="P745" s="2"/>
      <c r="Q745" s="2"/>
    </row>
    <row r="746" spans="1:17" x14ac:dyDescent="0.3">
      <c r="A746" s="2" t="str">
        <f>"6128"</f>
        <v>6128</v>
      </c>
      <c r="B746" s="2" t="s">
        <v>2155</v>
      </c>
      <c r="C746" s="2" t="s">
        <v>2156</v>
      </c>
      <c r="D746" s="2" t="s">
        <v>6141</v>
      </c>
      <c r="E746" s="2" t="s">
        <v>2157</v>
      </c>
      <c r="F746" s="2" t="s">
        <v>41</v>
      </c>
      <c r="G746" s="2" t="str">
        <f>"04-26393103"</f>
        <v>04-26393103</v>
      </c>
      <c r="H746" s="2" t="s">
        <v>451</v>
      </c>
      <c r="I746" s="2" t="str">
        <f>"02-2389-2999"</f>
        <v>02-2389-2999</v>
      </c>
      <c r="J746" s="2" t="str">
        <f t="shared" ref="J746:L747" si="106">"--"</f>
        <v>--</v>
      </c>
      <c r="K746" s="2" t="str">
        <f t="shared" si="106"/>
        <v>--</v>
      </c>
      <c r="L746" s="2" t="str">
        <f t="shared" si="106"/>
        <v>--</v>
      </c>
      <c r="M746" s="2" t="str">
        <f>"否"</f>
        <v>否</v>
      </c>
      <c r="N746" s="2"/>
      <c r="O746" s="2"/>
      <c r="P746" s="2"/>
      <c r="Q746" s="2"/>
    </row>
    <row r="747" spans="1:17" x14ac:dyDescent="0.3">
      <c r="A747" s="2" t="str">
        <f>"6131"</f>
        <v>6131</v>
      </c>
      <c r="B747" s="2" t="s">
        <v>6347</v>
      </c>
      <c r="C747" s="2" t="s">
        <v>2158</v>
      </c>
      <c r="D747" s="2" t="s">
        <v>6042</v>
      </c>
      <c r="E747" s="2" t="s">
        <v>6348</v>
      </c>
      <c r="F747" s="2" t="s">
        <v>41</v>
      </c>
      <c r="G747" s="2" t="str">
        <f>"82286161"</f>
        <v>82286161</v>
      </c>
      <c r="H747" s="2" t="s">
        <v>1063</v>
      </c>
      <c r="I747" s="2" t="str">
        <f>"2326-8818"</f>
        <v>2326-8818</v>
      </c>
      <c r="J747" s="2" t="str">
        <f t="shared" si="106"/>
        <v>--</v>
      </c>
      <c r="K747" s="2" t="str">
        <f t="shared" si="106"/>
        <v>--</v>
      </c>
      <c r="L747" s="2" t="str">
        <f t="shared" si="106"/>
        <v>--</v>
      </c>
      <c r="M747" s="2" t="str">
        <f>"--"</f>
        <v>--</v>
      </c>
      <c r="N747" s="2"/>
      <c r="O747" s="2"/>
      <c r="P747" s="2"/>
      <c r="Q747" s="2"/>
    </row>
    <row r="748" spans="1:17" x14ac:dyDescent="0.3">
      <c r="A748" s="2"/>
      <c r="B748" s="2"/>
      <c r="C748" s="2"/>
      <c r="D748" s="2"/>
      <c r="E748" s="2"/>
      <c r="F748" s="2"/>
      <c r="G748" s="2"/>
      <c r="H748" s="2"/>
      <c r="I748" s="2"/>
      <c r="J748" s="2"/>
      <c r="K748" s="2"/>
      <c r="L748" s="2"/>
      <c r="M748" s="2"/>
      <c r="N748" s="2"/>
      <c r="O748" s="2"/>
      <c r="P748" s="2"/>
      <c r="Q748" s="2"/>
    </row>
    <row r="749" spans="1:17" x14ac:dyDescent="0.3">
      <c r="A749" s="2" t="str">
        <f>"6133"</f>
        <v>6133</v>
      </c>
      <c r="B749" s="2" t="s">
        <v>2159</v>
      </c>
      <c r="C749" s="2" t="s">
        <v>2160</v>
      </c>
      <c r="D749" s="2" t="s">
        <v>6001</v>
      </c>
      <c r="E749" s="2" t="s">
        <v>2161</v>
      </c>
      <c r="F749" s="2" t="s">
        <v>41</v>
      </c>
      <c r="G749" s="2" t="str">
        <f>"(02)2662-7300"</f>
        <v>(02)2662-7300</v>
      </c>
      <c r="H749" s="2" t="s">
        <v>404</v>
      </c>
      <c r="I749" s="2" t="str">
        <f>"(02)6636-5566"</f>
        <v>(02)6636-5566</v>
      </c>
      <c r="J749" s="2" t="str">
        <f>"--"</f>
        <v>--</v>
      </c>
      <c r="K749" s="2" t="str">
        <f t="shared" ref="K749:M750" si="107">"--"</f>
        <v>--</v>
      </c>
      <c r="L749" s="2" t="str">
        <f t="shared" si="107"/>
        <v>--</v>
      </c>
      <c r="M749" s="2" t="str">
        <f t="shared" si="107"/>
        <v>--</v>
      </c>
      <c r="N749" s="2"/>
      <c r="O749" s="2"/>
      <c r="P749" s="2"/>
      <c r="Q749" s="2"/>
    </row>
    <row r="750" spans="1:17" x14ac:dyDescent="0.3">
      <c r="A750" s="2" t="str">
        <f>"6136"</f>
        <v>6136</v>
      </c>
      <c r="B750" s="2" t="s">
        <v>163</v>
      </c>
      <c r="C750" s="2" t="s">
        <v>2162</v>
      </c>
      <c r="D750" s="2" t="s">
        <v>6016</v>
      </c>
      <c r="E750" s="2" t="s">
        <v>2163</v>
      </c>
      <c r="F750" s="2" t="s">
        <v>2</v>
      </c>
      <c r="G750" s="2" t="str">
        <f>"(02)8912-4300"</f>
        <v>(02)8912-4300</v>
      </c>
      <c r="H750" s="2" t="s">
        <v>1316</v>
      </c>
      <c r="I750" s="2" t="str">
        <f>"(02)2504-8125"</f>
        <v>(02)2504-8125</v>
      </c>
      <c r="J750" s="2" t="str">
        <f>"--"</f>
        <v>--</v>
      </c>
      <c r="K750" s="2" t="str">
        <f t="shared" si="107"/>
        <v>--</v>
      </c>
      <c r="L750" s="2" t="str">
        <f t="shared" si="107"/>
        <v>--</v>
      </c>
      <c r="M750" s="2" t="str">
        <f t="shared" si="107"/>
        <v>--</v>
      </c>
      <c r="N750" s="2"/>
      <c r="O750" s="2"/>
      <c r="P750" s="2"/>
      <c r="Q750" s="2"/>
    </row>
    <row r="751" spans="1:17" x14ac:dyDescent="0.3">
      <c r="A751" s="2" t="str">
        <f>"6139"</f>
        <v>6139</v>
      </c>
      <c r="B751" s="2" t="s">
        <v>2164</v>
      </c>
      <c r="C751" s="2" t="s">
        <v>2165</v>
      </c>
      <c r="D751" s="2" t="s">
        <v>6034</v>
      </c>
      <c r="E751" s="2" t="s">
        <v>2166</v>
      </c>
      <c r="F751" s="2" t="s">
        <v>2</v>
      </c>
      <c r="G751" s="2" t="str">
        <f>"26919099"</f>
        <v>26919099</v>
      </c>
      <c r="H751" s="2" t="s">
        <v>817</v>
      </c>
      <c r="I751" s="2" t="str">
        <f>"02-6636-5566"</f>
        <v>02-6636-5566</v>
      </c>
      <c r="J751" s="2" t="str">
        <f>"--"</f>
        <v>--</v>
      </c>
      <c r="K751" s="2" t="str">
        <f>"--"</f>
        <v>--</v>
      </c>
      <c r="L751" s="2" t="str">
        <f>"--"</f>
        <v>--</v>
      </c>
      <c r="M751" s="2" t="str">
        <f>"否"</f>
        <v>否</v>
      </c>
      <c r="N751" s="2"/>
      <c r="O751" s="2"/>
      <c r="P751" s="2"/>
      <c r="Q751" s="2"/>
    </row>
    <row r="752" spans="1:17" x14ac:dyDescent="0.3">
      <c r="A752" s="2" t="str">
        <f>"6141"</f>
        <v>6141</v>
      </c>
      <c r="B752" s="2" t="s">
        <v>2167</v>
      </c>
      <c r="C752" s="2" t="s">
        <v>2168</v>
      </c>
      <c r="D752" s="2" t="s">
        <v>5999</v>
      </c>
      <c r="E752" s="2" t="s">
        <v>2169</v>
      </c>
      <c r="F752" s="2" t="s">
        <v>41</v>
      </c>
      <c r="G752" s="2" t="str">
        <f>"(03)354-3961"</f>
        <v>(03)354-3961</v>
      </c>
      <c r="H752" s="2" t="s">
        <v>1911</v>
      </c>
      <c r="I752" s="2" t="str">
        <f>"(02)2541-9977"</f>
        <v>(02)2541-9977</v>
      </c>
      <c r="J752" s="2" t="str">
        <f>"--"</f>
        <v>--</v>
      </c>
      <c r="K752" s="2" t="str">
        <f>"--"</f>
        <v>--</v>
      </c>
      <c r="L752" s="2" t="str">
        <f>"--"</f>
        <v>--</v>
      </c>
      <c r="M752" s="2" t="str">
        <f>"--"</f>
        <v>--</v>
      </c>
      <c r="N752" s="2"/>
      <c r="O752" s="2"/>
      <c r="P752" s="2"/>
      <c r="Q752" s="2"/>
    </row>
    <row r="753" spans="1:17" x14ac:dyDescent="0.3">
      <c r="A753" s="2" t="str">
        <f>"6142"</f>
        <v>6142</v>
      </c>
      <c r="B753" s="2" t="s">
        <v>2170</v>
      </c>
      <c r="C753" s="2" t="s">
        <v>2171</v>
      </c>
      <c r="D753" s="2" t="s">
        <v>6004</v>
      </c>
      <c r="E753" s="2" t="s">
        <v>2171</v>
      </c>
      <c r="F753" s="2" t="s">
        <v>2</v>
      </c>
      <c r="G753" s="2" t="str">
        <f>"02-2790-8998"</f>
        <v>02-2790-8998</v>
      </c>
      <c r="H753" s="2" t="s">
        <v>1063</v>
      </c>
      <c r="I753" s="2" t="str">
        <f>"02-7719-8899"</f>
        <v>02-7719-8899</v>
      </c>
      <c r="J753" s="2" t="str">
        <f>"自105年05月18日至105年06月14日止"</f>
        <v>自105年05月18日至105年06月14日止</v>
      </c>
      <c r="K753" s="2" t="str">
        <f>"台灣集中保管結算所股份有限公司"</f>
        <v>台灣集中保管結算所股份有限公司</v>
      </c>
      <c r="L753" s="2" t="str">
        <f>"http://www.stockvote.com.tw"</f>
        <v>http://www.stockvote.com.tw</v>
      </c>
      <c r="M753" s="2" t="str">
        <f>"強制"</f>
        <v>強制</v>
      </c>
      <c r="N753" s="2"/>
      <c r="O753" s="2"/>
      <c r="P753" s="2"/>
      <c r="Q753" s="2"/>
    </row>
    <row r="754" spans="1:17" x14ac:dyDescent="0.3">
      <c r="A754" s="2" t="str">
        <f>"6145"</f>
        <v>6145</v>
      </c>
      <c r="B754" s="2" t="s">
        <v>2172</v>
      </c>
      <c r="C754" s="2" t="s">
        <v>2173</v>
      </c>
      <c r="D754" s="2" t="s">
        <v>6004</v>
      </c>
      <c r="E754" s="2" t="s">
        <v>2174</v>
      </c>
      <c r="F754" s="2" t="s">
        <v>2</v>
      </c>
      <c r="G754" s="2" t="str">
        <f>"(02)22699889"</f>
        <v>(02)22699889</v>
      </c>
      <c r="H754" s="2" t="s">
        <v>556</v>
      </c>
      <c r="I754" s="2" t="str">
        <f>"(02)2371-1658"</f>
        <v>(02)2371-1658</v>
      </c>
      <c r="J754" s="2" t="str">
        <f>"自105年05月18日至105年06月14日止"</f>
        <v>自105年05月18日至105年06月14日止</v>
      </c>
      <c r="K754" s="2" t="str">
        <f>"台灣集中保管結算所股份有限公司"</f>
        <v>台灣集中保管結算所股份有限公司</v>
      </c>
      <c r="L754" s="2" t="str">
        <f>"http://www.stockvote.com.tw"</f>
        <v>http://www.stockvote.com.tw</v>
      </c>
      <c r="M754" s="2" t="str">
        <f>"強制"</f>
        <v>強制</v>
      </c>
      <c r="N754" s="2"/>
      <c r="O754" s="2"/>
      <c r="P754" s="2"/>
      <c r="Q754" s="2"/>
    </row>
    <row r="755" spans="1:17" x14ac:dyDescent="0.3">
      <c r="A755" s="2" t="str">
        <f>"6152"</f>
        <v>6152</v>
      </c>
      <c r="B755" s="2" t="s">
        <v>2175</v>
      </c>
      <c r="C755" s="2" t="s">
        <v>2176</v>
      </c>
      <c r="D755" s="2" t="s">
        <v>6021</v>
      </c>
      <c r="E755" s="2" t="s">
        <v>2177</v>
      </c>
      <c r="F755" s="2" t="s">
        <v>2</v>
      </c>
      <c r="G755" s="2" t="str">
        <f>"03-4615000"</f>
        <v>03-4615000</v>
      </c>
      <c r="H755" s="2" t="s">
        <v>465</v>
      </c>
      <c r="I755" s="2" t="str">
        <f>"02-23816288"</f>
        <v>02-23816288</v>
      </c>
      <c r="J755" s="2" t="str">
        <f>"自105年05月14日至105年06月10日止"</f>
        <v>自105年05月14日至105年06月10日止</v>
      </c>
      <c r="K755" s="2" t="str">
        <f>"台灣集中保管結算所股份有限公司"</f>
        <v>台灣集中保管結算所股份有限公司</v>
      </c>
      <c r="L755" s="2" t="str">
        <f>"http://www.stockvote.com.tw"</f>
        <v>http://www.stockvote.com.tw</v>
      </c>
      <c r="M755" s="2" t="str">
        <f>"--"</f>
        <v>--</v>
      </c>
      <c r="N755" s="2"/>
      <c r="O755" s="2"/>
      <c r="P755" s="2"/>
      <c r="Q755" s="2"/>
    </row>
    <row r="756" spans="1:17" x14ac:dyDescent="0.3">
      <c r="A756" s="2" t="str">
        <f>"6153"</f>
        <v>6153</v>
      </c>
      <c r="B756" s="2" t="s">
        <v>174</v>
      </c>
      <c r="C756" s="2" t="s">
        <v>2178</v>
      </c>
      <c r="D756" s="2" t="s">
        <v>6028</v>
      </c>
      <c r="E756" s="2" t="s">
        <v>2179</v>
      </c>
      <c r="F756" s="2" t="s">
        <v>2</v>
      </c>
      <c r="G756" s="2" t="str">
        <f>"02-86868868"</f>
        <v>02-86868868</v>
      </c>
      <c r="H756" s="2" t="s">
        <v>431</v>
      </c>
      <c r="I756" s="2" t="str">
        <f>"(02)2702-3999"</f>
        <v>(02)2702-3999</v>
      </c>
      <c r="J756" s="2" t="str">
        <f>"自105年05月17日至105年06月13日止"</f>
        <v>自105年05月17日至105年06月13日止</v>
      </c>
      <c r="K756" s="2" t="str">
        <f>"台灣集中保管結算所股份有限公司"</f>
        <v>台灣集中保管結算所股份有限公司</v>
      </c>
      <c r="L756" s="2" t="str">
        <f>"http://www.stockvote.com.tw"</f>
        <v>http://www.stockvote.com.tw</v>
      </c>
      <c r="M756" s="2" t="str">
        <f>"--"</f>
        <v>--</v>
      </c>
      <c r="N756" s="2"/>
      <c r="O756" s="2"/>
      <c r="P756" s="2"/>
      <c r="Q756" s="2"/>
    </row>
    <row r="757" spans="1:17" x14ac:dyDescent="0.3">
      <c r="A757" s="2" t="str">
        <f>"6155"</f>
        <v>6155</v>
      </c>
      <c r="B757" s="2" t="s">
        <v>2180</v>
      </c>
      <c r="C757" s="2" t="s">
        <v>2181</v>
      </c>
      <c r="D757" s="2" t="s">
        <v>6080</v>
      </c>
      <c r="E757" s="2" t="s">
        <v>6349</v>
      </c>
      <c r="F757" s="2" t="s">
        <v>2</v>
      </c>
      <c r="G757" s="2" t="str">
        <f>"03-4698855"</f>
        <v>03-4698855</v>
      </c>
      <c r="H757" s="2" t="s">
        <v>456</v>
      </c>
      <c r="I757" s="2" t="str">
        <f>"02-25048125"</f>
        <v>02-25048125</v>
      </c>
      <c r="J757" s="2" t="str">
        <f t="shared" ref="J757:L760" si="108">"--"</f>
        <v>--</v>
      </c>
      <c r="K757" s="2" t="str">
        <f t="shared" si="108"/>
        <v>--</v>
      </c>
      <c r="L757" s="2" t="str">
        <f t="shared" si="108"/>
        <v>--</v>
      </c>
      <c r="M757" s="2" t="str">
        <f>"否"</f>
        <v>否</v>
      </c>
      <c r="N757" s="2"/>
      <c r="O757" s="2"/>
      <c r="P757" s="2"/>
      <c r="Q757" s="2"/>
    </row>
    <row r="758" spans="1:17" x14ac:dyDescent="0.3">
      <c r="A758" s="2" t="str">
        <f>"6164"</f>
        <v>6164</v>
      </c>
      <c r="B758" s="2" t="s">
        <v>2182</v>
      </c>
      <c r="C758" s="2" t="s">
        <v>2183</v>
      </c>
      <c r="D758" s="2" t="s">
        <v>6025</v>
      </c>
      <c r="E758" s="2" t="s">
        <v>6350</v>
      </c>
      <c r="F758" s="2" t="s">
        <v>41</v>
      </c>
      <c r="G758" s="2" t="str">
        <f>"(02)22186891"</f>
        <v>(02)22186891</v>
      </c>
      <c r="H758" s="2" t="s">
        <v>1291</v>
      </c>
      <c r="I758" s="2" t="str">
        <f>"(02)6636-5566"</f>
        <v>(02)6636-5566</v>
      </c>
      <c r="J758" s="2" t="str">
        <f t="shared" si="108"/>
        <v>--</v>
      </c>
      <c r="K758" s="2" t="str">
        <f t="shared" si="108"/>
        <v>--</v>
      </c>
      <c r="L758" s="2" t="str">
        <f t="shared" si="108"/>
        <v>--</v>
      </c>
      <c r="M758" s="2" t="str">
        <f>"否"</f>
        <v>否</v>
      </c>
      <c r="N758" s="2"/>
      <c r="O758" s="2"/>
      <c r="P758" s="2"/>
      <c r="Q758" s="2"/>
    </row>
    <row r="759" spans="1:17" x14ac:dyDescent="0.3">
      <c r="A759" s="2" t="str">
        <f>"6165"</f>
        <v>6165</v>
      </c>
      <c r="B759" s="2" t="s">
        <v>2184</v>
      </c>
      <c r="C759" s="2" t="s">
        <v>6351</v>
      </c>
      <c r="D759" s="2" t="s">
        <v>6001</v>
      </c>
      <c r="E759" s="2" t="s">
        <v>3666</v>
      </c>
      <c r="F759" s="2" t="s">
        <v>2</v>
      </c>
      <c r="G759" s="2" t="str">
        <f>"(02)5556-2288"</f>
        <v>(02)5556-2288</v>
      </c>
      <c r="H759" s="2" t="s">
        <v>644</v>
      </c>
      <c r="I759" s="2" t="str">
        <f>"(02)2361-1300"</f>
        <v>(02)2361-1300</v>
      </c>
      <c r="J759" s="2" t="str">
        <f t="shared" si="108"/>
        <v>--</v>
      </c>
      <c r="K759" s="2" t="str">
        <f t="shared" si="108"/>
        <v>--</v>
      </c>
      <c r="L759" s="2" t="str">
        <f t="shared" si="108"/>
        <v>--</v>
      </c>
      <c r="M759" s="2" t="str">
        <f>"--"</f>
        <v>--</v>
      </c>
      <c r="N759" s="2"/>
      <c r="O759" s="2"/>
      <c r="P759" s="2"/>
      <c r="Q759" s="2"/>
    </row>
    <row r="760" spans="1:17" x14ac:dyDescent="0.3">
      <c r="A760" s="2" t="str">
        <f>"6166"</f>
        <v>6166</v>
      </c>
      <c r="B760" s="2" t="s">
        <v>2185</v>
      </c>
      <c r="C760" s="2" t="s">
        <v>2186</v>
      </c>
      <c r="D760" s="2" t="s">
        <v>6020</v>
      </c>
      <c r="E760" s="2" t="s">
        <v>2187</v>
      </c>
      <c r="F760" s="2" t="s">
        <v>41</v>
      </c>
      <c r="G760" s="2" t="str">
        <f>"(02)8226-5877"</f>
        <v>(02)8226-5877</v>
      </c>
      <c r="H760" s="2" t="s">
        <v>456</v>
      </c>
      <c r="I760" s="2" t="str">
        <f>"(02)2504-8125"</f>
        <v>(02)2504-8125</v>
      </c>
      <c r="J760" s="2" t="str">
        <f t="shared" si="108"/>
        <v>--</v>
      </c>
      <c r="K760" s="2" t="str">
        <f t="shared" si="108"/>
        <v>--</v>
      </c>
      <c r="L760" s="2" t="str">
        <f t="shared" si="108"/>
        <v>--</v>
      </c>
      <c r="M760" s="2" t="str">
        <f>"否"</f>
        <v>否</v>
      </c>
      <c r="N760" s="2"/>
      <c r="O760" s="2"/>
      <c r="P760" s="2"/>
      <c r="Q760" s="2"/>
    </row>
    <row r="761" spans="1:17" x14ac:dyDescent="0.3">
      <c r="A761" s="2" t="str">
        <f>"6168"</f>
        <v>6168</v>
      </c>
      <c r="B761" s="2" t="s">
        <v>2188</v>
      </c>
      <c r="C761" s="2" t="s">
        <v>2189</v>
      </c>
      <c r="D761" s="2" t="s">
        <v>6007</v>
      </c>
      <c r="E761" s="2" t="s">
        <v>6352</v>
      </c>
      <c r="F761" s="2" t="s">
        <v>2</v>
      </c>
      <c r="G761" s="2" t="str">
        <f>"03-5399889"</f>
        <v>03-5399889</v>
      </c>
      <c r="H761" s="2" t="s">
        <v>1063</v>
      </c>
      <c r="I761" s="2" t="str">
        <f>"02-77198899"</f>
        <v>02-77198899</v>
      </c>
      <c r="J761" s="2" t="str">
        <f>"自105年05月29日至105年06月25日止"</f>
        <v>自105年05月29日至105年06月25日止</v>
      </c>
      <c r="K761" s="2" t="str">
        <f>"台灣集中保管結算所股份有限公司"</f>
        <v>台灣集中保管結算所股份有限公司</v>
      </c>
      <c r="L761" s="2" t="str">
        <f>"http://www.stockvote.com.tw"</f>
        <v>http://www.stockvote.com.tw</v>
      </c>
      <c r="M761" s="2" t="str">
        <f>"強制"</f>
        <v>強制</v>
      </c>
      <c r="N761" s="2"/>
      <c r="O761" s="2"/>
      <c r="P761" s="2"/>
      <c r="Q761" s="2"/>
    </row>
    <row r="762" spans="1:17" x14ac:dyDescent="0.3">
      <c r="A762" s="2" t="str">
        <f>"6172"</f>
        <v>6172</v>
      </c>
      <c r="B762" s="2" t="s">
        <v>2190</v>
      </c>
      <c r="C762" s="2" t="s">
        <v>2191</v>
      </c>
      <c r="D762" s="2" t="s">
        <v>6016</v>
      </c>
      <c r="E762" s="2" t="s">
        <v>2192</v>
      </c>
      <c r="F762" s="2" t="s">
        <v>41</v>
      </c>
      <c r="G762" s="2" t="str">
        <f>"03-5729399"</f>
        <v>03-5729399</v>
      </c>
      <c r="H762" s="2" t="s">
        <v>465</v>
      </c>
      <c r="I762" s="2" t="str">
        <f>"02-23816288"</f>
        <v>02-23816288</v>
      </c>
      <c r="J762" s="2" t="str">
        <f>"--"</f>
        <v>--</v>
      </c>
      <c r="K762" s="2" t="str">
        <f>"--"</f>
        <v>--</v>
      </c>
      <c r="L762" s="2" t="str">
        <f>"--"</f>
        <v>--</v>
      </c>
      <c r="M762" s="2" t="str">
        <f>"--"</f>
        <v>--</v>
      </c>
      <c r="N762" s="2"/>
      <c r="O762" s="2"/>
      <c r="P762" s="2"/>
      <c r="Q762" s="2"/>
    </row>
    <row r="763" spans="1:17" x14ac:dyDescent="0.3">
      <c r="A763" s="2" t="str">
        <f>"6176"</f>
        <v>6176</v>
      </c>
      <c r="B763" s="2" t="s">
        <v>2193</v>
      </c>
      <c r="C763" s="2" t="s">
        <v>2194</v>
      </c>
      <c r="D763" s="2" t="s">
        <v>6024</v>
      </c>
      <c r="E763" s="2" t="s">
        <v>2195</v>
      </c>
      <c r="F763" s="2" t="s">
        <v>2</v>
      </c>
      <c r="G763" s="2" t="str">
        <f>"07-8216151"</f>
        <v>07-8216151</v>
      </c>
      <c r="H763" s="2" t="s">
        <v>475</v>
      </c>
      <c r="I763" s="2" t="str">
        <f>"02-23268818"</f>
        <v>02-23268818</v>
      </c>
      <c r="J763" s="2" t="str">
        <f>"自105年05月07日至105年06月04日止"</f>
        <v>自105年05月07日至105年06月04日止</v>
      </c>
      <c r="K763" s="2" t="str">
        <f>"台灣集中保管結算所股份有限公司"</f>
        <v>台灣集中保管結算所股份有限公司</v>
      </c>
      <c r="L763" s="2" t="str">
        <f>"http://www.stockvote.com.tw"</f>
        <v>http://www.stockvote.com.tw</v>
      </c>
      <c r="M763" s="2" t="str">
        <f>"強制"</f>
        <v>強制</v>
      </c>
      <c r="N763" s="2"/>
      <c r="O763" s="2"/>
      <c r="P763" s="2"/>
      <c r="Q763" s="2"/>
    </row>
    <row r="764" spans="1:17" x14ac:dyDescent="0.3">
      <c r="A764" s="2" t="str">
        <f>"6177"</f>
        <v>6177</v>
      </c>
      <c r="B764" s="2" t="s">
        <v>2196</v>
      </c>
      <c r="C764" s="2" t="s">
        <v>2197</v>
      </c>
      <c r="D764" s="2" t="s">
        <v>6010</v>
      </c>
      <c r="E764" s="2" t="s">
        <v>6353</v>
      </c>
      <c r="F764" s="2" t="s">
        <v>2</v>
      </c>
      <c r="G764" s="2" t="str">
        <f>"02-25061966"</f>
        <v>02-25061966</v>
      </c>
      <c r="H764" s="2" t="s">
        <v>582</v>
      </c>
      <c r="I764" s="2" t="str">
        <f>"(02)2586-5859"</f>
        <v>(02)2586-5859</v>
      </c>
      <c r="J764" s="2" t="str">
        <f t="shared" ref="J764:M767" si="109">"--"</f>
        <v>--</v>
      </c>
      <c r="K764" s="2" t="str">
        <f t="shared" si="109"/>
        <v>--</v>
      </c>
      <c r="L764" s="2" t="str">
        <f t="shared" si="109"/>
        <v>--</v>
      </c>
      <c r="M764" s="2" t="str">
        <f t="shared" si="109"/>
        <v>--</v>
      </c>
      <c r="N764" s="2"/>
      <c r="O764" s="2"/>
      <c r="P764" s="2"/>
      <c r="Q764" s="2"/>
    </row>
    <row r="765" spans="1:17" x14ac:dyDescent="0.3">
      <c r="A765" s="2" t="str">
        <f>"6183"</f>
        <v>6183</v>
      </c>
      <c r="B765" s="2" t="s">
        <v>2198</v>
      </c>
      <c r="C765" s="2" t="s">
        <v>2199</v>
      </c>
      <c r="D765" s="2" t="s">
        <v>5999</v>
      </c>
      <c r="E765" s="2" t="s">
        <v>6354</v>
      </c>
      <c r="F765" s="2" t="s">
        <v>2</v>
      </c>
      <c r="G765" s="2" t="str">
        <f>"26551188"</f>
        <v>26551188</v>
      </c>
      <c r="H765" s="2" t="s">
        <v>469</v>
      </c>
      <c r="I765" s="2" t="str">
        <f>"27463797"</f>
        <v>27463797</v>
      </c>
      <c r="J765" s="2" t="str">
        <f t="shared" si="109"/>
        <v>--</v>
      </c>
      <c r="K765" s="2" t="str">
        <f t="shared" si="109"/>
        <v>--</v>
      </c>
      <c r="L765" s="2" t="str">
        <f t="shared" si="109"/>
        <v>--</v>
      </c>
      <c r="M765" s="2" t="str">
        <f t="shared" si="109"/>
        <v>--</v>
      </c>
      <c r="N765" s="2"/>
      <c r="O765" s="2"/>
      <c r="P765" s="2"/>
      <c r="Q765" s="2"/>
    </row>
    <row r="766" spans="1:17" x14ac:dyDescent="0.3">
      <c r="A766" s="2" t="str">
        <f>"6184"</f>
        <v>6184</v>
      </c>
      <c r="B766" s="2" t="s">
        <v>2200</v>
      </c>
      <c r="C766" s="2" t="s">
        <v>2201</v>
      </c>
      <c r="D766" s="2" t="s">
        <v>6031</v>
      </c>
      <c r="E766" s="2" t="s">
        <v>2202</v>
      </c>
      <c r="F766" s="2" t="s">
        <v>41</v>
      </c>
      <c r="G766" s="2" t="str">
        <f>"(02)8253-8888"</f>
        <v>(02)8253-8888</v>
      </c>
      <c r="H766" s="2" t="s">
        <v>1063</v>
      </c>
      <c r="I766" s="2" t="str">
        <f>"(02)2326-8818"</f>
        <v>(02)2326-8818</v>
      </c>
      <c r="J766" s="2" t="str">
        <f t="shared" si="109"/>
        <v>--</v>
      </c>
      <c r="K766" s="2" t="str">
        <f t="shared" si="109"/>
        <v>--</v>
      </c>
      <c r="L766" s="2" t="str">
        <f t="shared" si="109"/>
        <v>--</v>
      </c>
      <c r="M766" s="2" t="str">
        <f>"否"</f>
        <v>否</v>
      </c>
      <c r="N766" s="2"/>
      <c r="O766" s="2"/>
      <c r="P766" s="2"/>
      <c r="Q766" s="2"/>
    </row>
    <row r="767" spans="1:17" x14ac:dyDescent="0.3">
      <c r="A767" s="2" t="str">
        <f>"6189"</f>
        <v>6189</v>
      </c>
      <c r="B767" s="2" t="s">
        <v>2203</v>
      </c>
      <c r="C767" s="2" t="s">
        <v>2204</v>
      </c>
      <c r="D767" s="2" t="s">
        <v>6016</v>
      </c>
      <c r="E767" s="2" t="s">
        <v>6355</v>
      </c>
      <c r="F767" s="2" t="s">
        <v>41</v>
      </c>
      <c r="G767" s="2" t="str">
        <f>"02-26590303"</f>
        <v>02-26590303</v>
      </c>
      <c r="H767" s="2" t="s">
        <v>675</v>
      </c>
      <c r="I767" s="2" t="str">
        <f>"02-2586-3117"</f>
        <v>02-2586-3117</v>
      </c>
      <c r="J767" s="2" t="str">
        <f t="shared" si="109"/>
        <v>--</v>
      </c>
      <c r="K767" s="2" t="str">
        <f t="shared" si="109"/>
        <v>--</v>
      </c>
      <c r="L767" s="2" t="str">
        <f t="shared" si="109"/>
        <v>--</v>
      </c>
      <c r="M767" s="2" t="str">
        <f>"否"</f>
        <v>否</v>
      </c>
      <c r="N767" s="2"/>
      <c r="O767" s="2"/>
      <c r="P767" s="2"/>
      <c r="Q767" s="2"/>
    </row>
    <row r="768" spans="1:17" x14ac:dyDescent="0.3">
      <c r="A768" s="2" t="str">
        <f>"6191"</f>
        <v>6191</v>
      </c>
      <c r="B768" s="2" t="s">
        <v>2206</v>
      </c>
      <c r="C768" s="2" t="s">
        <v>2207</v>
      </c>
      <c r="D768" s="2" t="s">
        <v>6004</v>
      </c>
      <c r="E768" s="2" t="s">
        <v>6356</v>
      </c>
      <c r="F768" s="2" t="s">
        <v>2</v>
      </c>
      <c r="G768" s="2" t="str">
        <f>"(02)2910-8800"</f>
        <v>(02)2910-8800</v>
      </c>
      <c r="H768" s="2" t="s">
        <v>2208</v>
      </c>
      <c r="I768" s="2" t="str">
        <f>"(02)27905885"</f>
        <v>(02)27905885</v>
      </c>
      <c r="J768" s="2" t="str">
        <f>"自105年05月18日至105年06月14日止"</f>
        <v>自105年05月18日至105年06月14日止</v>
      </c>
      <c r="K768" s="2" t="str">
        <f>"台灣集中保管結算所股份有限公司"</f>
        <v>台灣集中保管結算所股份有限公司</v>
      </c>
      <c r="L768" s="2" t="str">
        <f>"http://www.stockvote.com.tw"</f>
        <v>http://www.stockvote.com.tw</v>
      </c>
      <c r="M768" s="2" t="str">
        <f>"強制"</f>
        <v>強制</v>
      </c>
      <c r="N768" s="2"/>
      <c r="O768" s="2"/>
      <c r="P768" s="2"/>
      <c r="Q768" s="2"/>
    </row>
    <row r="769" spans="1:17" x14ac:dyDescent="0.3">
      <c r="A769" s="2" t="str">
        <f>"6192"</f>
        <v>6192</v>
      </c>
      <c r="B769" s="2" t="s">
        <v>2209</v>
      </c>
      <c r="C769" s="2" t="s">
        <v>2210</v>
      </c>
      <c r="D769" s="2" t="s">
        <v>6014</v>
      </c>
      <c r="E769" s="2" t="s">
        <v>2211</v>
      </c>
      <c r="F769" s="2" t="s">
        <v>41</v>
      </c>
      <c r="G769" s="2" t="str">
        <f>"(02)27883656"</f>
        <v>(02)27883656</v>
      </c>
      <c r="H769" s="2" t="s">
        <v>640</v>
      </c>
      <c r="I769" s="2" t="str">
        <f>"(02)2371-1658"</f>
        <v>(02)2371-1658</v>
      </c>
      <c r="J769" s="2" t="str">
        <f t="shared" ref="J769:L772" si="110">"--"</f>
        <v>--</v>
      </c>
      <c r="K769" s="2" t="str">
        <f t="shared" si="110"/>
        <v>--</v>
      </c>
      <c r="L769" s="2" t="str">
        <f t="shared" si="110"/>
        <v>--</v>
      </c>
      <c r="M769" s="2" t="str">
        <f>"否"</f>
        <v>否</v>
      </c>
      <c r="N769" s="2"/>
      <c r="O769" s="2"/>
      <c r="P769" s="2"/>
      <c r="Q769" s="2"/>
    </row>
    <row r="770" spans="1:17" x14ac:dyDescent="0.3">
      <c r="A770" s="2" t="str">
        <f>"6196"</f>
        <v>6196</v>
      </c>
      <c r="B770" s="2" t="s">
        <v>2212</v>
      </c>
      <c r="C770" s="2" t="s">
        <v>2213</v>
      </c>
      <c r="D770" s="2" t="s">
        <v>6037</v>
      </c>
      <c r="E770" s="2" t="s">
        <v>2214</v>
      </c>
      <c r="F770" s="2" t="s">
        <v>41</v>
      </c>
      <c r="G770" s="2" t="str">
        <f>"(02)2655-8899"</f>
        <v>(02)2655-8899</v>
      </c>
      <c r="H770" s="2" t="s">
        <v>451</v>
      </c>
      <c r="I770" s="2" t="str">
        <f>"(02)2314-8800"</f>
        <v>(02)2314-8800</v>
      </c>
      <c r="J770" s="2" t="str">
        <f t="shared" si="110"/>
        <v>--</v>
      </c>
      <c r="K770" s="2" t="str">
        <f t="shared" si="110"/>
        <v>--</v>
      </c>
      <c r="L770" s="2" t="str">
        <f t="shared" si="110"/>
        <v>--</v>
      </c>
      <c r="M770" s="2" t="str">
        <f>"否"</f>
        <v>否</v>
      </c>
      <c r="N770" s="2"/>
      <c r="O770" s="2"/>
      <c r="P770" s="2"/>
      <c r="Q770" s="2"/>
    </row>
    <row r="771" spans="1:17" x14ac:dyDescent="0.3">
      <c r="A771" s="2" t="str">
        <f>"6197"</f>
        <v>6197</v>
      </c>
      <c r="B771" s="2" t="s">
        <v>205</v>
      </c>
      <c r="C771" s="2" t="s">
        <v>2215</v>
      </c>
      <c r="D771" s="2" t="s">
        <v>6002</v>
      </c>
      <c r="E771" s="2" t="s">
        <v>6357</v>
      </c>
      <c r="F771" s="2" t="s">
        <v>41</v>
      </c>
      <c r="G771" s="2" t="str">
        <f>"02-82271658"</f>
        <v>02-82271658</v>
      </c>
      <c r="H771" s="2" t="s">
        <v>451</v>
      </c>
      <c r="I771" s="2" t="str">
        <f>"02-2389-2999"</f>
        <v>02-2389-2999</v>
      </c>
      <c r="J771" s="2" t="str">
        <f t="shared" si="110"/>
        <v>--</v>
      </c>
      <c r="K771" s="2" t="str">
        <f t="shared" si="110"/>
        <v>--</v>
      </c>
      <c r="L771" s="2" t="str">
        <f t="shared" si="110"/>
        <v>--</v>
      </c>
      <c r="M771" s="2" t="str">
        <f>"--"</f>
        <v>--</v>
      </c>
      <c r="N771" s="2"/>
      <c r="O771" s="2"/>
      <c r="P771" s="2"/>
      <c r="Q771" s="2"/>
    </row>
    <row r="772" spans="1:17" x14ac:dyDescent="0.3">
      <c r="A772" s="2" t="str">
        <f>"6201"</f>
        <v>6201</v>
      </c>
      <c r="B772" s="2" t="s">
        <v>2216</v>
      </c>
      <c r="C772" s="2" t="s">
        <v>2217</v>
      </c>
      <c r="D772" s="2" t="s">
        <v>6016</v>
      </c>
      <c r="E772" s="2" t="s">
        <v>2218</v>
      </c>
      <c r="F772" s="2" t="s">
        <v>2</v>
      </c>
      <c r="G772" s="2" t="str">
        <f>"06-5932201"</f>
        <v>06-5932201</v>
      </c>
      <c r="H772" s="2" t="s">
        <v>404</v>
      </c>
      <c r="I772" s="2" t="str">
        <f>"02-66365566"</f>
        <v>02-66365566</v>
      </c>
      <c r="J772" s="2" t="str">
        <f t="shared" si="110"/>
        <v>--</v>
      </c>
      <c r="K772" s="2" t="str">
        <f t="shared" si="110"/>
        <v>--</v>
      </c>
      <c r="L772" s="2" t="str">
        <f t="shared" si="110"/>
        <v>--</v>
      </c>
      <c r="M772" s="2" t="str">
        <f>"否"</f>
        <v>否</v>
      </c>
      <c r="N772" s="2"/>
      <c r="O772" s="2"/>
      <c r="P772" s="2"/>
      <c r="Q772" s="2"/>
    </row>
    <row r="773" spans="1:17" x14ac:dyDescent="0.3">
      <c r="A773" s="2" t="str">
        <f>"6202"</f>
        <v>6202</v>
      </c>
      <c r="B773" s="2" t="s">
        <v>2219</v>
      </c>
      <c r="C773" s="2" t="s">
        <v>2220</v>
      </c>
      <c r="D773" s="2" t="s">
        <v>6034</v>
      </c>
      <c r="E773" s="2" t="s">
        <v>6358</v>
      </c>
      <c r="F773" s="2" t="s">
        <v>41</v>
      </c>
      <c r="G773" s="2" t="str">
        <f>"(03)5631999"</f>
        <v>(03)5631999</v>
      </c>
      <c r="H773" s="2" t="s">
        <v>505</v>
      </c>
      <c r="I773" s="2" t="str">
        <f>"(02)23816288"</f>
        <v>(02)23816288</v>
      </c>
      <c r="J773" s="2" t="str">
        <f>"自105年04月26日至105年05月24日止"</f>
        <v>自105年04月26日至105年05月24日止</v>
      </c>
      <c r="K773" s="2" t="str">
        <f>"台灣集中保管結算所股份有限公司"</f>
        <v>台灣集中保管結算所股份有限公司</v>
      </c>
      <c r="L773" s="2" t="str">
        <f>"http://www.stockvote.com.tw"</f>
        <v>http://www.stockvote.com.tw</v>
      </c>
      <c r="M773" s="2" t="str">
        <f>"強制"</f>
        <v>強制</v>
      </c>
      <c r="N773" s="2"/>
      <c r="O773" s="2"/>
      <c r="P773" s="2"/>
      <c r="Q773" s="2"/>
    </row>
    <row r="774" spans="1:17" x14ac:dyDescent="0.3">
      <c r="A774" s="2" t="str">
        <f>"6205"</f>
        <v>6205</v>
      </c>
      <c r="B774" s="2" t="s">
        <v>2221</v>
      </c>
      <c r="C774" s="2" t="s">
        <v>2222</v>
      </c>
      <c r="D774" s="2" t="s">
        <v>6015</v>
      </c>
      <c r="E774" s="2" t="s">
        <v>2223</v>
      </c>
      <c r="F774" s="2" t="s">
        <v>2</v>
      </c>
      <c r="G774" s="2" t="str">
        <f>"02-86471251"</f>
        <v>02-86471251</v>
      </c>
      <c r="H774" s="2" t="s">
        <v>806</v>
      </c>
      <c r="I774" s="2" t="str">
        <f>"8787-1888"</f>
        <v>8787-1888</v>
      </c>
      <c r="J774" s="2" t="str">
        <f t="shared" ref="J774:M782" si="111">"--"</f>
        <v>--</v>
      </c>
      <c r="K774" s="2" t="str">
        <f t="shared" si="111"/>
        <v>--</v>
      </c>
      <c r="L774" s="2" t="str">
        <f t="shared" si="111"/>
        <v>--</v>
      </c>
      <c r="M774" s="2" t="str">
        <f t="shared" si="111"/>
        <v>--</v>
      </c>
      <c r="N774" s="2"/>
      <c r="O774" s="2"/>
      <c r="P774" s="2"/>
      <c r="Q774" s="2"/>
    </row>
    <row r="775" spans="1:17" x14ac:dyDescent="0.3">
      <c r="A775" s="2" t="str">
        <f>"6206"</f>
        <v>6206</v>
      </c>
      <c r="B775" s="2" t="s">
        <v>2224</v>
      </c>
      <c r="C775" s="2" t="s">
        <v>2225</v>
      </c>
      <c r="D775" s="2" t="s">
        <v>6025</v>
      </c>
      <c r="E775" s="2" t="s">
        <v>2226</v>
      </c>
      <c r="F775" s="2" t="s">
        <v>2</v>
      </c>
      <c r="G775" s="2" t="str">
        <f>"87914988"</f>
        <v>87914988</v>
      </c>
      <c r="H775" s="2" t="s">
        <v>431</v>
      </c>
      <c r="I775" s="2" t="str">
        <f>"27023999"</f>
        <v>27023999</v>
      </c>
      <c r="J775" s="2" t="str">
        <f t="shared" si="111"/>
        <v>--</v>
      </c>
      <c r="K775" s="2" t="str">
        <f t="shared" si="111"/>
        <v>--</v>
      </c>
      <c r="L775" s="2" t="str">
        <f t="shared" si="111"/>
        <v>--</v>
      </c>
      <c r="M775" s="2" t="str">
        <f t="shared" si="111"/>
        <v>--</v>
      </c>
      <c r="N775" s="2"/>
      <c r="O775" s="2"/>
      <c r="P775" s="2"/>
      <c r="Q775" s="2"/>
    </row>
    <row r="776" spans="1:17" x14ac:dyDescent="0.3">
      <c r="A776" s="2" t="str">
        <f>"6209"</f>
        <v>6209</v>
      </c>
      <c r="B776" s="2" t="s">
        <v>2227</v>
      </c>
      <c r="C776" s="2" t="s">
        <v>2228</v>
      </c>
      <c r="D776" s="2" t="s">
        <v>6021</v>
      </c>
      <c r="E776" s="2" t="s">
        <v>2229</v>
      </c>
      <c r="F776" s="2" t="s">
        <v>41</v>
      </c>
      <c r="G776" s="2" t="str">
        <f>"04-26595985"</f>
        <v>04-26595985</v>
      </c>
      <c r="H776" s="2" t="s">
        <v>640</v>
      </c>
      <c r="I776" s="2" t="str">
        <f>"02-23711658"</f>
        <v>02-23711658</v>
      </c>
      <c r="J776" s="2" t="str">
        <f t="shared" si="111"/>
        <v>--</v>
      </c>
      <c r="K776" s="2" t="str">
        <f t="shared" si="111"/>
        <v>--</v>
      </c>
      <c r="L776" s="2" t="str">
        <f t="shared" si="111"/>
        <v>--</v>
      </c>
      <c r="M776" s="2" t="str">
        <f t="shared" si="111"/>
        <v>--</v>
      </c>
      <c r="N776" s="2"/>
      <c r="O776" s="2"/>
      <c r="P776" s="2"/>
      <c r="Q776" s="2"/>
    </row>
    <row r="777" spans="1:17" x14ac:dyDescent="0.3">
      <c r="A777" s="2" t="str">
        <f>"6213"</f>
        <v>6213</v>
      </c>
      <c r="B777" s="2" t="s">
        <v>97</v>
      </c>
      <c r="C777" s="2" t="s">
        <v>6359</v>
      </c>
      <c r="D777" s="2" t="s">
        <v>6002</v>
      </c>
      <c r="E777" s="2" t="s">
        <v>2230</v>
      </c>
      <c r="F777" s="2" t="s">
        <v>2</v>
      </c>
      <c r="G777" s="2" t="str">
        <f>"03-5887888"</f>
        <v>03-5887888</v>
      </c>
      <c r="H777" s="2" t="s">
        <v>431</v>
      </c>
      <c r="I777" s="2" t="str">
        <f>"02-2702-3999"</f>
        <v>02-2702-3999</v>
      </c>
      <c r="J777" s="2" t="str">
        <f>"自105年05月14日至105年06月12日止"</f>
        <v>自105年05月14日至105年06月12日止</v>
      </c>
      <c r="K777" s="2" t="str">
        <f>"台灣集中保管結算所股份有限公司"</f>
        <v>台灣集中保管結算所股份有限公司</v>
      </c>
      <c r="L777" s="2" t="str">
        <f>"http://www.stockvote.com.tw"</f>
        <v>http://www.stockvote.com.tw</v>
      </c>
      <c r="M777" s="2" t="str">
        <f t="shared" si="111"/>
        <v>--</v>
      </c>
      <c r="N777" s="2"/>
      <c r="O777" s="2"/>
      <c r="P777" s="2"/>
      <c r="Q777" s="2"/>
    </row>
    <row r="778" spans="1:17" x14ac:dyDescent="0.3">
      <c r="A778" s="2" t="str">
        <f>"6214"</f>
        <v>6214</v>
      </c>
      <c r="B778" s="2" t="s">
        <v>2231</v>
      </c>
      <c r="C778" s="2" t="s">
        <v>2232</v>
      </c>
      <c r="D778" s="2" t="s">
        <v>6004</v>
      </c>
      <c r="E778" s="2" t="s">
        <v>2233</v>
      </c>
      <c r="F778" s="2" t="s">
        <v>41</v>
      </c>
      <c r="G778" s="2" t="str">
        <f>"(02)77201888"</f>
        <v>(02)77201888</v>
      </c>
      <c r="H778" s="2" t="s">
        <v>6006</v>
      </c>
      <c r="I778" s="2" t="str">
        <f>"(02)25865859"</f>
        <v>(02)25865859</v>
      </c>
      <c r="J778" s="2" t="str">
        <f>"自105年05月18日至105年06月14日止"</f>
        <v>自105年05月18日至105年06月14日止</v>
      </c>
      <c r="K778" s="2" t="str">
        <f>"台灣集中保管結算所股份有限公司"</f>
        <v>台灣集中保管結算所股份有限公司</v>
      </c>
      <c r="L778" s="2" t="str">
        <f>"http://www.stockvote.com.tw"</f>
        <v>http://www.stockvote.com.tw</v>
      </c>
      <c r="M778" s="2" t="str">
        <f t="shared" si="111"/>
        <v>--</v>
      </c>
      <c r="N778" s="2"/>
      <c r="O778" s="2"/>
      <c r="P778" s="2"/>
      <c r="Q778" s="2"/>
    </row>
    <row r="779" spans="1:17" x14ac:dyDescent="0.3">
      <c r="A779" s="2" t="str">
        <f>"6215"</f>
        <v>6215</v>
      </c>
      <c r="B779" s="2" t="s">
        <v>2234</v>
      </c>
      <c r="C779" s="2" t="s">
        <v>2235</v>
      </c>
      <c r="D779" s="2" t="s">
        <v>6002</v>
      </c>
      <c r="E779" s="2" t="s">
        <v>2236</v>
      </c>
      <c r="F779" s="2" t="s">
        <v>2</v>
      </c>
      <c r="G779" s="2" t="str">
        <f>"87523311"</f>
        <v>87523311</v>
      </c>
      <c r="H779" s="2" t="s">
        <v>556</v>
      </c>
      <c r="I779" s="2" t="str">
        <f>"2371-1658"</f>
        <v>2371-1658</v>
      </c>
      <c r="J779" s="2" t="str">
        <f t="shared" ref="J779:L785" si="112">"--"</f>
        <v>--</v>
      </c>
      <c r="K779" s="2" t="str">
        <f t="shared" si="112"/>
        <v>--</v>
      </c>
      <c r="L779" s="2" t="str">
        <f t="shared" si="112"/>
        <v>--</v>
      </c>
      <c r="M779" s="2" t="str">
        <f t="shared" si="111"/>
        <v>--</v>
      </c>
      <c r="N779" s="2"/>
      <c r="O779" s="2"/>
      <c r="P779" s="2"/>
      <c r="Q779" s="2"/>
    </row>
    <row r="780" spans="1:17" x14ac:dyDescent="0.3">
      <c r="A780" s="2" t="str">
        <f>"6216"</f>
        <v>6216</v>
      </c>
      <c r="B780" s="2" t="s">
        <v>363</v>
      </c>
      <c r="C780" s="2" t="s">
        <v>2237</v>
      </c>
      <c r="D780" s="2" t="s">
        <v>5999</v>
      </c>
      <c r="E780" s="2" t="s">
        <v>2238</v>
      </c>
      <c r="F780" s="2" t="s">
        <v>2</v>
      </c>
      <c r="G780" s="2" t="str">
        <f>"03-5972727"</f>
        <v>03-5972727</v>
      </c>
      <c r="H780" s="2" t="s">
        <v>456</v>
      </c>
      <c r="I780" s="2" t="str">
        <f>"02-25048125"</f>
        <v>02-25048125</v>
      </c>
      <c r="J780" s="2" t="str">
        <f t="shared" si="112"/>
        <v>--</v>
      </c>
      <c r="K780" s="2" t="str">
        <f t="shared" si="112"/>
        <v>--</v>
      </c>
      <c r="L780" s="2" t="str">
        <f t="shared" si="112"/>
        <v>--</v>
      </c>
      <c r="M780" s="2" t="str">
        <f t="shared" si="111"/>
        <v>--</v>
      </c>
      <c r="N780" s="2"/>
      <c r="O780" s="2"/>
      <c r="P780" s="2"/>
      <c r="Q780" s="2"/>
    </row>
    <row r="781" spans="1:17" x14ac:dyDescent="0.3">
      <c r="A781" s="2" t="str">
        <f>"6224"</f>
        <v>6224</v>
      </c>
      <c r="B781" s="2" t="s">
        <v>2239</v>
      </c>
      <c r="C781" s="2" t="s">
        <v>2240</v>
      </c>
      <c r="D781" s="2" t="s">
        <v>6015</v>
      </c>
      <c r="E781" s="2" t="s">
        <v>2241</v>
      </c>
      <c r="F781" s="2" t="s">
        <v>2</v>
      </c>
      <c r="G781" s="2" t="str">
        <f>"03-5643931"</f>
        <v>03-5643931</v>
      </c>
      <c r="H781" s="2" t="s">
        <v>465</v>
      </c>
      <c r="I781" s="2" t="str">
        <f>"02-23816288"</f>
        <v>02-23816288</v>
      </c>
      <c r="J781" s="2" t="str">
        <f t="shared" si="112"/>
        <v>--</v>
      </c>
      <c r="K781" s="2" t="str">
        <f t="shared" si="112"/>
        <v>--</v>
      </c>
      <c r="L781" s="2" t="str">
        <f t="shared" si="112"/>
        <v>--</v>
      </c>
      <c r="M781" s="2" t="str">
        <f t="shared" si="111"/>
        <v>--</v>
      </c>
      <c r="N781" s="2"/>
      <c r="O781" s="2"/>
      <c r="P781" s="2"/>
      <c r="Q781" s="2"/>
    </row>
    <row r="782" spans="1:17" x14ac:dyDescent="0.3">
      <c r="A782" s="2" t="str">
        <f>"6225"</f>
        <v>6225</v>
      </c>
      <c r="B782" s="2" t="s">
        <v>2242</v>
      </c>
      <c r="C782" s="2" t="s">
        <v>2243</v>
      </c>
      <c r="D782" s="2" t="s">
        <v>6028</v>
      </c>
      <c r="E782" s="2" t="s">
        <v>6360</v>
      </c>
      <c r="F782" s="2" t="s">
        <v>2</v>
      </c>
      <c r="G782" s="2" t="str">
        <f>"03-5678138"</f>
        <v>03-5678138</v>
      </c>
      <c r="H782" s="2" t="s">
        <v>451</v>
      </c>
      <c r="I782" s="2" t="str">
        <f>"02-23148800"</f>
        <v>02-23148800</v>
      </c>
      <c r="J782" s="2" t="str">
        <f t="shared" si="112"/>
        <v>--</v>
      </c>
      <c r="K782" s="2" t="str">
        <f t="shared" si="112"/>
        <v>--</v>
      </c>
      <c r="L782" s="2" t="str">
        <f t="shared" si="112"/>
        <v>--</v>
      </c>
      <c r="M782" s="2" t="str">
        <f t="shared" si="111"/>
        <v>--</v>
      </c>
      <c r="N782" s="2"/>
      <c r="O782" s="2"/>
      <c r="P782" s="2"/>
      <c r="Q782" s="2"/>
    </row>
    <row r="783" spans="1:17" x14ac:dyDescent="0.3">
      <c r="A783" s="2" t="str">
        <f>"6226"</f>
        <v>6226</v>
      </c>
      <c r="B783" s="2" t="s">
        <v>2245</v>
      </c>
      <c r="C783" s="2" t="s">
        <v>6361</v>
      </c>
      <c r="D783" s="2" t="s">
        <v>6025</v>
      </c>
      <c r="E783" s="2" t="s">
        <v>6362</v>
      </c>
      <c r="F783" s="2" t="s">
        <v>2</v>
      </c>
      <c r="G783" s="2" t="str">
        <f>"02-22253733"</f>
        <v>02-22253733</v>
      </c>
      <c r="H783" s="2" t="s">
        <v>6006</v>
      </c>
      <c r="I783" s="2" t="str">
        <f>"(02)25865859"</f>
        <v>(02)25865859</v>
      </c>
      <c r="J783" s="2" t="str">
        <f t="shared" si="112"/>
        <v>--</v>
      </c>
      <c r="K783" s="2" t="str">
        <f t="shared" si="112"/>
        <v>--</v>
      </c>
      <c r="L783" s="2" t="str">
        <f t="shared" si="112"/>
        <v>--</v>
      </c>
      <c r="M783" s="2" t="str">
        <f>"否"</f>
        <v>否</v>
      </c>
      <c r="N783" s="2"/>
      <c r="O783" s="2"/>
      <c r="P783" s="2"/>
      <c r="Q783" s="2"/>
    </row>
    <row r="784" spans="1:17" x14ac:dyDescent="0.3">
      <c r="A784" s="2" t="str">
        <f>"6230"</f>
        <v>6230</v>
      </c>
      <c r="B784" s="2" t="s">
        <v>334</v>
      </c>
      <c r="C784" s="2" t="s">
        <v>2246</v>
      </c>
      <c r="D784" s="2" t="s">
        <v>6021</v>
      </c>
      <c r="E784" s="2" t="s">
        <v>2247</v>
      </c>
      <c r="F784" s="2" t="s">
        <v>2</v>
      </c>
      <c r="G784" s="2" t="str">
        <f>"02-29952666"</f>
        <v>02-29952666</v>
      </c>
      <c r="H784" s="2" t="s">
        <v>6006</v>
      </c>
      <c r="I784" s="2" t="str">
        <f>"(02)2586-5859"</f>
        <v>(02)2586-5859</v>
      </c>
      <c r="J784" s="2" t="str">
        <f t="shared" si="112"/>
        <v>--</v>
      </c>
      <c r="K784" s="2" t="str">
        <f t="shared" si="112"/>
        <v>--</v>
      </c>
      <c r="L784" s="2" t="str">
        <f t="shared" si="112"/>
        <v>--</v>
      </c>
      <c r="M784" s="2" t="str">
        <f>"否"</f>
        <v>否</v>
      </c>
      <c r="N784" s="2"/>
      <c r="O784" s="2"/>
      <c r="P784" s="2"/>
      <c r="Q784" s="2"/>
    </row>
    <row r="785" spans="1:17" x14ac:dyDescent="0.3">
      <c r="A785" s="2" t="str">
        <f>"6235"</f>
        <v>6235</v>
      </c>
      <c r="B785" s="2" t="s">
        <v>2248</v>
      </c>
      <c r="C785" s="2" t="s">
        <v>2249</v>
      </c>
      <c r="D785" s="2" t="s">
        <v>6004</v>
      </c>
      <c r="E785" s="2" t="s">
        <v>1666</v>
      </c>
      <c r="F785" s="2" t="s">
        <v>2</v>
      </c>
      <c r="G785" s="2" t="str">
        <f>"03-450-2688"</f>
        <v>03-450-2688</v>
      </c>
      <c r="H785" s="2" t="s">
        <v>404</v>
      </c>
      <c r="I785" s="2" t="str">
        <f>"02-66365566"</f>
        <v>02-66365566</v>
      </c>
      <c r="J785" s="2" t="str">
        <f t="shared" si="112"/>
        <v>--</v>
      </c>
      <c r="K785" s="2" t="str">
        <f t="shared" si="112"/>
        <v>--</v>
      </c>
      <c r="L785" s="2" t="str">
        <f t="shared" si="112"/>
        <v>--</v>
      </c>
      <c r="M785" s="2" t="str">
        <f>"--"</f>
        <v>--</v>
      </c>
      <c r="N785" s="2"/>
      <c r="O785" s="2"/>
      <c r="P785" s="2"/>
      <c r="Q785" s="2"/>
    </row>
    <row r="786" spans="1:17" x14ac:dyDescent="0.3">
      <c r="A786" s="2" t="str">
        <f>"6239"</f>
        <v>6239</v>
      </c>
      <c r="B786" s="2" t="s">
        <v>238</v>
      </c>
      <c r="C786" s="2" t="s">
        <v>2250</v>
      </c>
      <c r="D786" s="2" t="s">
        <v>6034</v>
      </c>
      <c r="E786" s="2" t="s">
        <v>2251</v>
      </c>
      <c r="F786" s="2" t="s">
        <v>2</v>
      </c>
      <c r="G786" s="2" t="str">
        <f>"03-5980300"</f>
        <v>03-5980300</v>
      </c>
      <c r="H786" s="2" t="s">
        <v>806</v>
      </c>
      <c r="I786" s="2" t="str">
        <f>"02-87871888"</f>
        <v>02-87871888</v>
      </c>
      <c r="J786" s="2" t="str">
        <f>"自105年04月27日至105年05月24日止"</f>
        <v>自105年04月27日至105年05月24日止</v>
      </c>
      <c r="K786" s="2" t="str">
        <f>"台灣集中保管結算所股份有限公司"</f>
        <v>台灣集中保管結算所股份有限公司</v>
      </c>
      <c r="L786" s="2" t="str">
        <f>"http://www.stockvote.com.tw"</f>
        <v>http://www.stockvote.com.tw</v>
      </c>
      <c r="M786" s="2" t="str">
        <f>"強制"</f>
        <v>強制</v>
      </c>
      <c r="N786" s="2"/>
      <c r="O786" s="2"/>
      <c r="P786" s="2"/>
      <c r="Q786" s="2"/>
    </row>
    <row r="787" spans="1:17" x14ac:dyDescent="0.3">
      <c r="A787" s="2"/>
      <c r="B787" s="2"/>
      <c r="C787" s="2"/>
      <c r="D787" s="2"/>
      <c r="E787" s="2"/>
      <c r="F787" s="2"/>
      <c r="G787" s="2"/>
      <c r="H787" s="2"/>
      <c r="I787" s="2"/>
      <c r="J787" s="2"/>
      <c r="K787" s="2"/>
      <c r="L787" s="2"/>
      <c r="M787" s="2"/>
      <c r="N787" s="2"/>
      <c r="O787" s="2"/>
      <c r="P787" s="2"/>
      <c r="Q787" s="2"/>
    </row>
    <row r="788" spans="1:17" x14ac:dyDescent="0.3">
      <c r="A788" s="2" t="str">
        <f>"6243"</f>
        <v>6243</v>
      </c>
      <c r="B788" s="2" t="s">
        <v>228</v>
      </c>
      <c r="C788" s="2" t="s">
        <v>2252</v>
      </c>
      <c r="D788" s="2" t="s">
        <v>6016</v>
      </c>
      <c r="E788" s="2" t="s">
        <v>2253</v>
      </c>
      <c r="F788" s="2" t="s">
        <v>41</v>
      </c>
      <c r="G788" s="2" t="str">
        <f>"03-6662888"</f>
        <v>03-6662888</v>
      </c>
      <c r="H788" s="2" t="s">
        <v>6009</v>
      </c>
      <c r="I788" s="2" t="str">
        <f>"02-25865859"</f>
        <v>02-25865859</v>
      </c>
      <c r="J788" s="2" t="str">
        <f>"--"</f>
        <v>--</v>
      </c>
      <c r="K788" s="2" t="str">
        <f>"--"</f>
        <v>--</v>
      </c>
      <c r="L788" s="2" t="str">
        <f>"--"</f>
        <v>--</v>
      </c>
      <c r="M788" s="2" t="str">
        <f>"--"</f>
        <v>--</v>
      </c>
      <c r="N788" s="2"/>
      <c r="O788" s="2"/>
      <c r="P788" s="2"/>
      <c r="Q788" s="2"/>
    </row>
    <row r="789" spans="1:17" x14ac:dyDescent="0.3">
      <c r="A789" s="2" t="str">
        <f>"6251"</f>
        <v>6251</v>
      </c>
      <c r="B789" s="2" t="s">
        <v>2254</v>
      </c>
      <c r="C789" s="2" t="s">
        <v>6363</v>
      </c>
      <c r="D789" s="2" t="s">
        <v>6034</v>
      </c>
      <c r="E789" s="2" t="s">
        <v>6364</v>
      </c>
      <c r="F789" s="2" t="s">
        <v>2</v>
      </c>
      <c r="G789" s="2" t="str">
        <f>"03-3493300"</f>
        <v>03-3493300</v>
      </c>
      <c r="H789" s="2" t="s">
        <v>456</v>
      </c>
      <c r="I789" s="2" t="str">
        <f>"02-2504-8125"</f>
        <v>02-2504-8125</v>
      </c>
      <c r="J789" s="2" t="str">
        <f>"自105年04月27日至105年05月24日止"</f>
        <v>自105年04月27日至105年05月24日止</v>
      </c>
      <c r="K789" s="2" t="str">
        <f>"台灣集中保管結算所股份有限公司"</f>
        <v>台灣集中保管結算所股份有限公司</v>
      </c>
      <c r="L789" s="2" t="str">
        <f>"http://www.stockvote.com.tw"</f>
        <v>http://www.stockvote.com.tw</v>
      </c>
      <c r="M789" s="2" t="str">
        <f>"強制"</f>
        <v>強制</v>
      </c>
      <c r="N789" s="2"/>
      <c r="O789" s="2"/>
      <c r="P789" s="2"/>
      <c r="Q789" s="2"/>
    </row>
    <row r="790" spans="1:17" x14ac:dyDescent="0.3">
      <c r="A790" s="2" t="str">
        <f>"6257"</f>
        <v>6257</v>
      </c>
      <c r="B790" s="2" t="s">
        <v>56</v>
      </c>
      <c r="C790" s="2" t="s">
        <v>2255</v>
      </c>
      <c r="D790" s="2" t="s">
        <v>6020</v>
      </c>
      <c r="E790" s="2" t="s">
        <v>2256</v>
      </c>
      <c r="F790" s="2" t="s">
        <v>2</v>
      </c>
      <c r="G790" s="2" t="str">
        <f>"03-5959213"</f>
        <v>03-5959213</v>
      </c>
      <c r="H790" s="2" t="s">
        <v>524</v>
      </c>
      <c r="I790" s="2" t="str">
        <f>"02-23892999"</f>
        <v>02-23892999</v>
      </c>
      <c r="J790" s="2" t="str">
        <f>"自105年05月21日至105年06月17日止"</f>
        <v>自105年05月21日至105年06月17日止</v>
      </c>
      <c r="K790" s="2" t="str">
        <f>"台灣集中保管結算所股份有限公司"</f>
        <v>台灣集中保管結算所股份有限公司</v>
      </c>
      <c r="L790" s="2" t="str">
        <f>"http://www.stockvote.com.tw"</f>
        <v>http://www.stockvote.com.tw</v>
      </c>
      <c r="M790" s="2" t="str">
        <f>"強制"</f>
        <v>強制</v>
      </c>
      <c r="N790" s="2"/>
      <c r="O790" s="2"/>
      <c r="P790" s="2"/>
      <c r="Q790" s="2"/>
    </row>
    <row r="791" spans="1:17" x14ac:dyDescent="0.3">
      <c r="A791" s="2" t="str">
        <f>"6269"</f>
        <v>6269</v>
      </c>
      <c r="B791" s="2" t="s">
        <v>2257</v>
      </c>
      <c r="C791" s="2" t="s">
        <v>2258</v>
      </c>
      <c r="D791" s="2" t="s">
        <v>6007</v>
      </c>
      <c r="E791" s="2" t="s">
        <v>6365</v>
      </c>
      <c r="F791" s="2" t="s">
        <v>41</v>
      </c>
      <c r="G791" s="2" t="str">
        <f>"(07)787-1008"</f>
        <v>(07)787-1008</v>
      </c>
      <c r="H791" s="2" t="s">
        <v>6006</v>
      </c>
      <c r="I791" s="2" t="str">
        <f>"(02)25865859"</f>
        <v>(02)25865859</v>
      </c>
      <c r="J791" s="2" t="str">
        <f>"自105年05月28日至105年06月25日止"</f>
        <v>自105年05月28日至105年06月25日止</v>
      </c>
      <c r="K791" s="2" t="str">
        <f>"台灣集中保管結算所股份有限公司"</f>
        <v>台灣集中保管結算所股份有限公司</v>
      </c>
      <c r="L791" s="2" t="str">
        <f>"http://www.stockvote.com.tw"</f>
        <v>http://www.stockvote.com.tw</v>
      </c>
      <c r="M791" s="2" t="str">
        <f>"強制"</f>
        <v>強制</v>
      </c>
      <c r="N791" s="2"/>
      <c r="O791" s="2"/>
      <c r="P791" s="2"/>
      <c r="Q791" s="2"/>
    </row>
    <row r="792" spans="1:17" x14ac:dyDescent="0.3">
      <c r="A792" s="2" t="str">
        <f>"6271"</f>
        <v>6271</v>
      </c>
      <c r="B792" s="2" t="s">
        <v>2259</v>
      </c>
      <c r="C792" s="2" t="s">
        <v>2260</v>
      </c>
      <c r="D792" s="2" t="s">
        <v>6028</v>
      </c>
      <c r="E792" s="2" t="s">
        <v>2261</v>
      </c>
      <c r="F792" s="2" t="s">
        <v>41</v>
      </c>
      <c r="G792" s="2" t="str">
        <f>"02-23890432"</f>
        <v>02-23890432</v>
      </c>
      <c r="H792" s="2" t="s">
        <v>451</v>
      </c>
      <c r="I792" s="2" t="str">
        <f>"02-23892999"</f>
        <v>02-23892999</v>
      </c>
      <c r="J792" s="2" t="str">
        <f t="shared" ref="J792:L793" si="113">"--"</f>
        <v>--</v>
      </c>
      <c r="K792" s="2" t="str">
        <f t="shared" si="113"/>
        <v>--</v>
      </c>
      <c r="L792" s="2" t="str">
        <f t="shared" si="113"/>
        <v>--</v>
      </c>
      <c r="M792" s="2" t="str">
        <f>"否"</f>
        <v>否</v>
      </c>
      <c r="N792" s="2"/>
      <c r="O792" s="2"/>
      <c r="P792" s="2"/>
      <c r="Q792" s="2"/>
    </row>
    <row r="793" spans="1:17" x14ac:dyDescent="0.3">
      <c r="A793" s="2" t="str">
        <f>"6277"</f>
        <v>6277</v>
      </c>
      <c r="B793" s="2" t="s">
        <v>2262</v>
      </c>
      <c r="C793" s="2" t="s">
        <v>2263</v>
      </c>
      <c r="D793" s="2" t="s">
        <v>6002</v>
      </c>
      <c r="E793" s="2" t="s">
        <v>2264</v>
      </c>
      <c r="F793" s="2" t="s">
        <v>2</v>
      </c>
      <c r="G793" s="2" t="str">
        <f>"02-86926789"</f>
        <v>02-86926789</v>
      </c>
      <c r="H793" s="2" t="s">
        <v>817</v>
      </c>
      <c r="I793" s="2" t="str">
        <f>"02-66365566"</f>
        <v>02-66365566</v>
      </c>
      <c r="J793" s="2" t="str">
        <f t="shared" si="113"/>
        <v>--</v>
      </c>
      <c r="K793" s="2" t="str">
        <f t="shared" si="113"/>
        <v>--</v>
      </c>
      <c r="L793" s="2" t="str">
        <f t="shared" si="113"/>
        <v>--</v>
      </c>
      <c r="M793" s="2" t="str">
        <f>"否"</f>
        <v>否</v>
      </c>
      <c r="N793" s="2"/>
      <c r="O793" s="2"/>
      <c r="P793" s="2"/>
      <c r="Q793" s="2"/>
    </row>
    <row r="794" spans="1:17" x14ac:dyDescent="0.3">
      <c r="A794" s="2" t="str">
        <f>"6278"</f>
        <v>6278</v>
      </c>
      <c r="B794" s="2" t="s">
        <v>2265</v>
      </c>
      <c r="C794" s="2" t="s">
        <v>6366</v>
      </c>
      <c r="D794" s="2" t="s">
        <v>6002</v>
      </c>
      <c r="E794" s="2" t="s">
        <v>6367</v>
      </c>
      <c r="F794" s="2" t="s">
        <v>41</v>
      </c>
      <c r="G794" s="2" t="str">
        <f>"03-2189988"</f>
        <v>03-2189988</v>
      </c>
      <c r="H794" s="2" t="s">
        <v>404</v>
      </c>
      <c r="I794" s="2" t="str">
        <f>"02-66365566"</f>
        <v>02-66365566</v>
      </c>
      <c r="J794" s="2" t="str">
        <f>"自105年05月14日至105年06月12日止"</f>
        <v>自105年05月14日至105年06月12日止</v>
      </c>
      <c r="K794" s="2" t="str">
        <f>"台灣集中保管結算所股份有限公司"</f>
        <v>台灣集中保管結算所股份有限公司</v>
      </c>
      <c r="L794" s="2" t="str">
        <f>"http://www.stockvote.com.tw"</f>
        <v>http://www.stockvote.com.tw</v>
      </c>
      <c r="M794" s="2" t="str">
        <f>"強制"</f>
        <v>強制</v>
      </c>
      <c r="N794" s="2"/>
      <c r="O794" s="2"/>
      <c r="P794" s="2"/>
      <c r="Q794" s="2"/>
    </row>
    <row r="795" spans="1:17" x14ac:dyDescent="0.3">
      <c r="A795" s="2" t="str">
        <f>"6281"</f>
        <v>6281</v>
      </c>
      <c r="B795" s="2" t="s">
        <v>2266</v>
      </c>
      <c r="C795" s="2" t="s">
        <v>6368</v>
      </c>
      <c r="D795" s="2" t="s">
        <v>6080</v>
      </c>
      <c r="E795" s="2" t="s">
        <v>6369</v>
      </c>
      <c r="F795" s="2" t="s">
        <v>41</v>
      </c>
      <c r="G795" s="2" t="str">
        <f>"22989922"</f>
        <v>22989922</v>
      </c>
      <c r="H795" s="2" t="s">
        <v>451</v>
      </c>
      <c r="I795" s="2" t="str">
        <f>"23892999"</f>
        <v>23892999</v>
      </c>
      <c r="J795" s="2" t="str">
        <f>"--"</f>
        <v>--</v>
      </c>
      <c r="K795" s="2" t="str">
        <f>"--"</f>
        <v>--</v>
      </c>
      <c r="L795" s="2" t="str">
        <f>"--"</f>
        <v>--</v>
      </c>
      <c r="M795" s="2" t="str">
        <f>"否"</f>
        <v>否</v>
      </c>
      <c r="N795" s="2"/>
      <c r="O795" s="2"/>
      <c r="P795" s="2"/>
      <c r="Q795" s="2"/>
    </row>
    <row r="796" spans="1:17" x14ac:dyDescent="0.3">
      <c r="A796" s="2" t="str">
        <f>"6282"</f>
        <v>6282</v>
      </c>
      <c r="B796" s="2" t="s">
        <v>177</v>
      </c>
      <c r="C796" s="2" t="s">
        <v>2267</v>
      </c>
      <c r="D796" s="2" t="s">
        <v>6015</v>
      </c>
      <c r="E796" s="2" t="s">
        <v>2267</v>
      </c>
      <c r="F796" s="2" t="s">
        <v>2</v>
      </c>
      <c r="G796" s="2" t="str">
        <f>"(02)2621-7672"</f>
        <v>(02)2621-7672</v>
      </c>
      <c r="H796" s="2" t="s">
        <v>404</v>
      </c>
      <c r="I796" s="2" t="str">
        <f>"(02)6636-5566"</f>
        <v>(02)6636-5566</v>
      </c>
      <c r="J796" s="2" t="str">
        <f>"自105年05月24日至105年06月20日止"</f>
        <v>自105年05月24日至105年06月20日止</v>
      </c>
      <c r="K796" s="2" t="str">
        <f>"台灣集中保管結算所股份有限公司"</f>
        <v>台灣集中保管結算所股份有限公司</v>
      </c>
      <c r="L796" s="2" t="str">
        <f>"http://www.stockvote.com.tw"</f>
        <v>http://www.stockvote.com.tw</v>
      </c>
      <c r="M796" s="2" t="str">
        <f>"--"</f>
        <v>--</v>
      </c>
      <c r="N796" s="2"/>
      <c r="O796" s="2"/>
      <c r="P796" s="2"/>
      <c r="Q796" s="2"/>
    </row>
    <row r="797" spans="1:17" x14ac:dyDescent="0.3">
      <c r="A797" s="2" t="str">
        <f>"6283"</f>
        <v>6283</v>
      </c>
      <c r="B797" s="2" t="s">
        <v>2268</v>
      </c>
      <c r="C797" s="2" t="s">
        <v>2269</v>
      </c>
      <c r="D797" s="2" t="s">
        <v>6025</v>
      </c>
      <c r="E797" s="2" t="s">
        <v>6370</v>
      </c>
      <c r="F797" s="2" t="s">
        <v>2</v>
      </c>
      <c r="G797" s="2" t="str">
        <f>"02-22287525"</f>
        <v>02-22287525</v>
      </c>
      <c r="H797" s="2" t="s">
        <v>640</v>
      </c>
      <c r="I797" s="2" t="str">
        <f>"02-25621658"</f>
        <v>02-25621658</v>
      </c>
      <c r="J797" s="2" t="str">
        <f>"--"</f>
        <v>--</v>
      </c>
      <c r="K797" s="2" t="str">
        <f>"--"</f>
        <v>--</v>
      </c>
      <c r="L797" s="2" t="str">
        <f>"--"</f>
        <v>--</v>
      </c>
      <c r="M797" s="2" t="str">
        <f>"--"</f>
        <v>--</v>
      </c>
      <c r="N797" s="2"/>
      <c r="O797" s="2"/>
      <c r="P797" s="2"/>
      <c r="Q797" s="2"/>
    </row>
    <row r="798" spans="1:17" x14ac:dyDescent="0.3">
      <c r="A798" s="2" t="str">
        <f>"6285"</f>
        <v>6285</v>
      </c>
      <c r="B798" s="2" t="s">
        <v>2270</v>
      </c>
      <c r="C798" s="2" t="s">
        <v>2271</v>
      </c>
      <c r="D798" s="2" t="s">
        <v>6028</v>
      </c>
      <c r="E798" s="2" t="s">
        <v>2244</v>
      </c>
      <c r="F798" s="2" t="s">
        <v>2</v>
      </c>
      <c r="G798" s="2" t="str">
        <f>"03-6667799"</f>
        <v>03-6667799</v>
      </c>
      <c r="H798" s="2" t="s">
        <v>2272</v>
      </c>
      <c r="I798" s="2" t="str">
        <f>"02-6600-7998"</f>
        <v>02-6600-7998</v>
      </c>
      <c r="J798" s="2" t="str">
        <f>"自105年05月17日至105年06月13日止"</f>
        <v>自105年05月17日至105年06月13日止</v>
      </c>
      <c r="K798" s="2" t="str">
        <f>"台灣集中保管結算所股份有限公司"</f>
        <v>台灣集中保管結算所股份有限公司</v>
      </c>
      <c r="L798" s="2" t="str">
        <f>"http://www.stockvote.com.tw"</f>
        <v>http://www.stockvote.com.tw</v>
      </c>
      <c r="M798" s="2" t="str">
        <f>"強制"</f>
        <v>強制</v>
      </c>
      <c r="N798" s="2"/>
      <c r="O798" s="2"/>
      <c r="P798" s="2"/>
      <c r="Q798" s="2"/>
    </row>
    <row r="799" spans="1:17" x14ac:dyDescent="0.3">
      <c r="A799" s="2"/>
      <c r="B799" s="2"/>
      <c r="C799" s="2"/>
      <c r="D799" s="2"/>
      <c r="E799" s="2"/>
      <c r="F799" s="2"/>
      <c r="G799" s="2"/>
      <c r="H799" s="2"/>
      <c r="I799" s="2"/>
      <c r="J799" s="2"/>
      <c r="K799" s="2"/>
      <c r="L799" s="2"/>
      <c r="M799" s="2"/>
      <c r="N799" s="2"/>
      <c r="O799" s="2"/>
      <c r="P799" s="2"/>
      <c r="Q799" s="2"/>
    </row>
    <row r="800" spans="1:17" x14ac:dyDescent="0.3">
      <c r="A800" s="2" t="str">
        <f>"6289"</f>
        <v>6289</v>
      </c>
      <c r="B800" s="2" t="s">
        <v>2273</v>
      </c>
      <c r="C800" s="2" t="s">
        <v>2274</v>
      </c>
      <c r="D800" s="2" t="s">
        <v>6371</v>
      </c>
      <c r="E800" s="2" t="s">
        <v>2275</v>
      </c>
      <c r="F800" s="2" t="s">
        <v>2</v>
      </c>
      <c r="G800" s="2" t="str">
        <f>"03-5986699"</f>
        <v>03-5986699</v>
      </c>
      <c r="H800" s="2" t="s">
        <v>2276</v>
      </c>
      <c r="I800" s="2" t="str">
        <f>"02-26587718"</f>
        <v>02-26587718</v>
      </c>
      <c r="J800" s="2" t="str">
        <f>"自105年03月12日至105年04月08日止"</f>
        <v>自105年03月12日至105年04月08日止</v>
      </c>
      <c r="K800" s="2" t="str">
        <f>"台灣集中保管結算所股份有限公司"</f>
        <v>台灣集中保管結算所股份有限公司</v>
      </c>
      <c r="L800" s="2" t="str">
        <f>"http://www.stockvote.com.tw"</f>
        <v>http://www.stockvote.com.tw</v>
      </c>
      <c r="M800" s="2" t="str">
        <f>"強制"</f>
        <v>強制</v>
      </c>
      <c r="N800" s="2"/>
      <c r="O800" s="2"/>
      <c r="P800" s="2"/>
      <c r="Q800" s="2"/>
    </row>
    <row r="801" spans="1:17" x14ac:dyDescent="0.3">
      <c r="A801" s="2" t="str">
        <f>"6405"</f>
        <v>6405</v>
      </c>
      <c r="B801" s="2" t="s">
        <v>2277</v>
      </c>
      <c r="C801" s="2" t="s">
        <v>6372</v>
      </c>
      <c r="D801" s="2" t="s">
        <v>6004</v>
      </c>
      <c r="E801" s="2" t="s">
        <v>6373</v>
      </c>
      <c r="F801" s="2" t="s">
        <v>41</v>
      </c>
      <c r="G801" s="2" t="str">
        <f>"(03)4335831"</f>
        <v>(03)4335831</v>
      </c>
      <c r="H801" s="2" t="s">
        <v>451</v>
      </c>
      <c r="I801" s="2" t="str">
        <f>"(02)23148800"</f>
        <v>(02)23148800</v>
      </c>
      <c r="J801" s="2" t="str">
        <f>"--"</f>
        <v>--</v>
      </c>
      <c r="K801" s="2" t="str">
        <f>"--"</f>
        <v>--</v>
      </c>
      <c r="L801" s="2" t="str">
        <f>"--"</f>
        <v>--</v>
      </c>
      <c r="M801" s="2" t="str">
        <f>"--"</f>
        <v>--</v>
      </c>
      <c r="N801" s="2"/>
      <c r="O801" s="2"/>
      <c r="P801" s="2"/>
      <c r="Q801" s="2"/>
    </row>
    <row r="802" spans="1:17" x14ac:dyDescent="0.3">
      <c r="A802" s="2" t="str">
        <f>"6409"</f>
        <v>6409</v>
      </c>
      <c r="B802" s="2" t="s">
        <v>2278</v>
      </c>
      <c r="C802" s="2" t="s">
        <v>2279</v>
      </c>
      <c r="D802" s="2" t="s">
        <v>6091</v>
      </c>
      <c r="E802" s="2" t="s">
        <v>2280</v>
      </c>
      <c r="F802" s="2" t="s">
        <v>2</v>
      </c>
      <c r="G802" s="2" t="str">
        <f>"02-27918296"</f>
        <v>02-27918296</v>
      </c>
      <c r="H802" s="2" t="s">
        <v>6009</v>
      </c>
      <c r="I802" s="2" t="str">
        <f>"02-2586-5859"</f>
        <v>02-2586-5859</v>
      </c>
      <c r="J802" s="2" t="str">
        <f>"自105年04月23日至105年05月21日止"</f>
        <v>自105年04月23日至105年05月21日止</v>
      </c>
      <c r="K802" s="2" t="str">
        <f>"台灣集中保管結算所股份有限公司"</f>
        <v>台灣集中保管結算所股份有限公司</v>
      </c>
      <c r="L802" s="2" t="str">
        <f>"http://www.stockvote.com.tw"</f>
        <v>http://www.stockvote.com.tw</v>
      </c>
      <c r="M802" s="2" t="str">
        <f>"--"</f>
        <v>--</v>
      </c>
      <c r="N802" s="2"/>
      <c r="O802" s="2"/>
      <c r="P802" s="2"/>
      <c r="Q802" s="2"/>
    </row>
    <row r="803" spans="1:17" x14ac:dyDescent="0.3">
      <c r="A803" s="2" t="str">
        <f>"6412"</f>
        <v>6412</v>
      </c>
      <c r="B803" s="2" t="s">
        <v>2281</v>
      </c>
      <c r="C803" s="2" t="s">
        <v>2282</v>
      </c>
      <c r="D803" s="2" t="s">
        <v>6002</v>
      </c>
      <c r="E803" s="2" t="s">
        <v>6374</v>
      </c>
      <c r="F803" s="2" t="s">
        <v>2</v>
      </c>
      <c r="G803" s="2" t="str">
        <f>"02-22995636"</f>
        <v>02-22995636</v>
      </c>
      <c r="H803" s="2" t="s">
        <v>2283</v>
      </c>
      <c r="I803" s="2" t="str">
        <f>"02-27186425"</f>
        <v>02-27186425</v>
      </c>
      <c r="J803" s="2" t="str">
        <f>"自105年05月14日至105年06月12日止"</f>
        <v>自105年05月14日至105年06月12日止</v>
      </c>
      <c r="K803" s="2" t="str">
        <f>"台灣集中保管結算所股份有限公司"</f>
        <v>台灣集中保管結算所股份有限公司</v>
      </c>
      <c r="L803" s="2" t="str">
        <f>"http://www.stockvote.com.tw"</f>
        <v>http://www.stockvote.com.tw</v>
      </c>
      <c r="M803" s="2" t="str">
        <f>"&lt;b&gt;&lt;font color='red'&gt;自願&lt;/font&gt;&lt;/b&gt;"</f>
        <v>&lt;b&gt;&lt;font color='red'&gt;自願&lt;/font&gt;&lt;/b&gt;</v>
      </c>
      <c r="N803" s="2"/>
      <c r="O803" s="2"/>
      <c r="P803" s="2"/>
      <c r="Q803" s="2"/>
    </row>
    <row r="804" spans="1:17" x14ac:dyDescent="0.3">
      <c r="A804" s="2" t="str">
        <f>"6414"</f>
        <v>6414</v>
      </c>
      <c r="B804" s="2" t="s">
        <v>2284</v>
      </c>
      <c r="C804" s="2" t="s">
        <v>2285</v>
      </c>
      <c r="D804" s="2" t="s">
        <v>6375</v>
      </c>
      <c r="E804" s="2" t="s">
        <v>6376</v>
      </c>
      <c r="F804" s="2" t="s">
        <v>41</v>
      </c>
      <c r="G804" s="2" t="str">
        <f>"02-5590-8050"</f>
        <v>02-5590-8050</v>
      </c>
      <c r="H804" s="2" t="s">
        <v>640</v>
      </c>
      <c r="I804" s="2" t="str">
        <f>"02-2371-1658"</f>
        <v>02-2371-1658</v>
      </c>
      <c r="J804" s="2" t="str">
        <f t="shared" ref="J804:L814" si="114">"--"</f>
        <v>--</v>
      </c>
      <c r="K804" s="2" t="str">
        <f t="shared" si="114"/>
        <v>--</v>
      </c>
      <c r="L804" s="2" t="str">
        <f t="shared" si="114"/>
        <v>--</v>
      </c>
      <c r="M804" s="2" t="str">
        <f>"否"</f>
        <v>否</v>
      </c>
      <c r="N804" s="2"/>
      <c r="O804" s="2"/>
      <c r="P804" s="2"/>
      <c r="Q804" s="2"/>
    </row>
    <row r="805" spans="1:17" x14ac:dyDescent="0.3">
      <c r="A805" s="2" t="str">
        <f>"6415"</f>
        <v>6415</v>
      </c>
      <c r="B805" s="2" t="s">
        <v>2286</v>
      </c>
      <c r="C805" s="2" t="s">
        <v>2287</v>
      </c>
      <c r="D805" s="2" t="s">
        <v>6141</v>
      </c>
      <c r="E805" s="2" t="s">
        <v>2288</v>
      </c>
      <c r="F805" s="2" t="s">
        <v>41</v>
      </c>
      <c r="G805" s="2" t="str">
        <f>"02-22215266"</f>
        <v>02-22215266</v>
      </c>
      <c r="H805" s="2" t="s">
        <v>6006</v>
      </c>
      <c r="I805" s="2" t="str">
        <f>"02-2586-5859"</f>
        <v>02-2586-5859</v>
      </c>
      <c r="J805" s="2" t="str">
        <f t="shared" si="114"/>
        <v>--</v>
      </c>
      <c r="K805" s="2" t="str">
        <f t="shared" si="114"/>
        <v>--</v>
      </c>
      <c r="L805" s="2" t="str">
        <f t="shared" si="114"/>
        <v>--</v>
      </c>
      <c r="M805" s="2" t="str">
        <f>"否"</f>
        <v>否</v>
      </c>
      <c r="N805" s="2"/>
      <c r="O805" s="2"/>
      <c r="P805" s="2"/>
      <c r="Q805" s="2"/>
    </row>
    <row r="806" spans="1:17" x14ac:dyDescent="0.3">
      <c r="A806" s="2" t="str">
        <f>"6422"</f>
        <v>6422</v>
      </c>
      <c r="B806" s="2" t="s">
        <v>2289</v>
      </c>
      <c r="C806" s="2" t="s">
        <v>2290</v>
      </c>
      <c r="D806" s="2" t="s">
        <v>6010</v>
      </c>
      <c r="E806" s="2" t="s">
        <v>2291</v>
      </c>
      <c r="F806" s="2" t="s">
        <v>41</v>
      </c>
      <c r="G806" s="2" t="str">
        <f>"02-22685502"</f>
        <v>02-22685502</v>
      </c>
      <c r="H806" s="2" t="s">
        <v>996</v>
      </c>
      <c r="I806" s="2" t="str">
        <f>"02-33930898"</f>
        <v>02-33930898</v>
      </c>
      <c r="J806" s="2" t="str">
        <f t="shared" si="114"/>
        <v>--</v>
      </c>
      <c r="K806" s="2" t="str">
        <f t="shared" si="114"/>
        <v>--</v>
      </c>
      <c r="L806" s="2" t="str">
        <f t="shared" si="114"/>
        <v>--</v>
      </c>
      <c r="M806" s="2" t="str">
        <f>"--"</f>
        <v>--</v>
      </c>
      <c r="N806" s="2"/>
      <c r="O806" s="2"/>
      <c r="P806" s="2"/>
      <c r="Q806" s="2"/>
    </row>
    <row r="807" spans="1:17" x14ac:dyDescent="0.3">
      <c r="A807" s="2" t="str">
        <f>"6431"</f>
        <v>6431</v>
      </c>
      <c r="B807" s="2" t="s">
        <v>261</v>
      </c>
      <c r="C807" s="2" t="s">
        <v>2292</v>
      </c>
      <c r="D807" s="2" t="s">
        <v>6028</v>
      </c>
      <c r="E807" s="2" t="s">
        <v>6377</v>
      </c>
      <c r="F807" s="2" t="s">
        <v>41</v>
      </c>
      <c r="G807" s="2" t="str">
        <f>"06-2985959"</f>
        <v>06-2985959</v>
      </c>
      <c r="H807" s="2" t="s">
        <v>415</v>
      </c>
      <c r="I807" s="2" t="str">
        <f>"02-23892999"</f>
        <v>02-23892999</v>
      </c>
      <c r="J807" s="2" t="str">
        <f t="shared" si="114"/>
        <v>--</v>
      </c>
      <c r="K807" s="2" t="str">
        <f t="shared" si="114"/>
        <v>--</v>
      </c>
      <c r="L807" s="2" t="str">
        <f t="shared" si="114"/>
        <v>--</v>
      </c>
      <c r="M807" s="2" t="str">
        <f>"否"</f>
        <v>否</v>
      </c>
      <c r="N807" s="2"/>
      <c r="O807" s="2"/>
      <c r="P807" s="2"/>
      <c r="Q807" s="2"/>
    </row>
    <row r="808" spans="1:17" x14ac:dyDescent="0.3">
      <c r="A808" s="2" t="str">
        <f>"6442"</f>
        <v>6442</v>
      </c>
      <c r="B808" s="2" t="s">
        <v>6378</v>
      </c>
      <c r="C808" s="2" t="s">
        <v>4520</v>
      </c>
      <c r="D808" s="2" t="s">
        <v>6000</v>
      </c>
      <c r="E808" s="2" t="s">
        <v>6379</v>
      </c>
      <c r="F808" s="2" t="s">
        <v>2</v>
      </c>
      <c r="G808" s="2" t="str">
        <f>"(02)2895-9777"</f>
        <v>(02)2895-9777</v>
      </c>
      <c r="H808" s="2" t="s">
        <v>456</v>
      </c>
      <c r="I808" s="2" t="str">
        <f>"(02)2504-8125"</f>
        <v>(02)2504-8125</v>
      </c>
      <c r="J808" s="2" t="str">
        <f t="shared" si="114"/>
        <v>--</v>
      </c>
      <c r="K808" s="2" t="str">
        <f t="shared" si="114"/>
        <v>--</v>
      </c>
      <c r="L808" s="2" t="str">
        <f t="shared" si="114"/>
        <v>--</v>
      </c>
      <c r="M808" s="2" t="str">
        <f>"否"</f>
        <v>否</v>
      </c>
      <c r="N808" s="2"/>
      <c r="O808" s="2"/>
      <c r="P808" s="2"/>
      <c r="Q808" s="2"/>
    </row>
    <row r="809" spans="1:17" x14ac:dyDescent="0.3">
      <c r="A809" s="2" t="str">
        <f>"6443"</f>
        <v>6443</v>
      </c>
      <c r="B809" s="2" t="s">
        <v>4521</v>
      </c>
      <c r="C809" s="2" t="s">
        <v>4522</v>
      </c>
      <c r="D809" s="2" t="s">
        <v>6194</v>
      </c>
      <c r="E809" s="2" t="s">
        <v>4523</v>
      </c>
      <c r="F809" s="2" t="s">
        <v>41</v>
      </c>
      <c r="G809" s="2" t="str">
        <f>"(02)2912-2199"</f>
        <v>(02)2912-2199</v>
      </c>
      <c r="H809" s="2" t="s">
        <v>1053</v>
      </c>
      <c r="I809" s="2" t="str">
        <f>"(02)2563-5711"</f>
        <v>(02)2563-5711</v>
      </c>
      <c r="J809" s="2" t="str">
        <f t="shared" si="114"/>
        <v>--</v>
      </c>
      <c r="K809" s="2" t="str">
        <f t="shared" si="114"/>
        <v>--</v>
      </c>
      <c r="L809" s="2" t="str">
        <f t="shared" si="114"/>
        <v>--</v>
      </c>
      <c r="M809" s="2" t="str">
        <f>"否"</f>
        <v>否</v>
      </c>
      <c r="N809" s="2"/>
      <c r="O809" s="2"/>
      <c r="P809" s="2"/>
      <c r="Q809" s="2"/>
    </row>
    <row r="810" spans="1:17" x14ac:dyDescent="0.3">
      <c r="A810" s="2" t="str">
        <f>"6449"</f>
        <v>6449</v>
      </c>
      <c r="B810" s="2" t="s">
        <v>2293</v>
      </c>
      <c r="C810" s="2" t="s">
        <v>6380</v>
      </c>
      <c r="D810" s="2" t="s">
        <v>6015</v>
      </c>
      <c r="E810" s="2" t="s">
        <v>2294</v>
      </c>
      <c r="F810" s="2" t="s">
        <v>2</v>
      </c>
      <c r="G810" s="2" t="str">
        <f>"037-777588"</f>
        <v>037-777588</v>
      </c>
      <c r="H810" s="2" t="s">
        <v>556</v>
      </c>
      <c r="I810" s="2" t="str">
        <f>"(02)23711658"</f>
        <v>(02)23711658</v>
      </c>
      <c r="J810" s="2" t="str">
        <f t="shared" si="114"/>
        <v>--</v>
      </c>
      <c r="K810" s="2" t="str">
        <f t="shared" si="114"/>
        <v>--</v>
      </c>
      <c r="L810" s="2" t="str">
        <f t="shared" si="114"/>
        <v>--</v>
      </c>
      <c r="M810" s="2" t="str">
        <f>"--"</f>
        <v>--</v>
      </c>
      <c r="N810" s="2"/>
      <c r="O810" s="2"/>
      <c r="P810" s="2"/>
      <c r="Q810" s="2"/>
    </row>
    <row r="811" spans="1:17" x14ac:dyDescent="0.3">
      <c r="A811" s="2" t="str">
        <f>"6451"</f>
        <v>6451</v>
      </c>
      <c r="B811" s="2" t="s">
        <v>2295</v>
      </c>
      <c r="C811" s="2" t="s">
        <v>2296</v>
      </c>
      <c r="D811" s="2" t="s">
        <v>6021</v>
      </c>
      <c r="E811" s="2" t="s">
        <v>6381</v>
      </c>
      <c r="F811" s="2" t="s">
        <v>2</v>
      </c>
      <c r="G811" s="2" t="str">
        <f>"02-22688368"</f>
        <v>02-22688368</v>
      </c>
      <c r="H811" s="2" t="s">
        <v>556</v>
      </c>
      <c r="I811" s="2" t="str">
        <f>"(02)2383-6888"</f>
        <v>(02)2383-6888</v>
      </c>
      <c r="J811" s="2" t="str">
        <f t="shared" si="114"/>
        <v>--</v>
      </c>
      <c r="K811" s="2" t="str">
        <f t="shared" si="114"/>
        <v>--</v>
      </c>
      <c r="L811" s="2" t="str">
        <f t="shared" si="114"/>
        <v>--</v>
      </c>
      <c r="M811" s="2" t="str">
        <f>"--"</f>
        <v>--</v>
      </c>
      <c r="N811" s="2"/>
      <c r="O811" s="2"/>
      <c r="P811" s="2"/>
      <c r="Q811" s="2"/>
    </row>
    <row r="812" spans="1:17" x14ac:dyDescent="0.3">
      <c r="A812" s="2" t="str">
        <f>"6452"</f>
        <v>6452</v>
      </c>
      <c r="B812" s="2" t="s">
        <v>2297</v>
      </c>
      <c r="C812" s="2" t="s">
        <v>6382</v>
      </c>
      <c r="D812" s="2" t="s">
        <v>6021</v>
      </c>
      <c r="E812" s="2" t="s">
        <v>6383</v>
      </c>
      <c r="F812" s="2" t="s">
        <v>2</v>
      </c>
      <c r="G812" s="2" t="str">
        <f>"(02)2757-6000"</f>
        <v>(02)2757-6000</v>
      </c>
      <c r="H812" s="2" t="s">
        <v>431</v>
      </c>
      <c r="I812" s="2" t="str">
        <f>"(02)2703-5000"</f>
        <v>(02)2703-5000</v>
      </c>
      <c r="J812" s="2" t="str">
        <f t="shared" si="114"/>
        <v>--</v>
      </c>
      <c r="K812" s="2" t="str">
        <f t="shared" si="114"/>
        <v>--</v>
      </c>
      <c r="L812" s="2" t="str">
        <f t="shared" si="114"/>
        <v>--</v>
      </c>
      <c r="M812" s="2" t="str">
        <f>"--"</f>
        <v>--</v>
      </c>
      <c r="N812" s="2"/>
      <c r="O812" s="2"/>
      <c r="P812" s="2"/>
      <c r="Q812" s="2"/>
    </row>
    <row r="813" spans="1:17" x14ac:dyDescent="0.3">
      <c r="A813" s="2" t="str">
        <f>"6456"</f>
        <v>6456</v>
      </c>
      <c r="B813" s="2" t="s">
        <v>6384</v>
      </c>
      <c r="C813" s="2" t="s">
        <v>6385</v>
      </c>
      <c r="D813" s="2" t="s">
        <v>6091</v>
      </c>
      <c r="E813" s="2" t="s">
        <v>6386</v>
      </c>
      <c r="F813" s="2" t="s">
        <v>41</v>
      </c>
      <c r="G813" s="2" t="str">
        <f>"037-777939"</f>
        <v>037-777939</v>
      </c>
      <c r="H813" s="2" t="s">
        <v>640</v>
      </c>
      <c r="I813" s="2" t="str">
        <f>"02-2371-1658"</f>
        <v>02-2371-1658</v>
      </c>
      <c r="J813" s="2" t="str">
        <f t="shared" si="114"/>
        <v>--</v>
      </c>
      <c r="K813" s="2" t="str">
        <f t="shared" si="114"/>
        <v>--</v>
      </c>
      <c r="L813" s="2" t="str">
        <f t="shared" si="114"/>
        <v>--</v>
      </c>
      <c r="M813" s="2" t="str">
        <f>"否"</f>
        <v>否</v>
      </c>
      <c r="N813" s="2"/>
      <c r="O813" s="2"/>
      <c r="P813" s="2"/>
      <c r="Q813" s="2"/>
    </row>
    <row r="814" spans="1:17" x14ac:dyDescent="0.3">
      <c r="A814" s="2" t="str">
        <f>"6464"</f>
        <v>6464</v>
      </c>
      <c r="B814" s="2" t="s">
        <v>4541</v>
      </c>
      <c r="C814" s="2" t="s">
        <v>6387</v>
      </c>
      <c r="D814" s="2" t="s">
        <v>6020</v>
      </c>
      <c r="E814" s="2" t="s">
        <v>6388</v>
      </c>
      <c r="F814" s="2" t="s">
        <v>41</v>
      </c>
      <c r="G814" s="2" t="str">
        <f>"04-37050000"</f>
        <v>04-37050000</v>
      </c>
      <c r="H814" s="2" t="s">
        <v>456</v>
      </c>
      <c r="I814" s="2" t="str">
        <f>"02-2504-8125"</f>
        <v>02-2504-8125</v>
      </c>
      <c r="J814" s="2" t="str">
        <f t="shared" si="114"/>
        <v>--</v>
      </c>
      <c r="K814" s="2" t="str">
        <f t="shared" si="114"/>
        <v>--</v>
      </c>
      <c r="L814" s="2" t="str">
        <f t="shared" si="114"/>
        <v>--</v>
      </c>
      <c r="M814" s="2" t="str">
        <f>"否"</f>
        <v>否</v>
      </c>
      <c r="N814" s="2"/>
      <c r="O814" s="2"/>
      <c r="P814" s="2"/>
      <c r="Q814" s="2"/>
    </row>
    <row r="815" spans="1:17" x14ac:dyDescent="0.3">
      <c r="A815" s="2"/>
      <c r="B815" s="2"/>
      <c r="C815" s="2"/>
      <c r="D815" s="2"/>
      <c r="E815" s="2"/>
      <c r="F815" s="2"/>
      <c r="G815" s="2"/>
      <c r="H815" s="2"/>
      <c r="I815" s="2"/>
      <c r="J815" s="2"/>
      <c r="K815" s="2"/>
      <c r="L815" s="2"/>
      <c r="M815" s="2"/>
      <c r="N815" s="2"/>
      <c r="O815" s="2"/>
      <c r="P815" s="2"/>
      <c r="Q815" s="2"/>
    </row>
    <row r="816" spans="1:17" x14ac:dyDescent="0.3">
      <c r="A816" s="2" t="str">
        <f>"6504"</f>
        <v>6504</v>
      </c>
      <c r="B816" s="2" t="s">
        <v>2298</v>
      </c>
      <c r="C816" s="2" t="s">
        <v>2299</v>
      </c>
      <c r="D816" s="2" t="s">
        <v>6021</v>
      </c>
      <c r="E816" s="2" t="s">
        <v>2300</v>
      </c>
      <c r="F816" s="2" t="s">
        <v>41</v>
      </c>
      <c r="G816" s="2" t="str">
        <f>"07-6116616"</f>
        <v>07-6116616</v>
      </c>
      <c r="H816" s="2" t="s">
        <v>6009</v>
      </c>
      <c r="I816" s="2" t="str">
        <f>"02-25865859"</f>
        <v>02-25865859</v>
      </c>
      <c r="J816" s="2" t="str">
        <f>"--"</f>
        <v>--</v>
      </c>
      <c r="K816" s="2" t="str">
        <f>"--"</f>
        <v>--</v>
      </c>
      <c r="L816" s="2" t="str">
        <f>"--"</f>
        <v>--</v>
      </c>
      <c r="M816" s="2" t="str">
        <f>"--"</f>
        <v>--</v>
      </c>
      <c r="N816" s="2"/>
      <c r="O816" s="2"/>
      <c r="P816" s="2"/>
      <c r="Q816" s="2"/>
    </row>
    <row r="817" spans="1:17" x14ac:dyDescent="0.3">
      <c r="A817" s="2" t="str">
        <f>"6505"</f>
        <v>6505</v>
      </c>
      <c r="B817" s="2" t="s">
        <v>2301</v>
      </c>
      <c r="C817" s="2" t="s">
        <v>2302</v>
      </c>
      <c r="D817" s="2" t="s">
        <v>6031</v>
      </c>
      <c r="E817" s="2" t="s">
        <v>535</v>
      </c>
      <c r="F817" s="2" t="s">
        <v>2</v>
      </c>
      <c r="G817" s="2" t="str">
        <f>"(02)2712-2211"</f>
        <v>(02)2712-2211</v>
      </c>
      <c r="H817" s="2" t="s">
        <v>486</v>
      </c>
      <c r="I817" s="2" t="str">
        <f>"(02)2718-9898"</f>
        <v>(02)2718-9898</v>
      </c>
      <c r="J817" s="2" t="str">
        <f>"自105年05月05日至105年06月03日止"</f>
        <v>自105年05月05日至105年06月03日止</v>
      </c>
      <c r="K817" s="2" t="str">
        <f>"台灣集中保管結算所股份有限公司"</f>
        <v>台灣集中保管結算所股份有限公司</v>
      </c>
      <c r="L817" s="2" t="str">
        <f>"http://www.stockvote.com.tw"</f>
        <v>http://www.stockvote.com.tw</v>
      </c>
      <c r="M817" s="2" t="str">
        <f>"--"</f>
        <v>--</v>
      </c>
      <c r="N817" s="2"/>
      <c r="O817" s="2"/>
      <c r="P817" s="2"/>
      <c r="Q817" s="2"/>
    </row>
    <row r="818" spans="1:17" x14ac:dyDescent="0.3">
      <c r="A818" s="2" t="str">
        <f>"6605"</f>
        <v>6605</v>
      </c>
      <c r="B818" s="2" t="s">
        <v>2303</v>
      </c>
      <c r="C818" s="2" t="s">
        <v>2304</v>
      </c>
      <c r="D818" s="2" t="s">
        <v>6015</v>
      </c>
      <c r="E818" s="2" t="s">
        <v>6389</v>
      </c>
      <c r="F818" s="2" t="s">
        <v>41</v>
      </c>
      <c r="G818" s="2" t="str">
        <f>"(04)772-2311"</f>
        <v>(04)772-2311</v>
      </c>
      <c r="H818" s="2" t="s">
        <v>451</v>
      </c>
      <c r="I818" s="2" t="str">
        <f>"(02)2389-2999"</f>
        <v>(02)2389-2999</v>
      </c>
      <c r="J818" s="2" t="str">
        <f>"--"</f>
        <v>--</v>
      </c>
      <c r="K818" s="2" t="str">
        <f>"--"</f>
        <v>--</v>
      </c>
      <c r="L818" s="2" t="str">
        <f>"--"</f>
        <v>--</v>
      </c>
      <c r="M818" s="2" t="str">
        <f>"--"</f>
        <v>--</v>
      </c>
      <c r="N818" s="2"/>
      <c r="O818" s="2"/>
      <c r="P818" s="2"/>
      <c r="Q818" s="2"/>
    </row>
    <row r="819" spans="1:17" x14ac:dyDescent="0.3">
      <c r="A819" s="2" t="str">
        <f>"6702"</f>
        <v>6702</v>
      </c>
      <c r="B819" s="2" t="s">
        <v>2305</v>
      </c>
      <c r="C819" s="2" t="s">
        <v>6390</v>
      </c>
      <c r="D819" s="2" t="s">
        <v>5999</v>
      </c>
      <c r="E819" s="2" t="s">
        <v>2306</v>
      </c>
      <c r="F819" s="2" t="s">
        <v>41</v>
      </c>
      <c r="G819" s="2" t="str">
        <f>"(02)2755-2377"</f>
        <v>(02)2755-2377</v>
      </c>
      <c r="H819" s="2" t="s">
        <v>1926</v>
      </c>
      <c r="I819" s="2" t="str">
        <f>"(02)2703-5000"</f>
        <v>(02)2703-5000</v>
      </c>
      <c r="J819" s="2" t="str">
        <f>"自105年05月23日至105年06月19日止"</f>
        <v>自105年05月23日至105年06月19日止</v>
      </c>
      <c r="K819" s="2" t="str">
        <f>"台灣集中保管結算所股份有限公司"</f>
        <v>台灣集中保管結算所股份有限公司</v>
      </c>
      <c r="L819" s="2" t="str">
        <f>"http://www.stockvote.com.tw"</f>
        <v>http://www.stockvote.com.tw</v>
      </c>
      <c r="M819" s="2" t="str">
        <f>"--"</f>
        <v>--</v>
      </c>
      <c r="N819" s="2"/>
      <c r="O819" s="2"/>
      <c r="P819" s="2"/>
      <c r="Q819" s="2"/>
    </row>
    <row r="820" spans="1:17" x14ac:dyDescent="0.3">
      <c r="A820" s="2" t="str">
        <f>"8011"</f>
        <v>8011</v>
      </c>
      <c r="B820" s="2" t="s">
        <v>255</v>
      </c>
      <c r="C820" s="2" t="s">
        <v>2307</v>
      </c>
      <c r="D820" s="2" t="s">
        <v>6024</v>
      </c>
      <c r="E820" s="2" t="s">
        <v>2308</v>
      </c>
      <c r="F820" s="2" t="s">
        <v>2</v>
      </c>
      <c r="G820" s="2" t="str">
        <f>"(02)2299-1066"</f>
        <v>(02)2299-1066</v>
      </c>
      <c r="H820" s="2" t="s">
        <v>631</v>
      </c>
      <c r="I820" s="2" t="str">
        <f>"(02)2541-9977"</f>
        <v>(02)2541-9977</v>
      </c>
      <c r="J820" s="2" t="str">
        <f t="shared" ref="J820:L823" si="115">"--"</f>
        <v>--</v>
      </c>
      <c r="K820" s="2" t="str">
        <f t="shared" si="115"/>
        <v>--</v>
      </c>
      <c r="L820" s="2" t="str">
        <f t="shared" si="115"/>
        <v>--</v>
      </c>
      <c r="M820" s="2" t="str">
        <f>"否"</f>
        <v>否</v>
      </c>
      <c r="N820" s="2"/>
      <c r="O820" s="2"/>
      <c r="P820" s="2"/>
      <c r="Q820" s="2"/>
    </row>
    <row r="821" spans="1:17" x14ac:dyDescent="0.3">
      <c r="A821" s="2" t="str">
        <f>"8016"</f>
        <v>8016</v>
      </c>
      <c r="B821" s="2" t="s">
        <v>2309</v>
      </c>
      <c r="C821" s="2" t="s">
        <v>2310</v>
      </c>
      <c r="D821" s="2" t="s">
        <v>5999</v>
      </c>
      <c r="E821" s="2" t="s">
        <v>2311</v>
      </c>
      <c r="F821" s="2" t="s">
        <v>2</v>
      </c>
      <c r="G821" s="2" t="str">
        <f>"03-5526500"</f>
        <v>03-5526500</v>
      </c>
      <c r="H821" s="2" t="s">
        <v>456</v>
      </c>
      <c r="I821" s="2" t="str">
        <f>"02-25048125"</f>
        <v>02-25048125</v>
      </c>
      <c r="J821" s="2" t="str">
        <f t="shared" si="115"/>
        <v>--</v>
      </c>
      <c r="K821" s="2" t="str">
        <f t="shared" si="115"/>
        <v>--</v>
      </c>
      <c r="L821" s="2" t="str">
        <f t="shared" si="115"/>
        <v>--</v>
      </c>
      <c r="M821" s="2" t="str">
        <f>"否"</f>
        <v>否</v>
      </c>
      <c r="N821" s="2"/>
      <c r="O821" s="2"/>
      <c r="P821" s="2"/>
      <c r="Q821" s="2"/>
    </row>
    <row r="822" spans="1:17" x14ac:dyDescent="0.3">
      <c r="A822" s="2" t="str">
        <f>"8021"</f>
        <v>8021</v>
      </c>
      <c r="B822" s="2" t="s">
        <v>33</v>
      </c>
      <c r="C822" s="2" t="s">
        <v>2312</v>
      </c>
      <c r="D822" s="2" t="s">
        <v>6000</v>
      </c>
      <c r="E822" s="2" t="s">
        <v>2312</v>
      </c>
      <c r="F822" s="2" t="s">
        <v>2</v>
      </c>
      <c r="G822" s="2" t="str">
        <f>"(02)26805868"</f>
        <v>(02)26805868</v>
      </c>
      <c r="H822" s="2" t="s">
        <v>753</v>
      </c>
      <c r="I822" s="2" t="str">
        <f>"(02)27023999"</f>
        <v>(02)27023999</v>
      </c>
      <c r="J822" s="2" t="str">
        <f t="shared" si="115"/>
        <v>--</v>
      </c>
      <c r="K822" s="2" t="str">
        <f t="shared" si="115"/>
        <v>--</v>
      </c>
      <c r="L822" s="2" t="str">
        <f t="shared" si="115"/>
        <v>--</v>
      </c>
      <c r="M822" s="2" t="str">
        <f>"--"</f>
        <v>--</v>
      </c>
      <c r="N822" s="2"/>
      <c r="O822" s="2"/>
      <c r="P822" s="2"/>
      <c r="Q822" s="2"/>
    </row>
    <row r="823" spans="1:17" x14ac:dyDescent="0.3">
      <c r="A823" s="2" t="str">
        <f>"8033"</f>
        <v>8033</v>
      </c>
      <c r="B823" s="2" t="s">
        <v>2313</v>
      </c>
      <c r="C823" s="2" t="s">
        <v>2314</v>
      </c>
      <c r="D823" s="2" t="s">
        <v>6020</v>
      </c>
      <c r="E823" s="2" t="s">
        <v>6391</v>
      </c>
      <c r="F823" s="2" t="s">
        <v>41</v>
      </c>
      <c r="G823" s="2" t="str">
        <f>"04-23591616"</f>
        <v>04-23591616</v>
      </c>
      <c r="H823" s="2" t="s">
        <v>451</v>
      </c>
      <c r="I823" s="2" t="str">
        <f>"02-23892999"</f>
        <v>02-23892999</v>
      </c>
      <c r="J823" s="2" t="str">
        <f t="shared" si="115"/>
        <v>--</v>
      </c>
      <c r="K823" s="2" t="str">
        <f t="shared" si="115"/>
        <v>--</v>
      </c>
      <c r="L823" s="2" t="str">
        <f t="shared" si="115"/>
        <v>--</v>
      </c>
      <c r="M823" s="2" t="str">
        <f>"否"</f>
        <v>否</v>
      </c>
      <c r="N823" s="2"/>
      <c r="O823" s="2"/>
      <c r="P823" s="2"/>
      <c r="Q823" s="2"/>
    </row>
    <row r="824" spans="1:17" x14ac:dyDescent="0.3">
      <c r="A824" s="2" t="str">
        <f>"8039"</f>
        <v>8039</v>
      </c>
      <c r="B824" s="2" t="s">
        <v>2315</v>
      </c>
      <c r="C824" s="2" t="s">
        <v>2316</v>
      </c>
      <c r="D824" s="2" t="s">
        <v>6034</v>
      </c>
      <c r="E824" s="2" t="s">
        <v>2316</v>
      </c>
      <c r="F824" s="2" t="s">
        <v>2</v>
      </c>
      <c r="G824" s="2" t="str">
        <f>"07-8139989"</f>
        <v>07-8139989</v>
      </c>
      <c r="H824" s="2" t="s">
        <v>6006</v>
      </c>
      <c r="I824" s="2" t="str">
        <f>"02-25865859"</f>
        <v>02-25865859</v>
      </c>
      <c r="J824" s="2" t="str">
        <f>"自105年04月27日至105年05月24日止"</f>
        <v>自105年04月27日至105年05月24日止</v>
      </c>
      <c r="K824" s="2" t="str">
        <f>"台灣集中保管結算所股份有限公司"</f>
        <v>台灣集中保管結算所股份有限公司</v>
      </c>
      <c r="L824" s="2" t="str">
        <f>"http://www.stockvote.com.tw"</f>
        <v>http://www.stockvote.com.tw</v>
      </c>
      <c r="M824" s="2" t="str">
        <f>"強制"</f>
        <v>強制</v>
      </c>
      <c r="N824" s="2"/>
      <c r="O824" s="2"/>
      <c r="P824" s="2"/>
      <c r="Q824" s="2"/>
    </row>
    <row r="825" spans="1:17" x14ac:dyDescent="0.3">
      <c r="A825" s="2" t="str">
        <f>"8046"</f>
        <v>8046</v>
      </c>
      <c r="B825" s="2" t="s">
        <v>2317</v>
      </c>
      <c r="C825" s="2" t="s">
        <v>6392</v>
      </c>
      <c r="D825" s="2" t="s">
        <v>6025</v>
      </c>
      <c r="E825" s="2" t="s">
        <v>2318</v>
      </c>
      <c r="F825" s="2" t="s">
        <v>2</v>
      </c>
      <c r="G825" s="2" t="str">
        <f>"03-3223751"</f>
        <v>03-3223751</v>
      </c>
      <c r="H825" s="2" t="s">
        <v>2319</v>
      </c>
      <c r="I825" s="2" t="str">
        <f>"02-27189898"</f>
        <v>02-27189898</v>
      </c>
      <c r="J825" s="2" t="str">
        <f>"自105年05月06日至105年06月05日止"</f>
        <v>自105年05月06日至105年06月05日止</v>
      </c>
      <c r="K825" s="2" t="str">
        <f>"台灣集中保管結算所股份有限公司"</f>
        <v>台灣集中保管結算所股份有限公司</v>
      </c>
      <c r="L825" s="2" t="str">
        <f>"http://www.stockvote.com.tw"</f>
        <v>http://www.stockvote.com.tw</v>
      </c>
      <c r="M825" s="2" t="str">
        <f>"--"</f>
        <v>--</v>
      </c>
      <c r="N825" s="2"/>
      <c r="O825" s="2"/>
      <c r="P825" s="2"/>
      <c r="Q825" s="2"/>
    </row>
    <row r="826" spans="1:17" x14ac:dyDescent="0.3">
      <c r="A826" s="2" t="str">
        <f>"8070"</f>
        <v>8070</v>
      </c>
      <c r="B826" s="2" t="s">
        <v>2320</v>
      </c>
      <c r="C826" s="2" t="s">
        <v>2321</v>
      </c>
      <c r="D826" s="2" t="s">
        <v>6201</v>
      </c>
      <c r="E826" s="2" t="s">
        <v>6393</v>
      </c>
      <c r="F826" s="2" t="s">
        <v>41</v>
      </c>
      <c r="G826" s="2" t="str">
        <f>"07-3622663"</f>
        <v>07-3622663</v>
      </c>
      <c r="H826" s="2" t="s">
        <v>465</v>
      </c>
      <c r="I826" s="2" t="str">
        <f>"02-23816288"</f>
        <v>02-23816288</v>
      </c>
      <c r="J826" s="2" t="str">
        <f t="shared" ref="J826:L828" si="116">"--"</f>
        <v>--</v>
      </c>
      <c r="K826" s="2" t="str">
        <f t="shared" si="116"/>
        <v>--</v>
      </c>
      <c r="L826" s="2" t="str">
        <f t="shared" si="116"/>
        <v>--</v>
      </c>
      <c r="M826" s="2" t="str">
        <f>"否"</f>
        <v>否</v>
      </c>
      <c r="N826" s="2"/>
      <c r="O826" s="2"/>
      <c r="P826" s="2"/>
      <c r="Q826" s="2"/>
    </row>
    <row r="827" spans="1:17" x14ac:dyDescent="0.3">
      <c r="A827" s="2" t="str">
        <f>"8072"</f>
        <v>8072</v>
      </c>
      <c r="B827" s="2" t="s">
        <v>2322</v>
      </c>
      <c r="C827" s="2" t="s">
        <v>2323</v>
      </c>
      <c r="D827" s="2" t="s">
        <v>5999</v>
      </c>
      <c r="E827" s="2" t="s">
        <v>2324</v>
      </c>
      <c r="F827" s="2" t="s">
        <v>2</v>
      </c>
      <c r="G827" s="2" t="str">
        <f>"2655-3866"</f>
        <v>2655-3866</v>
      </c>
      <c r="H827" s="2" t="s">
        <v>817</v>
      </c>
      <c r="I827" s="2" t="str">
        <f>"02-66365566"</f>
        <v>02-66365566</v>
      </c>
      <c r="J827" s="2" t="str">
        <f t="shared" si="116"/>
        <v>--</v>
      </c>
      <c r="K827" s="2" t="str">
        <f t="shared" si="116"/>
        <v>--</v>
      </c>
      <c r="L827" s="2" t="str">
        <f t="shared" si="116"/>
        <v>--</v>
      </c>
      <c r="M827" s="2" t="str">
        <f>"--"</f>
        <v>--</v>
      </c>
      <c r="N827" s="2"/>
      <c r="O827" s="2"/>
      <c r="P827" s="2"/>
      <c r="Q827" s="2"/>
    </row>
    <row r="828" spans="1:17" x14ac:dyDescent="0.3">
      <c r="A828" s="2" t="str">
        <f>"8081"</f>
        <v>8081</v>
      </c>
      <c r="B828" s="2" t="s">
        <v>2325</v>
      </c>
      <c r="C828" s="2" t="s">
        <v>2326</v>
      </c>
      <c r="D828" s="2" t="s">
        <v>6025</v>
      </c>
      <c r="E828" s="2" t="s">
        <v>2327</v>
      </c>
      <c r="F828" s="2" t="s">
        <v>2</v>
      </c>
      <c r="G828" s="2" t="str">
        <f>"03-5788833"</f>
        <v>03-5788833</v>
      </c>
      <c r="H828" s="2" t="s">
        <v>456</v>
      </c>
      <c r="I828" s="2" t="str">
        <f>"02-25048125"</f>
        <v>02-25048125</v>
      </c>
      <c r="J828" s="2" t="str">
        <f t="shared" si="116"/>
        <v>--</v>
      </c>
      <c r="K828" s="2" t="str">
        <f t="shared" si="116"/>
        <v>--</v>
      </c>
      <c r="L828" s="2" t="str">
        <f t="shared" si="116"/>
        <v>--</v>
      </c>
      <c r="M828" s="2" t="str">
        <f>"--"</f>
        <v>--</v>
      </c>
      <c r="N828" s="2"/>
      <c r="O828" s="2"/>
      <c r="P828" s="2"/>
      <c r="Q828" s="2"/>
    </row>
    <row r="829" spans="1:17" x14ac:dyDescent="0.3">
      <c r="A829" s="2" t="str">
        <f>"8101"</f>
        <v>8101</v>
      </c>
      <c r="B829" s="2" t="s">
        <v>2328</v>
      </c>
      <c r="C829" s="2" t="s">
        <v>2329</v>
      </c>
      <c r="D829" s="2" t="s">
        <v>6021</v>
      </c>
      <c r="E829" s="2" t="s">
        <v>2330</v>
      </c>
      <c r="F829" s="2" t="s">
        <v>2</v>
      </c>
      <c r="G829" s="2" t="str">
        <f>"02-26587718"</f>
        <v>02-26587718</v>
      </c>
      <c r="H829" s="2" t="s">
        <v>514</v>
      </c>
      <c r="I829" s="2" t="str">
        <f>"02-26587718"</f>
        <v>02-26587718</v>
      </c>
      <c r="J829" s="2" t="str">
        <f>"自105年05月14日至105年06月10日止"</f>
        <v>自105年05月14日至105年06月10日止</v>
      </c>
      <c r="K829" s="2" t="str">
        <f>"台灣集中保管結算所股份有限公司"</f>
        <v>台灣集中保管結算所股份有限公司</v>
      </c>
      <c r="L829" s="2" t="str">
        <f>"http://www.stockvote.com.tw"</f>
        <v>http://www.stockvote.com.tw</v>
      </c>
      <c r="M829" s="2" t="str">
        <f>"--"</f>
        <v>--</v>
      </c>
      <c r="N829" s="2"/>
      <c r="O829" s="2"/>
      <c r="P829" s="2"/>
      <c r="Q829" s="2"/>
    </row>
    <row r="830" spans="1:17" x14ac:dyDescent="0.3">
      <c r="A830" s="2" t="str">
        <f>"8103"</f>
        <v>8103</v>
      </c>
      <c r="B830" s="2" t="s">
        <v>85</v>
      </c>
      <c r="C830" s="2" t="s">
        <v>2331</v>
      </c>
      <c r="D830" s="2" t="s">
        <v>6028</v>
      </c>
      <c r="E830" s="2" t="s">
        <v>2332</v>
      </c>
      <c r="F830" s="2" t="s">
        <v>2</v>
      </c>
      <c r="G830" s="2" t="str">
        <f>"26201000"</f>
        <v>26201000</v>
      </c>
      <c r="H830" s="2" t="s">
        <v>2283</v>
      </c>
      <c r="I830" s="2" t="str">
        <f>"27186425"</f>
        <v>27186425</v>
      </c>
      <c r="J830" s="2" t="str">
        <f>"--"</f>
        <v>--</v>
      </c>
      <c r="K830" s="2" t="str">
        <f>"--"</f>
        <v>--</v>
      </c>
      <c r="L830" s="2" t="str">
        <f>"--"</f>
        <v>--</v>
      </c>
      <c r="M830" s="2" t="str">
        <f>"--"</f>
        <v>--</v>
      </c>
      <c r="N830" s="2"/>
      <c r="O830" s="2"/>
      <c r="P830" s="2"/>
      <c r="Q830" s="2"/>
    </row>
    <row r="831" spans="1:17" x14ac:dyDescent="0.3">
      <c r="A831" s="2" t="str">
        <f>"8105"</f>
        <v>8105</v>
      </c>
      <c r="B831" s="2" t="s">
        <v>2333</v>
      </c>
      <c r="C831" s="2" t="s">
        <v>2334</v>
      </c>
      <c r="D831" s="2" t="s">
        <v>6031</v>
      </c>
      <c r="E831" s="2" t="s">
        <v>6394</v>
      </c>
      <c r="F831" s="2" t="s">
        <v>41</v>
      </c>
      <c r="G831" s="2" t="str">
        <f>"(037)611611"</f>
        <v>(037)611611</v>
      </c>
      <c r="H831" s="2" t="s">
        <v>404</v>
      </c>
      <c r="I831" s="2" t="str">
        <f>"(02)66365566"</f>
        <v>(02)66365566</v>
      </c>
      <c r="J831" s="2" t="str">
        <f>"自105年05月07日至105年06月03日止"</f>
        <v>自105年05月07日至105年06月03日止</v>
      </c>
      <c r="K831" s="2" t="str">
        <f>"台灣集中保管結算所股份有限公司"</f>
        <v>台灣集中保管結算所股份有限公司</v>
      </c>
      <c r="L831" s="2" t="str">
        <f>"http://www.stockvote.com.tw"</f>
        <v>http://www.stockvote.com.tw</v>
      </c>
      <c r="M831" s="2" t="str">
        <f>"強制"</f>
        <v>強制</v>
      </c>
      <c r="N831" s="2"/>
      <c r="O831" s="2"/>
      <c r="P831" s="2"/>
      <c r="Q831" s="2"/>
    </row>
    <row r="832" spans="1:17" x14ac:dyDescent="0.3">
      <c r="A832" s="2" t="str">
        <f>"8110"</f>
        <v>8110</v>
      </c>
      <c r="B832" s="2" t="s">
        <v>2335</v>
      </c>
      <c r="C832" s="2" t="s">
        <v>2336</v>
      </c>
      <c r="D832" s="2" t="s">
        <v>6015</v>
      </c>
      <c r="E832" s="2" t="s">
        <v>2337</v>
      </c>
      <c r="F832" s="2" t="s">
        <v>41</v>
      </c>
      <c r="G832" s="2" t="str">
        <f>"07-8111330"</f>
        <v>07-8111330</v>
      </c>
      <c r="H832" s="2" t="s">
        <v>2338</v>
      </c>
      <c r="I832" s="2" t="str">
        <f>"02-27905885"</f>
        <v>02-27905885</v>
      </c>
      <c r="J832" s="2" t="str">
        <f>"自105年05月24日至105年06月20日止"</f>
        <v>自105年05月24日至105年06月20日止</v>
      </c>
      <c r="K832" s="2" t="str">
        <f>"台灣集中保管結算所股份有限公司"</f>
        <v>台灣集中保管結算所股份有限公司</v>
      </c>
      <c r="L832" s="2" t="str">
        <f>"http://www.stockvote.com.tw"</f>
        <v>http://www.stockvote.com.tw</v>
      </c>
      <c r="M832" s="2" t="str">
        <f>"強制"</f>
        <v>強制</v>
      </c>
      <c r="N832" s="2"/>
      <c r="O832" s="2"/>
      <c r="P832" s="2"/>
      <c r="Q832" s="2"/>
    </row>
    <row r="833" spans="1:17" x14ac:dyDescent="0.3">
      <c r="A833" s="2" t="str">
        <f>"8112"</f>
        <v>8112</v>
      </c>
      <c r="B833" s="2" t="s">
        <v>2339</v>
      </c>
      <c r="C833" s="2" t="s">
        <v>2340</v>
      </c>
      <c r="D833" s="2" t="s">
        <v>6010</v>
      </c>
      <c r="E833" s="2" t="s">
        <v>2341</v>
      </c>
      <c r="F833" s="2" t="s">
        <v>41</v>
      </c>
      <c r="G833" s="2" t="str">
        <f>"02-26578809"</f>
        <v>02-26578809</v>
      </c>
      <c r="H833" s="2" t="s">
        <v>431</v>
      </c>
      <c r="I833" s="2" t="str">
        <f>"02-2702-3999"</f>
        <v>02-2702-3999</v>
      </c>
      <c r="J833" s="2" t="str">
        <f>"自105年05月25日至105年06月21日止"</f>
        <v>自105年05月25日至105年06月21日止</v>
      </c>
      <c r="K833" s="2" t="str">
        <f>"台灣集中保管結算所股份有限公司"</f>
        <v>台灣集中保管結算所股份有限公司</v>
      </c>
      <c r="L833" s="2" t="str">
        <f>"http://www.stockvote.com.tw"</f>
        <v>http://www.stockvote.com.tw</v>
      </c>
      <c r="M833" s="2" t="str">
        <f>"強制"</f>
        <v>強制</v>
      </c>
      <c r="N833" s="2"/>
      <c r="O833" s="2"/>
      <c r="P833" s="2"/>
      <c r="Q833" s="2"/>
    </row>
    <row r="834" spans="1:17" x14ac:dyDescent="0.3">
      <c r="A834" s="2" t="str">
        <f>"8114"</f>
        <v>8114</v>
      </c>
      <c r="B834" s="2" t="s">
        <v>2342</v>
      </c>
      <c r="C834" s="2" t="s">
        <v>2343</v>
      </c>
      <c r="D834" s="2" t="s">
        <v>6024</v>
      </c>
      <c r="E834" s="2" t="s">
        <v>2344</v>
      </c>
      <c r="F834" s="2" t="s">
        <v>2</v>
      </c>
      <c r="G834" s="2" t="str">
        <f>"02-2299-1599"</f>
        <v>02-2299-1599</v>
      </c>
      <c r="H834" s="2" t="s">
        <v>6009</v>
      </c>
      <c r="I834" s="2" t="str">
        <f>"02-2586-5859"</f>
        <v>02-2586-5859</v>
      </c>
      <c r="J834" s="2" t="str">
        <f>"--"</f>
        <v>--</v>
      </c>
      <c r="K834" s="2" t="str">
        <f>"--"</f>
        <v>--</v>
      </c>
      <c r="L834" s="2" t="str">
        <f>"--"</f>
        <v>--</v>
      </c>
      <c r="M834" s="2" t="str">
        <f>"否"</f>
        <v>否</v>
      </c>
      <c r="N834" s="2"/>
      <c r="O834" s="2"/>
      <c r="P834" s="2"/>
      <c r="Q834" s="2"/>
    </row>
    <row r="835" spans="1:17" x14ac:dyDescent="0.3">
      <c r="A835" s="2" t="str">
        <f>"8131"</f>
        <v>8131</v>
      </c>
      <c r="B835" s="2" t="s">
        <v>2345</v>
      </c>
      <c r="C835" s="2" t="s">
        <v>2346</v>
      </c>
      <c r="D835" s="2" t="s">
        <v>6010</v>
      </c>
      <c r="E835" s="2" t="s">
        <v>2347</v>
      </c>
      <c r="F835" s="2" t="s">
        <v>41</v>
      </c>
      <c r="G835" s="2" t="str">
        <f>"05-5574888"</f>
        <v>05-5574888</v>
      </c>
      <c r="H835" s="2" t="s">
        <v>2348</v>
      </c>
      <c r="I835" s="2" t="str">
        <f>"02-27189898"</f>
        <v>02-27189898</v>
      </c>
      <c r="J835" s="2" t="str">
        <f>"自105年05月24日至105年06月21日止"</f>
        <v>自105年05月24日至105年06月21日止</v>
      </c>
      <c r="K835" s="2" t="str">
        <f>"台灣集中保管結算所股份有限公司"</f>
        <v>台灣集中保管結算所股份有限公司</v>
      </c>
      <c r="L835" s="2" t="str">
        <f>"http://www.stockvote.com.tw"</f>
        <v>http://www.stockvote.com.tw</v>
      </c>
      <c r="M835" s="2" t="str">
        <f>"--"</f>
        <v>--</v>
      </c>
      <c r="N835" s="2"/>
      <c r="O835" s="2"/>
      <c r="P835" s="2"/>
      <c r="Q835" s="2"/>
    </row>
    <row r="836" spans="1:17" x14ac:dyDescent="0.3">
      <c r="A836" s="2" t="str">
        <f>"8150"</f>
        <v>8150</v>
      </c>
      <c r="B836" s="2" t="s">
        <v>2349</v>
      </c>
      <c r="C836" s="2" t="s">
        <v>2350</v>
      </c>
      <c r="D836" s="2" t="s">
        <v>6037</v>
      </c>
      <c r="E836" s="2" t="s">
        <v>2351</v>
      </c>
      <c r="F836" s="2" t="s">
        <v>41</v>
      </c>
      <c r="G836" s="2" t="str">
        <f>"03-5770055"</f>
        <v>03-5770055</v>
      </c>
      <c r="H836" s="2" t="s">
        <v>415</v>
      </c>
      <c r="I836" s="2" t="str">
        <f>"02-23892999"</f>
        <v>02-23892999</v>
      </c>
      <c r="J836" s="2" t="str">
        <f>"自105年04月30日至105年05月28日止"</f>
        <v>自105年04月30日至105年05月28日止</v>
      </c>
      <c r="K836" s="2" t="str">
        <f>"台灣集中保管結算所股份有限公司"</f>
        <v>台灣集中保管結算所股份有限公司</v>
      </c>
      <c r="L836" s="2" t="str">
        <f>"http://www.stockvote.com.tw"</f>
        <v>http://www.stockvote.com.tw</v>
      </c>
      <c r="M836" s="2" t="str">
        <f>"強制"</f>
        <v>強制</v>
      </c>
      <c r="N836" s="2"/>
      <c r="O836" s="2"/>
      <c r="P836" s="2"/>
      <c r="Q836" s="2"/>
    </row>
    <row r="837" spans="1:17" x14ac:dyDescent="0.3">
      <c r="A837" s="2"/>
      <c r="B837" s="2"/>
      <c r="C837" s="2"/>
      <c r="D837" s="2"/>
      <c r="E837" s="2"/>
      <c r="F837" s="2"/>
      <c r="G837" s="2"/>
      <c r="H837" s="2"/>
      <c r="I837" s="2"/>
      <c r="J837" s="2"/>
      <c r="K837" s="2"/>
      <c r="L837" s="2"/>
      <c r="M837" s="2"/>
      <c r="N837" s="2"/>
      <c r="O837" s="2"/>
      <c r="P837" s="2"/>
      <c r="Q837" s="2"/>
    </row>
    <row r="838" spans="1:17" x14ac:dyDescent="0.3">
      <c r="A838" s="2" t="str">
        <f>"8163"</f>
        <v>8163</v>
      </c>
      <c r="B838" s="2" t="s">
        <v>2352</v>
      </c>
      <c r="C838" s="2" t="s">
        <v>6395</v>
      </c>
      <c r="D838" s="2" t="s">
        <v>6004</v>
      </c>
      <c r="E838" s="2" t="s">
        <v>2353</v>
      </c>
      <c r="F838" s="2" t="s">
        <v>2</v>
      </c>
      <c r="G838" s="2" t="str">
        <f>"03-2508800"</f>
        <v>03-2508800</v>
      </c>
      <c r="H838" s="2" t="s">
        <v>456</v>
      </c>
      <c r="I838" s="2" t="str">
        <f>"(02)25048125"</f>
        <v>(02)25048125</v>
      </c>
      <c r="J838" s="2" t="str">
        <f>"自105年05月18日至105年06月14日止"</f>
        <v>自105年05月18日至105年06月14日止</v>
      </c>
      <c r="K838" s="2" t="str">
        <f>"台灣集中保管結算所股份有限公司"</f>
        <v>台灣集中保管結算所股份有限公司</v>
      </c>
      <c r="L838" s="2" t="str">
        <f>"http://www.stockvote.com.tw"</f>
        <v>http://www.stockvote.com.tw</v>
      </c>
      <c r="M838" s="2" t="str">
        <f>"強制"</f>
        <v>強制</v>
      </c>
      <c r="N838" s="2"/>
      <c r="O838" s="2"/>
      <c r="P838" s="2"/>
      <c r="Q838" s="2"/>
    </row>
    <row r="839" spans="1:17" x14ac:dyDescent="0.3">
      <c r="A839" s="2" t="str">
        <f>"8201"</f>
        <v>8201</v>
      </c>
      <c r="B839" s="2" t="s">
        <v>2354</v>
      </c>
      <c r="C839" s="2" t="s">
        <v>2355</v>
      </c>
      <c r="D839" s="2" t="s">
        <v>6396</v>
      </c>
      <c r="E839" s="2" t="s">
        <v>2356</v>
      </c>
      <c r="F839" s="2" t="s">
        <v>2</v>
      </c>
      <c r="G839" s="2" t="str">
        <f>"77265111"</f>
        <v>77265111</v>
      </c>
      <c r="H839" s="2" t="s">
        <v>456</v>
      </c>
      <c r="I839" s="2" t="str">
        <f>"25048125"</f>
        <v>25048125</v>
      </c>
      <c r="J839" s="2" t="str">
        <f t="shared" ref="J839:L840" si="117">"--"</f>
        <v>--</v>
      </c>
      <c r="K839" s="2" t="str">
        <f t="shared" si="117"/>
        <v>--</v>
      </c>
      <c r="L839" s="2" t="str">
        <f t="shared" si="117"/>
        <v>--</v>
      </c>
      <c r="M839" s="2" t="str">
        <f>"否"</f>
        <v>否</v>
      </c>
      <c r="N839" s="2"/>
      <c r="O839" s="2"/>
      <c r="P839" s="2"/>
      <c r="Q839" s="2"/>
    </row>
    <row r="840" spans="1:17" x14ac:dyDescent="0.3">
      <c r="A840" s="2" t="str">
        <f>"8210"</f>
        <v>8210</v>
      </c>
      <c r="B840" s="2" t="s">
        <v>2357</v>
      </c>
      <c r="C840" s="2" t="s">
        <v>2358</v>
      </c>
      <c r="D840" s="2" t="s">
        <v>6015</v>
      </c>
      <c r="E840" s="2" t="s">
        <v>2359</v>
      </c>
      <c r="F840" s="2" t="s">
        <v>2</v>
      </c>
      <c r="G840" s="2" t="str">
        <f>"(02)8226-5500"</f>
        <v>(02)8226-5500</v>
      </c>
      <c r="H840" s="2" t="s">
        <v>667</v>
      </c>
      <c r="I840" s="2" t="str">
        <f>"(02)23611300"</f>
        <v>(02)23611300</v>
      </c>
      <c r="J840" s="2" t="str">
        <f t="shared" si="117"/>
        <v>--</v>
      </c>
      <c r="K840" s="2" t="str">
        <f t="shared" si="117"/>
        <v>--</v>
      </c>
      <c r="L840" s="2" t="str">
        <f t="shared" si="117"/>
        <v>--</v>
      </c>
      <c r="M840" s="2" t="str">
        <f>"否"</f>
        <v>否</v>
      </c>
      <c r="N840" s="2"/>
      <c r="O840" s="2"/>
      <c r="P840" s="2"/>
      <c r="Q840" s="2"/>
    </row>
    <row r="841" spans="1:17" x14ac:dyDescent="0.3">
      <c r="A841" s="2" t="str">
        <f>"8213"</f>
        <v>8213</v>
      </c>
      <c r="B841" s="2" t="s">
        <v>102</v>
      </c>
      <c r="C841" s="2" t="s">
        <v>6397</v>
      </c>
      <c r="D841" s="2" t="s">
        <v>6025</v>
      </c>
      <c r="E841" s="2" t="s">
        <v>2360</v>
      </c>
      <c r="F841" s="2" t="s">
        <v>2</v>
      </c>
      <c r="G841" s="2" t="str">
        <f>"03-4698860"</f>
        <v>03-4698860</v>
      </c>
      <c r="H841" s="2" t="s">
        <v>524</v>
      </c>
      <c r="I841" s="2" t="str">
        <f>"02-23892999"</f>
        <v>02-23892999</v>
      </c>
      <c r="J841" s="2" t="str">
        <f>"自105年05月09日至105年06月05日止"</f>
        <v>自105年05月09日至105年06月05日止</v>
      </c>
      <c r="K841" s="2" t="str">
        <f>"台灣集中保管結算所股份有限公司"</f>
        <v>台灣集中保管結算所股份有限公司</v>
      </c>
      <c r="L841" s="2" t="str">
        <f>"http://www.stockvote.com.tw"</f>
        <v>http://www.stockvote.com.tw</v>
      </c>
      <c r="M841" s="2" t="str">
        <f>"強制"</f>
        <v>強制</v>
      </c>
      <c r="N841" s="2"/>
      <c r="O841" s="2"/>
      <c r="P841" s="2"/>
      <c r="Q841" s="2"/>
    </row>
    <row r="842" spans="1:17" x14ac:dyDescent="0.3">
      <c r="A842" s="2" t="str">
        <f>"8215"</f>
        <v>8215</v>
      </c>
      <c r="B842" s="2" t="s">
        <v>2361</v>
      </c>
      <c r="C842" s="2" t="s">
        <v>6398</v>
      </c>
      <c r="D842" s="2" t="s">
        <v>6016</v>
      </c>
      <c r="E842" s="2" t="s">
        <v>6399</v>
      </c>
      <c r="F842" s="2" t="s">
        <v>41</v>
      </c>
      <c r="G842" s="2" t="str">
        <f>"(03)3748800"</f>
        <v>(03)3748800</v>
      </c>
      <c r="H842" s="2" t="s">
        <v>456</v>
      </c>
      <c r="I842" s="2" t="str">
        <f>"(02)2504-8125"</f>
        <v>(02)2504-8125</v>
      </c>
      <c r="J842" s="2" t="str">
        <f>"自105年05月14日至105年06月11日止"</f>
        <v>自105年05月14日至105年06月11日止</v>
      </c>
      <c r="K842" s="2" t="str">
        <f>"台灣集中保管結算所股份有限公司"</f>
        <v>台灣集中保管結算所股份有限公司</v>
      </c>
      <c r="L842" s="2" t="str">
        <f>"http://www.stockvote.com.tw"</f>
        <v>http://www.stockvote.com.tw</v>
      </c>
      <c r="M842" s="2" t="str">
        <f>"--"</f>
        <v>--</v>
      </c>
      <c r="N842" s="2"/>
      <c r="O842" s="2"/>
      <c r="P842" s="2"/>
      <c r="Q842" s="2"/>
    </row>
    <row r="843" spans="1:17" x14ac:dyDescent="0.3">
      <c r="A843" s="2" t="str">
        <f>"8222"</f>
        <v>8222</v>
      </c>
      <c r="B843" s="2" t="s">
        <v>2362</v>
      </c>
      <c r="C843" s="2" t="s">
        <v>2364</v>
      </c>
      <c r="D843" s="2" t="s">
        <v>6020</v>
      </c>
      <c r="E843" s="2" t="s">
        <v>2363</v>
      </c>
      <c r="F843" s="2" t="s">
        <v>2</v>
      </c>
      <c r="G843" s="2" t="str">
        <f>"06-6535001"</f>
        <v>06-6535001</v>
      </c>
      <c r="H843" s="2" t="s">
        <v>456</v>
      </c>
      <c r="I843" s="2" t="str">
        <f>"02-25048125"</f>
        <v>02-25048125</v>
      </c>
      <c r="J843" s="2" t="str">
        <f t="shared" ref="J843:L848" si="118">"--"</f>
        <v>--</v>
      </c>
      <c r="K843" s="2" t="str">
        <f t="shared" si="118"/>
        <v>--</v>
      </c>
      <c r="L843" s="2" t="str">
        <f t="shared" si="118"/>
        <v>--</v>
      </c>
      <c r="M843" s="2" t="str">
        <f>"否"</f>
        <v>否</v>
      </c>
      <c r="N843" s="2"/>
      <c r="O843" s="2"/>
      <c r="P843" s="2"/>
      <c r="Q843" s="2"/>
    </row>
    <row r="844" spans="1:17" x14ac:dyDescent="0.3">
      <c r="A844" s="2" t="str">
        <f>"8249"</f>
        <v>8249</v>
      </c>
      <c r="B844" s="2" t="s">
        <v>2365</v>
      </c>
      <c r="C844" s="2" t="s">
        <v>2366</v>
      </c>
      <c r="D844" s="2" t="s">
        <v>6002</v>
      </c>
      <c r="E844" s="2" t="s">
        <v>2367</v>
      </c>
      <c r="F844" s="2" t="s">
        <v>2</v>
      </c>
      <c r="G844" s="2" t="str">
        <f>"(02)89121289"</f>
        <v>(02)89121289</v>
      </c>
      <c r="H844" s="2" t="s">
        <v>582</v>
      </c>
      <c r="I844" s="2" t="str">
        <f>"(02)2586-5859"</f>
        <v>(02)2586-5859</v>
      </c>
      <c r="J844" s="2" t="str">
        <f t="shared" si="118"/>
        <v>--</v>
      </c>
      <c r="K844" s="2" t="str">
        <f t="shared" si="118"/>
        <v>--</v>
      </c>
      <c r="L844" s="2" t="str">
        <f t="shared" si="118"/>
        <v>--</v>
      </c>
      <c r="M844" s="2" t="str">
        <f>"--"</f>
        <v>--</v>
      </c>
      <c r="N844" s="2"/>
      <c r="O844" s="2"/>
      <c r="P844" s="2"/>
      <c r="Q844" s="2"/>
    </row>
    <row r="845" spans="1:17" x14ac:dyDescent="0.3">
      <c r="A845" s="2" t="str">
        <f>"8261"</f>
        <v>8261</v>
      </c>
      <c r="B845" s="2" t="s">
        <v>28</v>
      </c>
      <c r="C845" s="2" t="s">
        <v>2368</v>
      </c>
      <c r="D845" s="2" t="s">
        <v>6173</v>
      </c>
      <c r="E845" s="2" t="s">
        <v>2369</v>
      </c>
      <c r="F845" s="2" t="s">
        <v>2</v>
      </c>
      <c r="G845" s="2" t="str">
        <f>"27940606"</f>
        <v>27940606</v>
      </c>
      <c r="H845" s="2" t="s">
        <v>6006</v>
      </c>
      <c r="I845" s="2" t="str">
        <f>"25865859"</f>
        <v>25865859</v>
      </c>
      <c r="J845" s="2" t="str">
        <f t="shared" si="118"/>
        <v>--</v>
      </c>
      <c r="K845" s="2" t="str">
        <f t="shared" si="118"/>
        <v>--</v>
      </c>
      <c r="L845" s="2" t="str">
        <f t="shared" si="118"/>
        <v>--</v>
      </c>
      <c r="M845" s="2" t="str">
        <f>"否"</f>
        <v>否</v>
      </c>
      <c r="N845" s="2"/>
      <c r="O845" s="2"/>
      <c r="P845" s="2"/>
      <c r="Q845" s="2"/>
    </row>
    <row r="846" spans="1:17" x14ac:dyDescent="0.3">
      <c r="A846" s="2" t="str">
        <f>"8271"</f>
        <v>8271</v>
      </c>
      <c r="B846" s="2" t="s">
        <v>2370</v>
      </c>
      <c r="C846" s="2" t="s">
        <v>2371</v>
      </c>
      <c r="D846" s="2" t="s">
        <v>6051</v>
      </c>
      <c r="E846" s="2" t="s">
        <v>6400</v>
      </c>
      <c r="F846" s="2" t="s">
        <v>2</v>
      </c>
      <c r="G846" s="2" t="str">
        <f>"(02)22678000"</f>
        <v>(02)22678000</v>
      </c>
      <c r="H846" s="2" t="s">
        <v>524</v>
      </c>
      <c r="I846" s="2" t="str">
        <f>"(02)2389-2999"</f>
        <v>(02)2389-2999</v>
      </c>
      <c r="J846" s="2" t="str">
        <f t="shared" si="118"/>
        <v>--</v>
      </c>
      <c r="K846" s="2" t="str">
        <f t="shared" si="118"/>
        <v>--</v>
      </c>
      <c r="L846" s="2" t="str">
        <f t="shared" si="118"/>
        <v>--</v>
      </c>
      <c r="M846" s="2" t="str">
        <f>"否"</f>
        <v>否</v>
      </c>
      <c r="N846" s="2"/>
      <c r="O846" s="2"/>
      <c r="P846" s="2"/>
      <c r="Q846" s="2"/>
    </row>
    <row r="847" spans="1:17" x14ac:dyDescent="0.3">
      <c r="A847" s="2" t="str">
        <f>"8341"</f>
        <v>8341</v>
      </c>
      <c r="B847" s="2" t="s">
        <v>2372</v>
      </c>
      <c r="C847" s="2" t="s">
        <v>2373</v>
      </c>
      <c r="D847" s="2" t="s">
        <v>6028</v>
      </c>
      <c r="E847" s="2" t="s">
        <v>2374</v>
      </c>
      <c r="F847" s="2" t="s">
        <v>41</v>
      </c>
      <c r="G847" s="2" t="str">
        <f>"05-7885788"</f>
        <v>05-7885788</v>
      </c>
      <c r="H847" s="2" t="s">
        <v>896</v>
      </c>
      <c r="I847" s="2" t="str">
        <f>"02-2563-5711"</f>
        <v>02-2563-5711</v>
      </c>
      <c r="J847" s="2" t="str">
        <f t="shared" si="118"/>
        <v>--</v>
      </c>
      <c r="K847" s="2" t="str">
        <f t="shared" si="118"/>
        <v>--</v>
      </c>
      <c r="L847" s="2" t="str">
        <f t="shared" si="118"/>
        <v>--</v>
      </c>
      <c r="M847" s="2" t="str">
        <f>"--"</f>
        <v>--</v>
      </c>
      <c r="N847" s="2"/>
      <c r="O847" s="2"/>
      <c r="P847" s="2"/>
      <c r="Q847" s="2"/>
    </row>
    <row r="848" spans="1:17" x14ac:dyDescent="0.3">
      <c r="A848" s="2" t="str">
        <f>"8374"</f>
        <v>8374</v>
      </c>
      <c r="B848" s="2" t="s">
        <v>2375</v>
      </c>
      <c r="C848" s="2" t="s">
        <v>2376</v>
      </c>
      <c r="D848" s="2" t="s">
        <v>6002</v>
      </c>
      <c r="E848" s="2" t="s">
        <v>2377</v>
      </c>
      <c r="F848" s="2" t="s">
        <v>2</v>
      </c>
      <c r="G848" s="2" t="str">
        <f>"02-2995-8400"</f>
        <v>02-2995-8400</v>
      </c>
      <c r="H848" s="2" t="s">
        <v>582</v>
      </c>
      <c r="I848" s="2" t="str">
        <f>"02-2586-5859"</f>
        <v>02-2586-5859</v>
      </c>
      <c r="J848" s="2" t="str">
        <f t="shared" si="118"/>
        <v>--</v>
      </c>
      <c r="K848" s="2" t="str">
        <f t="shared" si="118"/>
        <v>--</v>
      </c>
      <c r="L848" s="2" t="str">
        <f t="shared" si="118"/>
        <v>--</v>
      </c>
      <c r="M848" s="2" t="str">
        <f>"--"</f>
        <v>--</v>
      </c>
      <c r="N848" s="2"/>
      <c r="O848" s="2"/>
      <c r="P848" s="2"/>
      <c r="Q848" s="2"/>
    </row>
    <row r="849" spans="1:17" x14ac:dyDescent="0.3">
      <c r="A849" s="2" t="str">
        <f>"8404"</f>
        <v>8404</v>
      </c>
      <c r="B849" s="2" t="s">
        <v>2378</v>
      </c>
      <c r="C849" s="2" t="s">
        <v>6401</v>
      </c>
      <c r="D849" s="2" t="s">
        <v>6024</v>
      </c>
      <c r="E849" s="2" t="s">
        <v>2379</v>
      </c>
      <c r="F849" s="2" t="s">
        <v>41</v>
      </c>
      <c r="G849" s="2" t="str">
        <f>"04-7561340"</f>
        <v>04-7561340</v>
      </c>
      <c r="H849" s="2" t="s">
        <v>404</v>
      </c>
      <c r="I849" s="2" t="str">
        <f>"02-6636-5566"</f>
        <v>02-6636-5566</v>
      </c>
      <c r="J849" s="2" t="str">
        <f>"自105年05月08日至105年06月04日止"</f>
        <v>自105年05月08日至105年06月04日止</v>
      </c>
      <c r="K849" s="2" t="str">
        <f>"台灣集中保管結算所股份有限公司"</f>
        <v>台灣集中保管結算所股份有限公司</v>
      </c>
      <c r="L849" s="2" t="str">
        <f>"http://www.stockvote.com.tw"</f>
        <v>http://www.stockvote.com.tw</v>
      </c>
      <c r="M849" s="2" t="str">
        <f>"強制"</f>
        <v>強制</v>
      </c>
      <c r="N849" s="2"/>
      <c r="O849" s="2"/>
      <c r="P849" s="2"/>
      <c r="Q849" s="2"/>
    </row>
    <row r="850" spans="1:17" x14ac:dyDescent="0.3">
      <c r="A850" s="2" t="str">
        <f>"8411"</f>
        <v>8411</v>
      </c>
      <c r="B850" s="2" t="s">
        <v>2380</v>
      </c>
      <c r="C850" s="2" t="s">
        <v>6402</v>
      </c>
      <c r="D850" s="2" t="s">
        <v>6028</v>
      </c>
      <c r="E850" s="2" t="s">
        <v>2381</v>
      </c>
      <c r="F850" s="2" t="s">
        <v>2</v>
      </c>
      <c r="G850" s="2" t="str">
        <f>"0937-841198"</f>
        <v>0937-841198</v>
      </c>
      <c r="H850" s="2" t="s">
        <v>465</v>
      </c>
      <c r="I850" s="2" t="str">
        <f>"02-2381-6288"</f>
        <v>02-2381-6288</v>
      </c>
      <c r="J850" s="2" t="str">
        <f t="shared" ref="J850:L855" si="119">"--"</f>
        <v>--</v>
      </c>
      <c r="K850" s="2" t="str">
        <f t="shared" si="119"/>
        <v>--</v>
      </c>
      <c r="L850" s="2" t="str">
        <f t="shared" si="119"/>
        <v>--</v>
      </c>
      <c r="M850" s="2" t="str">
        <f>"否"</f>
        <v>否</v>
      </c>
      <c r="N850" s="2"/>
      <c r="O850" s="2"/>
      <c r="P850" s="2"/>
      <c r="Q850" s="2"/>
    </row>
    <row r="851" spans="1:17" x14ac:dyDescent="0.3">
      <c r="A851" s="2" t="str">
        <f>"8422"</f>
        <v>8422</v>
      </c>
      <c r="B851" s="2" t="s">
        <v>2382</v>
      </c>
      <c r="C851" s="2" t="s">
        <v>2383</v>
      </c>
      <c r="D851" s="2" t="s">
        <v>6004</v>
      </c>
      <c r="E851" s="2" t="s">
        <v>2384</v>
      </c>
      <c r="F851" s="2" t="s">
        <v>41</v>
      </c>
      <c r="G851" s="2" t="str">
        <f>"07-6264853"</f>
        <v>07-6264853</v>
      </c>
      <c r="H851" s="2" t="s">
        <v>2385</v>
      </c>
      <c r="I851" s="2" t="str">
        <f>"02-25048125"</f>
        <v>02-25048125</v>
      </c>
      <c r="J851" s="2" t="str">
        <f t="shared" si="119"/>
        <v>--</v>
      </c>
      <c r="K851" s="2" t="str">
        <f t="shared" si="119"/>
        <v>--</v>
      </c>
      <c r="L851" s="2" t="str">
        <f t="shared" si="119"/>
        <v>--</v>
      </c>
      <c r="M851" s="2" t="str">
        <f>"--"</f>
        <v>--</v>
      </c>
      <c r="N851" s="2"/>
      <c r="O851" s="2"/>
      <c r="P851" s="2"/>
      <c r="Q851" s="2"/>
    </row>
    <row r="852" spans="1:17" x14ac:dyDescent="0.3">
      <c r="A852" s="2" t="str">
        <f>"8427"</f>
        <v>8427</v>
      </c>
      <c r="B852" s="2" t="s">
        <v>2386</v>
      </c>
      <c r="C852" s="2" t="s">
        <v>2387</v>
      </c>
      <c r="D852" s="2" t="s">
        <v>6034</v>
      </c>
      <c r="E852" s="2" t="s">
        <v>2388</v>
      </c>
      <c r="F852" s="2" t="s">
        <v>2</v>
      </c>
      <c r="G852" s="2" t="str">
        <f>"02-2219-2640"</f>
        <v>02-2219-2640</v>
      </c>
      <c r="H852" s="2" t="s">
        <v>541</v>
      </c>
      <c r="I852" s="2" t="str">
        <f>"02-3393-0898"</f>
        <v>02-3393-0898</v>
      </c>
      <c r="J852" s="2" t="str">
        <f t="shared" si="119"/>
        <v>--</v>
      </c>
      <c r="K852" s="2" t="str">
        <f t="shared" si="119"/>
        <v>--</v>
      </c>
      <c r="L852" s="2" t="str">
        <f t="shared" si="119"/>
        <v>--</v>
      </c>
      <c r="M852" s="2" t="str">
        <f>"--"</f>
        <v>--</v>
      </c>
      <c r="N852" s="2"/>
      <c r="O852" s="2"/>
      <c r="P852" s="2"/>
      <c r="Q852" s="2"/>
    </row>
    <row r="853" spans="1:17" x14ac:dyDescent="0.3">
      <c r="A853" s="2" t="str">
        <f>"8429"</f>
        <v>8429</v>
      </c>
      <c r="B853" s="2" t="s">
        <v>2389</v>
      </c>
      <c r="C853" s="2" t="s">
        <v>2390</v>
      </c>
      <c r="D853" s="2" t="s">
        <v>6010</v>
      </c>
      <c r="E853" s="2" t="s">
        <v>6403</v>
      </c>
      <c r="F853" s="2" t="s">
        <v>2</v>
      </c>
      <c r="G853" s="2" t="str">
        <f>"02-25140055"</f>
        <v>02-25140055</v>
      </c>
      <c r="H853" s="2" t="s">
        <v>1028</v>
      </c>
      <c r="I853" s="2" t="str">
        <f>"02-2381-6288"</f>
        <v>02-2381-6288</v>
      </c>
      <c r="J853" s="2" t="str">
        <f t="shared" si="119"/>
        <v>--</v>
      </c>
      <c r="K853" s="2" t="str">
        <f t="shared" si="119"/>
        <v>--</v>
      </c>
      <c r="L853" s="2" t="str">
        <f t="shared" si="119"/>
        <v>--</v>
      </c>
      <c r="M853" s="2" t="str">
        <f>"--"</f>
        <v>--</v>
      </c>
      <c r="N853" s="2"/>
      <c r="O853" s="2"/>
      <c r="P853" s="2"/>
      <c r="Q853" s="2"/>
    </row>
    <row r="854" spans="1:17" x14ac:dyDescent="0.3">
      <c r="A854" s="2" t="str">
        <f>"8443"</f>
        <v>8443</v>
      </c>
      <c r="B854" s="2" t="s">
        <v>343</v>
      </c>
      <c r="C854" s="2" t="s">
        <v>2391</v>
      </c>
      <c r="D854" s="2" t="s">
        <v>6002</v>
      </c>
      <c r="E854" s="2" t="s">
        <v>6404</v>
      </c>
      <c r="F854" s="2" t="s">
        <v>2</v>
      </c>
      <c r="G854" s="2" t="str">
        <f>"(02)6618-9999"</f>
        <v>(02)6618-9999</v>
      </c>
      <c r="H854" s="2" t="s">
        <v>415</v>
      </c>
      <c r="I854" s="2" t="str">
        <f>"(02)2389-2999"</f>
        <v>(02)2389-2999</v>
      </c>
      <c r="J854" s="2" t="str">
        <f t="shared" si="119"/>
        <v>--</v>
      </c>
      <c r="K854" s="2" t="str">
        <f t="shared" si="119"/>
        <v>--</v>
      </c>
      <c r="L854" s="2" t="str">
        <f t="shared" si="119"/>
        <v>--</v>
      </c>
      <c r="M854" s="2" t="str">
        <f>"否"</f>
        <v>否</v>
      </c>
      <c r="N854" s="2"/>
      <c r="O854" s="2"/>
      <c r="P854" s="2"/>
      <c r="Q854" s="2"/>
    </row>
    <row r="855" spans="1:17" x14ac:dyDescent="0.3">
      <c r="A855" s="2" t="str">
        <f>"8454"</f>
        <v>8454</v>
      </c>
      <c r="B855" s="2" t="s">
        <v>2392</v>
      </c>
      <c r="C855" s="2" t="s">
        <v>2393</v>
      </c>
      <c r="D855" s="2" t="s">
        <v>6405</v>
      </c>
      <c r="E855" s="2" t="s">
        <v>6406</v>
      </c>
      <c r="F855" s="2" t="s">
        <v>2</v>
      </c>
      <c r="G855" s="2" t="str">
        <f>"(02)2162-6688"</f>
        <v>(02)2162-6688</v>
      </c>
      <c r="H855" s="2" t="s">
        <v>667</v>
      </c>
      <c r="I855" s="2" t="str">
        <f>"(02)2361-1300"</f>
        <v>(02)2361-1300</v>
      </c>
      <c r="J855" s="2" t="str">
        <f t="shared" si="119"/>
        <v>--</v>
      </c>
      <c r="K855" s="2" t="str">
        <f t="shared" si="119"/>
        <v>--</v>
      </c>
      <c r="L855" s="2" t="str">
        <f t="shared" si="119"/>
        <v>--</v>
      </c>
      <c r="M855" s="2" t="str">
        <f>"否"</f>
        <v>否</v>
      </c>
      <c r="N855" s="2"/>
      <c r="O855" s="2"/>
      <c r="P855" s="2"/>
      <c r="Q855" s="2"/>
    </row>
    <row r="856" spans="1:17" x14ac:dyDescent="0.3">
      <c r="A856" s="2" t="str">
        <f>"8463"</f>
        <v>8463</v>
      </c>
      <c r="B856" s="2" t="s">
        <v>4676</v>
      </c>
      <c r="C856" s="2" t="s">
        <v>4677</v>
      </c>
      <c r="D856" s="2" t="s">
        <v>6034</v>
      </c>
      <c r="E856" s="2" t="s">
        <v>6407</v>
      </c>
      <c r="F856" s="2" t="s">
        <v>41</v>
      </c>
      <c r="G856" s="2" t="str">
        <f>"81619989"</f>
        <v>81619989</v>
      </c>
      <c r="H856" s="2" t="s">
        <v>6006</v>
      </c>
      <c r="I856" s="2" t="str">
        <f>"25865859"</f>
        <v>25865859</v>
      </c>
      <c r="J856" s="2" t="str">
        <f>"自105年04月27日至105年05月24日止"</f>
        <v>自105年04月27日至105年05月24日止</v>
      </c>
      <c r="K856" s="2" t="str">
        <f>"台灣集中保管結算所股份有限公司"</f>
        <v>台灣集中保管結算所股份有限公司</v>
      </c>
      <c r="L856" s="2" t="str">
        <f>"http://www.stockvote.com.tw"</f>
        <v>http://www.stockvote.com.tw</v>
      </c>
      <c r="M856" s="2" t="str">
        <f>"&lt;b&gt;&lt;font color='red'&gt;自願&lt;/font&gt;&lt;/b&gt;"</f>
        <v>&lt;b&gt;&lt;font color='red'&gt;自願&lt;/font&gt;&lt;/b&gt;</v>
      </c>
      <c r="N856" s="2"/>
      <c r="O856" s="2"/>
      <c r="P856" s="2"/>
      <c r="Q856" s="2"/>
    </row>
    <row r="857" spans="1:17" x14ac:dyDescent="0.3">
      <c r="A857" s="2" t="str">
        <f>"8464"</f>
        <v>8464</v>
      </c>
      <c r="B857" s="2" t="s">
        <v>4678</v>
      </c>
      <c r="C857" s="2" t="s">
        <v>6408</v>
      </c>
      <c r="D857" s="2" t="s">
        <v>6007</v>
      </c>
      <c r="E857" s="2" t="s">
        <v>6409</v>
      </c>
      <c r="F857" s="2" t="s">
        <v>2</v>
      </c>
      <c r="G857" s="2" t="str">
        <f>"(04)3600-0999"</f>
        <v>(04)3600-0999</v>
      </c>
      <c r="H857" s="2" t="s">
        <v>644</v>
      </c>
      <c r="I857" s="2" t="str">
        <f>"(02)2361-1300"</f>
        <v>(02)2361-1300</v>
      </c>
      <c r="J857" s="2" t="str">
        <f>"自105年05月28日至105年06月25日止"</f>
        <v>自105年05月28日至105年06月25日止</v>
      </c>
      <c r="K857" s="2" t="str">
        <f>"台灣集中保管結算所股份有限公司"</f>
        <v>台灣集中保管結算所股份有限公司</v>
      </c>
      <c r="L857" s="2" t="str">
        <f>"http://www.stockvote.com.tw"</f>
        <v>http://www.stockvote.com.tw</v>
      </c>
      <c r="M857" s="2" t="str">
        <f>"&lt;b&gt;&lt;font color='red'&gt;自願&lt;/font&gt;&lt;/b&gt;"</f>
        <v>&lt;b&gt;&lt;font color='red'&gt;自願&lt;/font&gt;&lt;/b&gt;</v>
      </c>
      <c r="N857" s="2"/>
      <c r="O857" s="2"/>
      <c r="P857" s="2"/>
      <c r="Q857" s="2"/>
    </row>
    <row r="858" spans="1:17" x14ac:dyDescent="0.3">
      <c r="A858" s="2" t="str">
        <f>"8467"</f>
        <v>8467</v>
      </c>
      <c r="B858" s="2" t="s">
        <v>6410</v>
      </c>
      <c r="C858" s="2" t="s">
        <v>6411</v>
      </c>
      <c r="D858" s="2" t="s">
        <v>6082</v>
      </c>
      <c r="E858" s="2" t="s">
        <v>6412</v>
      </c>
      <c r="F858" s="2" t="s">
        <v>2</v>
      </c>
      <c r="G858" s="2" t="str">
        <f>"(04)2537-6022"</f>
        <v>(04)2537-6022</v>
      </c>
      <c r="H858" s="2" t="s">
        <v>465</v>
      </c>
      <c r="I858" s="2" t="str">
        <f>"(02)2381-6288"</f>
        <v>(02)2381-6288</v>
      </c>
      <c r="J858" s="2" t="str">
        <f>"--"</f>
        <v>--</v>
      </c>
      <c r="K858" s="2" t="str">
        <f>"--"</f>
        <v>--</v>
      </c>
      <c r="L858" s="2" t="str">
        <f>"--"</f>
        <v>--</v>
      </c>
      <c r="M858" s="2" t="str">
        <f>"--"</f>
        <v>--</v>
      </c>
      <c r="N858" s="2"/>
      <c r="O858" s="2"/>
      <c r="P858" s="2"/>
      <c r="Q858" s="2"/>
    </row>
    <row r="859" spans="1:17" x14ac:dyDescent="0.3">
      <c r="A859" s="2" t="str">
        <f>"8926"</f>
        <v>8926</v>
      </c>
      <c r="B859" s="2" t="s">
        <v>2394</v>
      </c>
      <c r="C859" s="2" t="s">
        <v>2395</v>
      </c>
      <c r="D859" s="2" t="s">
        <v>6001</v>
      </c>
      <c r="E859" s="2" t="s">
        <v>2396</v>
      </c>
      <c r="F859" s="2" t="s">
        <v>2</v>
      </c>
      <c r="G859" s="2" t="str">
        <f>"8798-2000"</f>
        <v>8798-2000</v>
      </c>
      <c r="H859" s="2" t="s">
        <v>415</v>
      </c>
      <c r="I859" s="2" t="str">
        <f>"(02)2389-2999"</f>
        <v>(02)2389-2999</v>
      </c>
      <c r="J859" s="2" t="str">
        <f>"自105年05月28日至105年06月24日止"</f>
        <v>自105年05月28日至105年06月24日止</v>
      </c>
      <c r="K859" s="2" t="str">
        <f>"台灣集中保管結算所股份有限公司"</f>
        <v>台灣集中保管結算所股份有限公司</v>
      </c>
      <c r="L859" s="2" t="str">
        <f>"http://www.stockvote.com.tw"</f>
        <v>http://www.stockvote.com.tw</v>
      </c>
      <c r="M859" s="2" t="str">
        <f>"--"</f>
        <v>--</v>
      </c>
      <c r="N859" s="2"/>
      <c r="O859" s="2"/>
      <c r="P859" s="2"/>
      <c r="Q859" s="2"/>
    </row>
    <row r="860" spans="1:17" x14ac:dyDescent="0.3">
      <c r="A860" s="2" t="str">
        <f>"8940"</f>
        <v>8940</v>
      </c>
      <c r="B860" s="2" t="s">
        <v>2397</v>
      </c>
      <c r="C860" s="2" t="s">
        <v>2398</v>
      </c>
      <c r="D860" s="2" t="s">
        <v>6413</v>
      </c>
      <c r="E860" s="2" t="s">
        <v>2399</v>
      </c>
      <c r="F860" s="2" t="s">
        <v>2</v>
      </c>
      <c r="G860" s="2" t="str">
        <f>"(04)22475222"</f>
        <v>(04)22475222</v>
      </c>
      <c r="H860" s="2" t="s">
        <v>2059</v>
      </c>
      <c r="I860" s="2" t="str">
        <f>"(02)25419977"</f>
        <v>(02)25419977</v>
      </c>
      <c r="J860" s="2" t="str">
        <f t="shared" ref="J860:L863" si="120">"--"</f>
        <v>--</v>
      </c>
      <c r="K860" s="2" t="str">
        <f t="shared" si="120"/>
        <v>--</v>
      </c>
      <c r="L860" s="2" t="str">
        <f t="shared" si="120"/>
        <v>--</v>
      </c>
      <c r="M860" s="2" t="str">
        <f>"否"</f>
        <v>否</v>
      </c>
      <c r="N860" s="2"/>
      <c r="O860" s="2"/>
      <c r="P860" s="2"/>
      <c r="Q860" s="2"/>
    </row>
    <row r="861" spans="1:17" x14ac:dyDescent="0.3">
      <c r="A861" s="2" t="str">
        <f>"8996"</f>
        <v>8996</v>
      </c>
      <c r="B861" s="2" t="s">
        <v>2400</v>
      </c>
      <c r="C861" s="2" t="s">
        <v>2401</v>
      </c>
      <c r="D861" s="2" t="s">
        <v>6015</v>
      </c>
      <c r="E861" s="2" t="s">
        <v>6414</v>
      </c>
      <c r="F861" s="2" t="s">
        <v>2</v>
      </c>
      <c r="G861" s="2" t="str">
        <f>"03-4527005-9"</f>
        <v>03-4527005-9</v>
      </c>
      <c r="H861" s="2" t="s">
        <v>996</v>
      </c>
      <c r="I861" s="2" t="str">
        <f>"(02)3393-0898"</f>
        <v>(02)3393-0898</v>
      </c>
      <c r="J861" s="2" t="str">
        <f t="shared" si="120"/>
        <v>--</v>
      </c>
      <c r="K861" s="2" t="str">
        <f t="shared" si="120"/>
        <v>--</v>
      </c>
      <c r="L861" s="2" t="str">
        <f t="shared" si="120"/>
        <v>--</v>
      </c>
      <c r="M861" s="2" t="str">
        <f>"--"</f>
        <v>--</v>
      </c>
      <c r="N861" s="2"/>
      <c r="O861" s="2"/>
      <c r="P861" s="2"/>
      <c r="Q861" s="2"/>
    </row>
    <row r="862" spans="1:17" x14ac:dyDescent="0.3">
      <c r="A862" s="2" t="str">
        <f>"9802"</f>
        <v>9802</v>
      </c>
      <c r="B862" s="2" t="s">
        <v>2402</v>
      </c>
      <c r="C862" s="2" t="s">
        <v>2403</v>
      </c>
      <c r="D862" s="2" t="s">
        <v>6002</v>
      </c>
      <c r="E862" s="2" t="s">
        <v>6415</v>
      </c>
      <c r="F862" s="2" t="s">
        <v>41</v>
      </c>
      <c r="G862" s="2" t="str">
        <f>"(886)55514619"</f>
        <v>(886)55514619</v>
      </c>
      <c r="H862" s="2" t="s">
        <v>1291</v>
      </c>
      <c r="I862" s="2" t="str">
        <f>"(02)2181-1911"</f>
        <v>(02)2181-1911</v>
      </c>
      <c r="J862" s="2" t="str">
        <f t="shared" si="120"/>
        <v>--</v>
      </c>
      <c r="K862" s="2" t="str">
        <f t="shared" si="120"/>
        <v>--</v>
      </c>
      <c r="L862" s="2" t="str">
        <f t="shared" si="120"/>
        <v>--</v>
      </c>
      <c r="M862" s="2" t="str">
        <f>"否"</f>
        <v>否</v>
      </c>
      <c r="N862" s="2"/>
      <c r="O862" s="2"/>
      <c r="P862" s="2"/>
      <c r="Q862" s="2"/>
    </row>
    <row r="863" spans="1:17" x14ac:dyDescent="0.3">
      <c r="A863" s="2" t="str">
        <f>"9902"</f>
        <v>9902</v>
      </c>
      <c r="B863" s="2" t="s">
        <v>77</v>
      </c>
      <c r="C863" s="2" t="s">
        <v>2404</v>
      </c>
      <c r="D863" s="2" t="s">
        <v>6000</v>
      </c>
      <c r="E863" s="2" t="s">
        <v>2405</v>
      </c>
      <c r="F863" s="2" t="s">
        <v>2</v>
      </c>
      <c r="G863" s="2" t="str">
        <f>"(02)2311-8531"</f>
        <v>(02)2311-8531</v>
      </c>
      <c r="H863" s="2" t="s">
        <v>505</v>
      </c>
      <c r="I863" s="2" t="str">
        <f>"(02)2381-6288"</f>
        <v>(02)2381-6288</v>
      </c>
      <c r="J863" s="2" t="str">
        <f t="shared" si="120"/>
        <v>--</v>
      </c>
      <c r="K863" s="2" t="str">
        <f t="shared" si="120"/>
        <v>--</v>
      </c>
      <c r="L863" s="2" t="str">
        <f t="shared" si="120"/>
        <v>--</v>
      </c>
      <c r="M863" s="2" t="str">
        <f>"--"</f>
        <v>--</v>
      </c>
      <c r="N863" s="2"/>
      <c r="O863" s="2"/>
      <c r="P863" s="2"/>
      <c r="Q863" s="2"/>
    </row>
    <row r="864" spans="1:17" x14ac:dyDescent="0.3">
      <c r="A864" s="2" t="str">
        <f>"9904"</f>
        <v>9904</v>
      </c>
      <c r="B864" s="2" t="s">
        <v>2406</v>
      </c>
      <c r="C864" s="2" t="s">
        <v>2407</v>
      </c>
      <c r="D864" s="2" t="s">
        <v>6002</v>
      </c>
      <c r="E864" s="2" t="s">
        <v>6416</v>
      </c>
      <c r="F864" s="2" t="s">
        <v>41</v>
      </c>
      <c r="G864" s="2" t="str">
        <f>"04-24615678"</f>
        <v>04-24615678</v>
      </c>
      <c r="H864" s="2" t="s">
        <v>640</v>
      </c>
      <c r="I864" s="2" t="str">
        <f>"02-23711658"</f>
        <v>02-23711658</v>
      </c>
      <c r="J864" s="2" t="str">
        <f>"自105年05月14日至105年06月12日止"</f>
        <v>自105年05月14日至105年06月12日止</v>
      </c>
      <c r="K864" s="2" t="str">
        <f>"台灣集中保管結算所股份有限公司"</f>
        <v>台灣集中保管結算所股份有限公司</v>
      </c>
      <c r="L864" s="2" t="str">
        <f>"http://www.stockvote.com.tw"</f>
        <v>http://www.stockvote.com.tw</v>
      </c>
      <c r="M864" s="2" t="str">
        <f>"強制"</f>
        <v>強制</v>
      </c>
      <c r="N864" s="2"/>
      <c r="O864" s="2"/>
      <c r="P864" s="2"/>
      <c r="Q864" s="2"/>
    </row>
    <row r="865" spans="1:17" x14ac:dyDescent="0.3">
      <c r="A865" s="2" t="str">
        <f>"9905"</f>
        <v>9905</v>
      </c>
      <c r="B865" s="2" t="s">
        <v>264</v>
      </c>
      <c r="C865" s="2" t="s">
        <v>2408</v>
      </c>
      <c r="D865" s="2" t="s">
        <v>6007</v>
      </c>
      <c r="E865" s="2" t="s">
        <v>2409</v>
      </c>
      <c r="F865" s="2" t="s">
        <v>2</v>
      </c>
      <c r="G865" s="2" t="str">
        <f>"(02)25030340"</f>
        <v>(02)25030340</v>
      </c>
      <c r="H865" s="2" t="s">
        <v>431</v>
      </c>
      <c r="I865" s="2" t="str">
        <f>"(02)27035000"</f>
        <v>(02)27035000</v>
      </c>
      <c r="J865" s="2" t="str">
        <f>"自105年05月28日至105年06月25日止"</f>
        <v>自105年05月28日至105年06月25日止</v>
      </c>
      <c r="K865" s="2" t="str">
        <f>"台灣集中保管結算所股份有限公司"</f>
        <v>台灣集中保管結算所股份有限公司</v>
      </c>
      <c r="L865" s="2" t="str">
        <f>"http://www.stockvote.com.tw"</f>
        <v>http://www.stockvote.com.tw</v>
      </c>
      <c r="M865" s="2" t="str">
        <f>"--"</f>
        <v>--</v>
      </c>
      <c r="N865" s="2"/>
      <c r="O865" s="2"/>
      <c r="P865" s="2"/>
      <c r="Q865" s="2"/>
    </row>
    <row r="866" spans="1:17" x14ac:dyDescent="0.3">
      <c r="A866" s="2" t="str">
        <f>"9906"</f>
        <v>9906</v>
      </c>
      <c r="B866" s="2" t="s">
        <v>2410</v>
      </c>
      <c r="C866" s="2" t="s">
        <v>2411</v>
      </c>
      <c r="D866" s="2" t="s">
        <v>5999</v>
      </c>
      <c r="E866" s="2" t="s">
        <v>6417</v>
      </c>
      <c r="F866" s="2" t="s">
        <v>2</v>
      </c>
      <c r="G866" s="2" t="str">
        <f>"07-5378899"</f>
        <v>07-5378899</v>
      </c>
      <c r="H866" s="2" t="s">
        <v>456</v>
      </c>
      <c r="I866" s="2" t="str">
        <f>"(02)2504-8125"</f>
        <v>(02)2504-8125</v>
      </c>
      <c r="J866" s="2" t="str">
        <f>"--"</f>
        <v>--</v>
      </c>
      <c r="K866" s="2" t="str">
        <f>"--"</f>
        <v>--</v>
      </c>
      <c r="L866" s="2" t="str">
        <f>"--"</f>
        <v>--</v>
      </c>
      <c r="M866" s="2" t="str">
        <f>"否"</f>
        <v>否</v>
      </c>
      <c r="N866" s="2"/>
      <c r="O866" s="2"/>
      <c r="P866" s="2"/>
      <c r="Q866" s="2"/>
    </row>
    <row r="867" spans="1:17" x14ac:dyDescent="0.3">
      <c r="A867" s="2" t="str">
        <f>"9907"</f>
        <v>9907</v>
      </c>
      <c r="B867" s="2" t="s">
        <v>2412</v>
      </c>
      <c r="C867" s="2" t="s">
        <v>2413</v>
      </c>
      <c r="D867" s="2" t="s">
        <v>6015</v>
      </c>
      <c r="E867" s="2" t="s">
        <v>2414</v>
      </c>
      <c r="F867" s="2" t="s">
        <v>41</v>
      </c>
      <c r="G867" s="2" t="str">
        <f>"06-2531131"</f>
        <v>06-2531131</v>
      </c>
      <c r="H867" s="2" t="s">
        <v>2415</v>
      </c>
      <c r="I867" s="2" t="str">
        <f>"02-27463797"</f>
        <v>02-27463797</v>
      </c>
      <c r="J867" s="2" t="str">
        <f>"自105年05月24日至105年06月20日止"</f>
        <v>自105年05月24日至105年06月20日止</v>
      </c>
      <c r="K867" s="2" t="str">
        <f>"台灣集中保管結算所股份有限公司"</f>
        <v>台灣集中保管結算所股份有限公司</v>
      </c>
      <c r="L867" s="2" t="str">
        <f>"http://www.stockvote.com.tw"</f>
        <v>http://www.stockvote.com.tw</v>
      </c>
      <c r="M867" s="2" t="str">
        <f>"--"</f>
        <v>--</v>
      </c>
      <c r="N867" s="2"/>
      <c r="O867" s="2"/>
      <c r="P867" s="2"/>
      <c r="Q867" s="2"/>
    </row>
    <row r="868" spans="1:17" x14ac:dyDescent="0.3">
      <c r="A868" s="2" t="str">
        <f>"9908"</f>
        <v>9908</v>
      </c>
      <c r="B868" s="2" t="s">
        <v>2416</v>
      </c>
      <c r="C868" s="2" t="s">
        <v>6418</v>
      </c>
      <c r="D868" s="2" t="s">
        <v>6028</v>
      </c>
      <c r="E868" s="2" t="s">
        <v>2417</v>
      </c>
      <c r="F868" s="2" t="s">
        <v>41</v>
      </c>
      <c r="G868" s="2" t="str">
        <f>"2768-4999"</f>
        <v>2768-4999</v>
      </c>
      <c r="H868" s="2" t="s">
        <v>2418</v>
      </c>
      <c r="I868" s="2" t="str">
        <f>"(02)27686668"</f>
        <v>(02)27686668</v>
      </c>
      <c r="J868" s="2" t="str">
        <f>"自105年05月17日至105年06月13日止"</f>
        <v>自105年05月17日至105年06月13日止</v>
      </c>
      <c r="K868" s="2" t="str">
        <f>"台灣集中保管結算所股份有限公司"</f>
        <v>台灣集中保管結算所股份有限公司</v>
      </c>
      <c r="L868" s="2" t="str">
        <f>"http://www.stockvote.com.tw"</f>
        <v>http://www.stockvote.com.tw</v>
      </c>
      <c r="M868" s="2" t="str">
        <f>"&lt;b&gt;&lt;font color='red'&gt;自願&lt;/font&gt;&lt;/b&gt;"</f>
        <v>&lt;b&gt;&lt;font color='red'&gt;自願&lt;/font&gt;&lt;/b&gt;</v>
      </c>
      <c r="N868" s="2"/>
      <c r="O868" s="2"/>
      <c r="P868" s="2"/>
      <c r="Q868" s="2"/>
    </row>
    <row r="869" spans="1:17" x14ac:dyDescent="0.3">
      <c r="A869" s="2" t="str">
        <f>"9910"</f>
        <v>9910</v>
      </c>
      <c r="B869" s="2" t="s">
        <v>2419</v>
      </c>
      <c r="C869" s="2" t="s">
        <v>2420</v>
      </c>
      <c r="D869" s="2" t="s">
        <v>6028</v>
      </c>
      <c r="E869" s="2" t="s">
        <v>2421</v>
      </c>
      <c r="F869" s="2" t="s">
        <v>2</v>
      </c>
      <c r="G869" s="2" t="str">
        <f>"05-5379100"</f>
        <v>05-5379100</v>
      </c>
      <c r="H869" s="2" t="s">
        <v>431</v>
      </c>
      <c r="I869" s="2" t="str">
        <f>"02-27023999"</f>
        <v>02-27023999</v>
      </c>
      <c r="J869" s="2" t="str">
        <f>"自105年05月17日至105年06月13日止"</f>
        <v>自105年05月17日至105年06月13日止</v>
      </c>
      <c r="K869" s="2" t="str">
        <f>"台灣集中保管結算所股份有限公司"</f>
        <v>台灣集中保管結算所股份有限公司</v>
      </c>
      <c r="L869" s="2" t="str">
        <f>"http://www.stockvote.com.tw"</f>
        <v>http://www.stockvote.com.tw</v>
      </c>
      <c r="M869" s="2" t="str">
        <f>"--"</f>
        <v>--</v>
      </c>
      <c r="N869" s="2"/>
      <c r="O869" s="2"/>
      <c r="P869" s="2"/>
      <c r="Q869" s="2"/>
    </row>
    <row r="870" spans="1:17" x14ac:dyDescent="0.3">
      <c r="A870" s="2" t="str">
        <f>"9911"</f>
        <v>9911</v>
      </c>
      <c r="B870" s="2" t="s">
        <v>2422</v>
      </c>
      <c r="C870" s="2" t="s">
        <v>2423</v>
      </c>
      <c r="D870" s="2" t="s">
        <v>6021</v>
      </c>
      <c r="E870" s="2" t="s">
        <v>2424</v>
      </c>
      <c r="F870" s="2" t="s">
        <v>41</v>
      </c>
      <c r="G870" s="2" t="str">
        <f>"(04)2566-6106"</f>
        <v>(04)2566-6106</v>
      </c>
      <c r="H870" s="2" t="s">
        <v>404</v>
      </c>
      <c r="I870" s="2" t="str">
        <f>"(02)6636-5566"</f>
        <v>(02)6636-5566</v>
      </c>
      <c r="J870" s="2" t="str">
        <f>"自105年05月14日至105年06月10日止"</f>
        <v>自105年05月14日至105年06月10日止</v>
      </c>
      <c r="K870" s="2" t="str">
        <f>"台灣集中保管結算所股份有限公司"</f>
        <v>台灣集中保管結算所股份有限公司</v>
      </c>
      <c r="L870" s="2" t="str">
        <f>"http://www.stockvote.com.tw"</f>
        <v>http://www.stockvote.com.tw</v>
      </c>
      <c r="M870" s="2" t="str">
        <f>"強制"</f>
        <v>強制</v>
      </c>
      <c r="N870" s="2"/>
      <c r="O870" s="2"/>
      <c r="P870" s="2"/>
      <c r="Q870" s="2"/>
    </row>
    <row r="871" spans="1:17" x14ac:dyDescent="0.3">
      <c r="A871" s="2" t="str">
        <f>"9912"</f>
        <v>9912</v>
      </c>
      <c r="B871" s="2" t="s">
        <v>192</v>
      </c>
      <c r="C871" s="2" t="s">
        <v>2425</v>
      </c>
      <c r="D871" s="2" t="s">
        <v>6010</v>
      </c>
      <c r="E871" s="2" t="s">
        <v>2426</v>
      </c>
      <c r="F871" s="2" t="s">
        <v>2</v>
      </c>
      <c r="G871" s="2" t="str">
        <f>"02-26558080"</f>
        <v>02-26558080</v>
      </c>
      <c r="H871" s="2" t="s">
        <v>431</v>
      </c>
      <c r="I871" s="2" t="str">
        <f>"02-27023999"</f>
        <v>02-27023999</v>
      </c>
      <c r="J871" s="2" t="str">
        <f>"--"</f>
        <v>--</v>
      </c>
      <c r="K871" s="2" t="str">
        <f>"--"</f>
        <v>--</v>
      </c>
      <c r="L871" s="2" t="str">
        <f>"--"</f>
        <v>--</v>
      </c>
      <c r="M871" s="2" t="str">
        <f>"否"</f>
        <v>否</v>
      </c>
      <c r="N871" s="2"/>
      <c r="O871" s="2"/>
      <c r="P871" s="2"/>
      <c r="Q871" s="2"/>
    </row>
    <row r="872" spans="1:17" x14ac:dyDescent="0.3">
      <c r="A872" s="2" t="str">
        <f>"9914"</f>
        <v>9914</v>
      </c>
      <c r="B872" s="2" t="s">
        <v>252</v>
      </c>
      <c r="C872" s="2" t="s">
        <v>2427</v>
      </c>
      <c r="D872" s="2" t="s">
        <v>5999</v>
      </c>
      <c r="E872" s="2" t="s">
        <v>2428</v>
      </c>
      <c r="F872" s="2" t="s">
        <v>2</v>
      </c>
      <c r="G872" s="2" t="str">
        <f>"(04)8526171"</f>
        <v>(04)8526171</v>
      </c>
      <c r="H872" s="2" t="s">
        <v>6006</v>
      </c>
      <c r="I872" s="2" t="str">
        <f>"(02) 25865859"</f>
        <v>(02) 25865859</v>
      </c>
      <c r="J872" s="2" t="str">
        <f>"自105年05月23日至105年06月19日止"</f>
        <v>自105年05月23日至105年06月19日止</v>
      </c>
      <c r="K872" s="2" t="str">
        <f>"台灣集中保管結算所股份有限公司"</f>
        <v>台灣集中保管結算所股份有限公司</v>
      </c>
      <c r="L872" s="2" t="str">
        <f>"http://www.stockvote.com.tw"</f>
        <v>http://www.stockvote.com.tw</v>
      </c>
      <c r="M872" s="2" t="str">
        <f>"強制"</f>
        <v>強制</v>
      </c>
      <c r="N872" s="2"/>
      <c r="O872" s="2"/>
      <c r="P872" s="2"/>
      <c r="Q872" s="2"/>
    </row>
    <row r="873" spans="1:17" x14ac:dyDescent="0.3">
      <c r="A873" s="2" t="str">
        <f>"9917"</f>
        <v>9917</v>
      </c>
      <c r="B873" s="2" t="s">
        <v>2429</v>
      </c>
      <c r="C873" s="2" t="s">
        <v>2430</v>
      </c>
      <c r="D873" s="2" t="s">
        <v>6051</v>
      </c>
      <c r="E873" s="2" t="s">
        <v>2431</v>
      </c>
      <c r="F873" s="2" t="s">
        <v>2</v>
      </c>
      <c r="G873" s="2" t="str">
        <f>"25575050"</f>
        <v>25575050</v>
      </c>
      <c r="H873" s="2" t="s">
        <v>6006</v>
      </c>
      <c r="I873" s="2" t="str">
        <f>"02-2586-5859"</f>
        <v>02-2586-5859</v>
      </c>
      <c r="J873" s="2" t="str">
        <f>"自105年05月04日至105年05月31日止"</f>
        <v>自105年05月04日至105年05月31日止</v>
      </c>
      <c r="K873" s="2" t="str">
        <f>"台灣集中保管結算所股份有限公司"</f>
        <v>台灣集中保管結算所股份有限公司</v>
      </c>
      <c r="L873" s="2" t="str">
        <f>"http://www.stockvote.com.tw"</f>
        <v>http://www.stockvote.com.tw</v>
      </c>
      <c r="M873" s="2" t="str">
        <f>"強制"</f>
        <v>強制</v>
      </c>
      <c r="N873" s="2"/>
      <c r="O873" s="2"/>
      <c r="P873" s="2"/>
      <c r="Q873" s="2"/>
    </row>
    <row r="874" spans="1:17" x14ac:dyDescent="0.3">
      <c r="A874" s="2" t="str">
        <f>"9918"</f>
        <v>9918</v>
      </c>
      <c r="B874" s="2" t="s">
        <v>209</v>
      </c>
      <c r="C874" s="2" t="s">
        <v>2432</v>
      </c>
      <c r="D874" s="2" t="s">
        <v>6001</v>
      </c>
      <c r="E874" s="2" t="s">
        <v>2433</v>
      </c>
      <c r="F874" s="2" t="s">
        <v>41</v>
      </c>
      <c r="G874" s="2" t="str">
        <f>"29217811"</f>
        <v>29217811</v>
      </c>
      <c r="H874" s="2" t="s">
        <v>415</v>
      </c>
      <c r="I874" s="2" t="str">
        <f>"23892999"</f>
        <v>23892999</v>
      </c>
      <c r="J874" s="2" t="str">
        <f t="shared" ref="J874:L878" si="121">"--"</f>
        <v>--</v>
      </c>
      <c r="K874" s="2" t="str">
        <f t="shared" si="121"/>
        <v>--</v>
      </c>
      <c r="L874" s="2" t="str">
        <f t="shared" si="121"/>
        <v>--</v>
      </c>
      <c r="M874" s="2" t="str">
        <f>"否"</f>
        <v>否</v>
      </c>
      <c r="N874" s="2"/>
      <c r="O874" s="2"/>
      <c r="P874" s="2"/>
      <c r="Q874" s="2"/>
    </row>
    <row r="875" spans="1:17" x14ac:dyDescent="0.3">
      <c r="A875" s="2" t="str">
        <f>"9919"</f>
        <v>9919</v>
      </c>
      <c r="B875" s="2" t="s">
        <v>231</v>
      </c>
      <c r="C875" s="2" t="s">
        <v>2434</v>
      </c>
      <c r="D875" s="2" t="s">
        <v>6004</v>
      </c>
      <c r="E875" s="2" t="s">
        <v>2435</v>
      </c>
      <c r="F875" s="2" t="s">
        <v>41</v>
      </c>
      <c r="G875" s="2" t="str">
        <f>"(02)2345-9909"</f>
        <v>(02)2345-9909</v>
      </c>
      <c r="H875" s="2" t="s">
        <v>415</v>
      </c>
      <c r="I875" s="2" t="str">
        <f>"(02)2314-8800"</f>
        <v>(02)2314-8800</v>
      </c>
      <c r="J875" s="2" t="str">
        <f t="shared" si="121"/>
        <v>--</v>
      </c>
      <c r="K875" s="2" t="str">
        <f t="shared" si="121"/>
        <v>--</v>
      </c>
      <c r="L875" s="2" t="str">
        <f t="shared" si="121"/>
        <v>--</v>
      </c>
      <c r="M875" s="2" t="str">
        <f>"否"</f>
        <v>否</v>
      </c>
      <c r="N875" s="2"/>
      <c r="O875" s="2"/>
      <c r="P875" s="2"/>
      <c r="Q875" s="2"/>
    </row>
    <row r="876" spans="1:17" x14ac:dyDescent="0.3">
      <c r="A876" s="2" t="str">
        <f>"9921"</f>
        <v>9921</v>
      </c>
      <c r="B876" s="2" t="s">
        <v>2436</v>
      </c>
      <c r="C876" s="2" t="s">
        <v>2437</v>
      </c>
      <c r="D876" s="2" t="s">
        <v>5999</v>
      </c>
      <c r="E876" s="2" t="s">
        <v>6419</v>
      </c>
      <c r="F876" s="2" t="s">
        <v>2</v>
      </c>
      <c r="G876" s="2" t="str">
        <f>"(04)2681-4771"</f>
        <v>(04)2681-4771</v>
      </c>
      <c r="H876" s="2" t="s">
        <v>640</v>
      </c>
      <c r="I876" s="2" t="str">
        <f>"(02)23711658"</f>
        <v>(02)23711658</v>
      </c>
      <c r="J876" s="2" t="str">
        <f t="shared" si="121"/>
        <v>--</v>
      </c>
      <c r="K876" s="2" t="str">
        <f t="shared" si="121"/>
        <v>--</v>
      </c>
      <c r="L876" s="2" t="str">
        <f t="shared" si="121"/>
        <v>--</v>
      </c>
      <c r="M876" s="2" t="str">
        <f>"--"</f>
        <v>--</v>
      </c>
      <c r="N876" s="2"/>
      <c r="O876" s="2"/>
      <c r="P876" s="2"/>
      <c r="Q876" s="2"/>
    </row>
    <row r="877" spans="1:17" x14ac:dyDescent="0.3">
      <c r="A877" s="2" t="str">
        <f>"9924"</f>
        <v>9924</v>
      </c>
      <c r="B877" s="2" t="s">
        <v>2438</v>
      </c>
      <c r="C877" s="2" t="s">
        <v>2439</v>
      </c>
      <c r="D877" s="2" t="s">
        <v>6010</v>
      </c>
      <c r="E877" s="2" t="s">
        <v>2440</v>
      </c>
      <c r="F877" s="2" t="s">
        <v>2</v>
      </c>
      <c r="G877" s="2" t="str">
        <f>"07-6225151"</f>
        <v>07-6225151</v>
      </c>
      <c r="H877" s="2" t="s">
        <v>431</v>
      </c>
      <c r="I877" s="2" t="str">
        <f>"02-2702-3999"</f>
        <v>02-2702-3999</v>
      </c>
      <c r="J877" s="2" t="str">
        <f t="shared" si="121"/>
        <v>--</v>
      </c>
      <c r="K877" s="2" t="str">
        <f t="shared" si="121"/>
        <v>--</v>
      </c>
      <c r="L877" s="2" t="str">
        <f t="shared" si="121"/>
        <v>--</v>
      </c>
      <c r="M877" s="2" t="str">
        <f>"否"</f>
        <v>否</v>
      </c>
      <c r="N877" s="2"/>
      <c r="O877" s="2"/>
      <c r="P877" s="2"/>
      <c r="Q877" s="2"/>
    </row>
    <row r="878" spans="1:17" x14ac:dyDescent="0.3">
      <c r="A878" s="2" t="str">
        <f>"9925"</f>
        <v>9925</v>
      </c>
      <c r="B878" s="2" t="s">
        <v>2441</v>
      </c>
      <c r="C878" s="2" t="s">
        <v>2442</v>
      </c>
      <c r="D878" s="2" t="s">
        <v>6028</v>
      </c>
      <c r="E878" s="2" t="s">
        <v>6420</v>
      </c>
      <c r="F878" s="2" t="s">
        <v>2</v>
      </c>
      <c r="G878" s="2" t="str">
        <f>"02-77199888"</f>
        <v>02-77199888</v>
      </c>
      <c r="H878" s="2" t="s">
        <v>2418</v>
      </c>
      <c r="I878" s="2" t="str">
        <f>"02-2768-6668"</f>
        <v>02-2768-6668</v>
      </c>
      <c r="J878" s="2" t="str">
        <f t="shared" si="121"/>
        <v>--</v>
      </c>
      <c r="K878" s="2" t="str">
        <f t="shared" si="121"/>
        <v>--</v>
      </c>
      <c r="L878" s="2" t="str">
        <f t="shared" si="121"/>
        <v>--</v>
      </c>
      <c r="M878" s="2" t="str">
        <f>"--"</f>
        <v>--</v>
      </c>
      <c r="N878" s="2"/>
      <c r="O878" s="2"/>
      <c r="P878" s="2"/>
      <c r="Q878" s="2"/>
    </row>
    <row r="879" spans="1:17" x14ac:dyDescent="0.3">
      <c r="A879" s="2" t="str">
        <f>"9926"</f>
        <v>9926</v>
      </c>
      <c r="B879" s="2" t="s">
        <v>2443</v>
      </c>
      <c r="C879" s="2" t="s">
        <v>2444</v>
      </c>
      <c r="D879" s="2" t="s">
        <v>6015</v>
      </c>
      <c r="E879" s="2" t="s">
        <v>6421</v>
      </c>
      <c r="F879" s="2" t="s">
        <v>2</v>
      </c>
      <c r="G879" s="2" t="str">
        <f>"(02)2982-1131"</f>
        <v>(02)2982-1131</v>
      </c>
      <c r="H879" s="2" t="s">
        <v>1587</v>
      </c>
      <c r="I879" s="2" t="str">
        <f>"(02)2768-6668"</f>
        <v>(02)2768-6668</v>
      </c>
      <c r="J879" s="2" t="str">
        <f>"自105年05月24日至105年06月20日止"</f>
        <v>自105年05月24日至105年06月20日止</v>
      </c>
      <c r="K879" s="2" t="str">
        <f>"台灣集中保管結算所股份有限公司"</f>
        <v>台灣集中保管結算所股份有限公司</v>
      </c>
      <c r="L879" s="2" t="str">
        <f>"http://www.stockvote.com.tw"</f>
        <v>http://www.stockvote.com.tw</v>
      </c>
      <c r="M879" s="2" t="str">
        <f>"--"</f>
        <v>--</v>
      </c>
      <c r="N879" s="2"/>
      <c r="O879" s="2"/>
      <c r="P879" s="2"/>
      <c r="Q879" s="2"/>
    </row>
    <row r="880" spans="1:17" x14ac:dyDescent="0.3">
      <c r="A880" s="2" t="str">
        <f>"9927"</f>
        <v>9927</v>
      </c>
      <c r="B880" s="2" t="s">
        <v>2445</v>
      </c>
      <c r="C880" s="2" t="s">
        <v>2446</v>
      </c>
      <c r="D880" s="2" t="s">
        <v>6021</v>
      </c>
      <c r="E880" s="2" t="s">
        <v>2447</v>
      </c>
      <c r="F880" s="2" t="s">
        <v>2</v>
      </c>
      <c r="G880" s="2" t="str">
        <f>"(07)787-2278"</f>
        <v>(07)787-2278</v>
      </c>
      <c r="H880" s="2" t="s">
        <v>456</v>
      </c>
      <c r="I880" s="2" t="str">
        <f>"(02)2504-8125"</f>
        <v>(02)2504-8125</v>
      </c>
      <c r="J880" s="2" t="str">
        <f>"自105年05月14日至105年06月10日止"</f>
        <v>自105年05月14日至105年06月10日止</v>
      </c>
      <c r="K880" s="2" t="str">
        <f>"台灣集中保管結算所股份有限公司"</f>
        <v>台灣集中保管結算所股份有限公司</v>
      </c>
      <c r="L880" s="2" t="str">
        <f>"http://www.stockvote.com.tw"</f>
        <v>http://www.stockvote.com.tw</v>
      </c>
      <c r="M880" s="2" t="str">
        <f>"--"</f>
        <v>--</v>
      </c>
      <c r="N880" s="2"/>
      <c r="O880" s="2"/>
      <c r="P880" s="2"/>
      <c r="Q880" s="2"/>
    </row>
    <row r="881" spans="1:17" x14ac:dyDescent="0.3">
      <c r="A881" s="2" t="str">
        <f>"9928"</f>
        <v>9928</v>
      </c>
      <c r="B881" s="2" t="s">
        <v>246</v>
      </c>
      <c r="C881" s="2" t="s">
        <v>2448</v>
      </c>
      <c r="D881" s="2" t="s">
        <v>6037</v>
      </c>
      <c r="E881" s="2" t="s">
        <v>2449</v>
      </c>
      <c r="F881" s="2" t="s">
        <v>2</v>
      </c>
      <c r="G881" s="2" t="str">
        <f>"(02)2783-8308"</f>
        <v>(02)2783-8308</v>
      </c>
      <c r="H881" s="2" t="s">
        <v>451</v>
      </c>
      <c r="I881" s="2" t="str">
        <f>"02- 2389-2999"</f>
        <v>02- 2389-2999</v>
      </c>
      <c r="J881" s="2" t="str">
        <f t="shared" ref="J881:L882" si="122">"--"</f>
        <v>--</v>
      </c>
      <c r="K881" s="2" t="str">
        <f t="shared" si="122"/>
        <v>--</v>
      </c>
      <c r="L881" s="2" t="str">
        <f t="shared" si="122"/>
        <v>--</v>
      </c>
      <c r="M881" s="2" t="str">
        <f>"否"</f>
        <v>否</v>
      </c>
      <c r="N881" s="2"/>
      <c r="O881" s="2"/>
      <c r="P881" s="2"/>
      <c r="Q881" s="2"/>
    </row>
    <row r="882" spans="1:17" x14ac:dyDescent="0.3">
      <c r="A882" s="2" t="str">
        <f>"9929"</f>
        <v>9929</v>
      </c>
      <c r="B882" s="2" t="s">
        <v>2450</v>
      </c>
      <c r="C882" s="2" t="s">
        <v>6422</v>
      </c>
      <c r="D882" s="2" t="s">
        <v>6001</v>
      </c>
      <c r="E882" s="2" t="s">
        <v>2451</v>
      </c>
      <c r="F882" s="2" t="s">
        <v>2</v>
      </c>
      <c r="G882" s="2" t="str">
        <f>"(02)87681999"</f>
        <v>(02)87681999</v>
      </c>
      <c r="H882" s="2" t="s">
        <v>424</v>
      </c>
      <c r="I882" s="2" t="str">
        <f>"(02)2586-5859"</f>
        <v>(02)2586-5859</v>
      </c>
      <c r="J882" s="2" t="str">
        <f t="shared" si="122"/>
        <v>--</v>
      </c>
      <c r="K882" s="2" t="str">
        <f t="shared" si="122"/>
        <v>--</v>
      </c>
      <c r="L882" s="2" t="str">
        <f t="shared" si="122"/>
        <v>--</v>
      </c>
      <c r="M882" s="2" t="str">
        <f>"否"</f>
        <v>否</v>
      </c>
      <c r="N882" s="2"/>
      <c r="O882" s="2"/>
      <c r="P882" s="2"/>
      <c r="Q882" s="2"/>
    </row>
    <row r="883" spans="1:17" x14ac:dyDescent="0.3">
      <c r="A883" s="2" t="str">
        <f>"9930"</f>
        <v>9930</v>
      </c>
      <c r="B883" s="2" t="s">
        <v>2452</v>
      </c>
      <c r="C883" s="2" t="s">
        <v>2453</v>
      </c>
      <c r="D883" s="2" t="s">
        <v>6000</v>
      </c>
      <c r="E883" s="2" t="s">
        <v>2454</v>
      </c>
      <c r="F883" s="2" t="s">
        <v>41</v>
      </c>
      <c r="G883" s="2" t="str">
        <f>"(07)336-8377"</f>
        <v>(07)336-8377</v>
      </c>
      <c r="H883" s="2" t="s">
        <v>451</v>
      </c>
      <c r="I883" s="2" t="str">
        <f>"(02)2389-2999"</f>
        <v>(02)2389-2999</v>
      </c>
      <c r="J883" s="2" t="str">
        <f>"自105年05月21日至105年06月18日止"</f>
        <v>自105年05月21日至105年06月18日止</v>
      </c>
      <c r="K883" s="2" t="str">
        <f>"台灣集中保管結算所股份有限公司"</f>
        <v>台灣集中保管結算所股份有限公司</v>
      </c>
      <c r="L883" s="2" t="str">
        <f>"http://www.stockvote.com.tw"</f>
        <v>http://www.stockvote.com.tw</v>
      </c>
      <c r="M883" s="2" t="str">
        <f>"強制"</f>
        <v>強制</v>
      </c>
      <c r="N883" s="2"/>
      <c r="O883" s="2"/>
      <c r="P883" s="2"/>
      <c r="Q883" s="2"/>
    </row>
    <row r="884" spans="1:17" x14ac:dyDescent="0.3">
      <c r="A884" s="2" t="str">
        <f>"9931"</f>
        <v>9931</v>
      </c>
      <c r="B884" s="2" t="s">
        <v>169</v>
      </c>
      <c r="C884" s="2" t="s">
        <v>170</v>
      </c>
      <c r="D884" s="2" t="s">
        <v>6021</v>
      </c>
      <c r="E884" s="2" t="s">
        <v>6423</v>
      </c>
      <c r="F884" s="2" t="s">
        <v>2</v>
      </c>
      <c r="G884" s="2" t="str">
        <f>"075315701"</f>
        <v>075315701</v>
      </c>
      <c r="H884" s="2" t="s">
        <v>431</v>
      </c>
      <c r="I884" s="2" t="str">
        <f>"02-27023999"</f>
        <v>02-27023999</v>
      </c>
      <c r="J884" s="2" t="str">
        <f>"--"</f>
        <v>--</v>
      </c>
      <c r="K884" s="2" t="str">
        <f>"--"</f>
        <v>--</v>
      </c>
      <c r="L884" s="2" t="str">
        <f>"--"</f>
        <v>--</v>
      </c>
      <c r="M884" s="2" t="str">
        <f>"否"</f>
        <v>否</v>
      </c>
      <c r="N884" s="2"/>
      <c r="O884" s="2"/>
      <c r="P884" s="2"/>
      <c r="Q884" s="2"/>
    </row>
    <row r="885" spans="1:17" x14ac:dyDescent="0.3">
      <c r="A885" s="2" t="str">
        <f>"9933"</f>
        <v>9933</v>
      </c>
      <c r="B885" s="2" t="s">
        <v>2455</v>
      </c>
      <c r="C885" s="2" t="s">
        <v>2456</v>
      </c>
      <c r="D885" s="2" t="s">
        <v>5999</v>
      </c>
      <c r="E885" s="2" t="s">
        <v>2457</v>
      </c>
      <c r="F885" s="2" t="s">
        <v>2</v>
      </c>
      <c r="G885" s="2" t="str">
        <f>"(02)2833-9999"</f>
        <v>(02)2833-9999</v>
      </c>
      <c r="H885" s="2" t="s">
        <v>451</v>
      </c>
      <c r="I885" s="2" t="str">
        <f>"(02)2389-2999"</f>
        <v>(02)2389-2999</v>
      </c>
      <c r="J885" s="2" t="str">
        <f>"自105年05月21日至105年06月19日止"</f>
        <v>自105年05月21日至105年06月19日止</v>
      </c>
      <c r="K885" s="2" t="str">
        <f>"台灣集中保管結算所股份有限公司"</f>
        <v>台灣集中保管結算所股份有限公司</v>
      </c>
      <c r="L885" s="2" t="str">
        <f>"http://www.stockvote.com.tw"</f>
        <v>http://www.stockvote.com.tw</v>
      </c>
      <c r="M885" s="2" t="str">
        <f>"強制"</f>
        <v>強制</v>
      </c>
      <c r="N885" s="2"/>
      <c r="O885" s="2"/>
      <c r="P885" s="2"/>
      <c r="Q885" s="2"/>
    </row>
    <row r="886" spans="1:17" x14ac:dyDescent="0.3">
      <c r="A886" s="2" t="str">
        <f>"9934"</f>
        <v>9934</v>
      </c>
      <c r="B886" s="2" t="s">
        <v>2458</v>
      </c>
      <c r="C886" s="2" t="s">
        <v>2459</v>
      </c>
      <c r="D886" s="2" t="s">
        <v>6010</v>
      </c>
      <c r="E886" s="2" t="s">
        <v>2460</v>
      </c>
      <c r="F886" s="2" t="s">
        <v>2</v>
      </c>
      <c r="G886" s="2" t="str">
        <f>"04-25349676"</f>
        <v>04-25349676</v>
      </c>
      <c r="H886" s="2" t="s">
        <v>465</v>
      </c>
      <c r="I886" s="2" t="str">
        <f>"02-23816288"</f>
        <v>02-23816288</v>
      </c>
      <c r="J886" s="2" t="str">
        <f>"自105年05月25日至105年06月21日止"</f>
        <v>自105年05月25日至105年06月21日止</v>
      </c>
      <c r="K886" s="2" t="str">
        <f>"台灣集中保管結算所股份有限公司"</f>
        <v>台灣集中保管結算所股份有限公司</v>
      </c>
      <c r="L886" s="2" t="str">
        <f>"http://www.stockvote.com.tw"</f>
        <v>http://www.stockvote.com.tw</v>
      </c>
      <c r="M886" s="2" t="str">
        <f>"強制"</f>
        <v>強制</v>
      </c>
      <c r="N886" s="2"/>
      <c r="O886" s="2"/>
      <c r="P886" s="2"/>
      <c r="Q886" s="2"/>
    </row>
    <row r="887" spans="1:17" x14ac:dyDescent="0.3">
      <c r="A887" s="2" t="str">
        <f>"9935"</f>
        <v>9935</v>
      </c>
      <c r="B887" s="2" t="s">
        <v>208</v>
      </c>
      <c r="C887" s="2" t="s">
        <v>2461</v>
      </c>
      <c r="D887" s="2" t="s">
        <v>6014</v>
      </c>
      <c r="E887" s="2" t="s">
        <v>2462</v>
      </c>
      <c r="F887" s="2" t="s">
        <v>2</v>
      </c>
      <c r="G887" s="2" t="str">
        <f>"04-7801967"</f>
        <v>04-7801967</v>
      </c>
      <c r="H887" s="2" t="s">
        <v>431</v>
      </c>
      <c r="I887" s="2" t="str">
        <f>"02-27035000"</f>
        <v>02-27035000</v>
      </c>
      <c r="J887" s="2" t="str">
        <f>"--"</f>
        <v>--</v>
      </c>
      <c r="K887" s="2" t="str">
        <f>"--"</f>
        <v>--</v>
      </c>
      <c r="L887" s="2" t="str">
        <f>"--"</f>
        <v>--</v>
      </c>
      <c r="M887" s="2" t="str">
        <f>"--"</f>
        <v>--</v>
      </c>
      <c r="N887" s="2"/>
      <c r="O887" s="2"/>
      <c r="P887" s="2"/>
      <c r="Q887" s="2"/>
    </row>
    <row r="888" spans="1:17" x14ac:dyDescent="0.3">
      <c r="A888" s="2" t="str">
        <f>"9937"</f>
        <v>9937</v>
      </c>
      <c r="B888" s="2" t="s">
        <v>2463</v>
      </c>
      <c r="C888" s="2" t="s">
        <v>2464</v>
      </c>
      <c r="D888" s="2" t="s">
        <v>6020</v>
      </c>
      <c r="E888" s="2" t="s">
        <v>2465</v>
      </c>
      <c r="F888" s="2" t="s">
        <v>2</v>
      </c>
      <c r="G888" s="2" t="str">
        <f>"(02)2935-6500"</f>
        <v>(02)2935-6500</v>
      </c>
      <c r="H888" s="2" t="s">
        <v>6006</v>
      </c>
      <c r="I888" s="2" t="str">
        <f>"(02)2586-5859"</f>
        <v>(02)2586-5859</v>
      </c>
      <c r="J888" s="2" t="str">
        <f>"自105年05月21日至105年06月17日止"</f>
        <v>自105年05月21日至105年06月17日止</v>
      </c>
      <c r="K888" s="2" t="str">
        <f>"台灣集中保管結算所股份有限公司"</f>
        <v>台灣集中保管結算所股份有限公司</v>
      </c>
      <c r="L888" s="2" t="str">
        <f>"http://www.stockvote.com.tw"</f>
        <v>http://www.stockvote.com.tw</v>
      </c>
      <c r="M888" s="2" t="str">
        <f>"強制"</f>
        <v>強制</v>
      </c>
      <c r="N888" s="2"/>
      <c r="O888" s="2"/>
      <c r="P888" s="2"/>
      <c r="Q888" s="2"/>
    </row>
    <row r="889" spans="1:17" x14ac:dyDescent="0.3">
      <c r="A889" s="2" t="str">
        <f>"9938"</f>
        <v>9938</v>
      </c>
      <c r="B889" s="2" t="s">
        <v>2466</v>
      </c>
      <c r="C889" s="2" t="s">
        <v>2467</v>
      </c>
      <c r="D889" s="2" t="s">
        <v>6028</v>
      </c>
      <c r="E889" s="2" t="s">
        <v>2379</v>
      </c>
      <c r="F889" s="2" t="s">
        <v>2</v>
      </c>
      <c r="G889" s="2" t="str">
        <f>"04-7565307"</f>
        <v>04-7565307</v>
      </c>
      <c r="H889" s="2" t="s">
        <v>404</v>
      </c>
      <c r="I889" s="2" t="str">
        <f>"02-66365566"</f>
        <v>02-66365566</v>
      </c>
      <c r="J889" s="2" t="str">
        <f>"自105年05月17日至105年06月13日止"</f>
        <v>自105年05月17日至105年06月13日止</v>
      </c>
      <c r="K889" s="2" t="str">
        <f>"台灣集中保管結算所股份有限公司"</f>
        <v>台灣集中保管結算所股份有限公司</v>
      </c>
      <c r="L889" s="2" t="str">
        <f>"http://www.stockvote.com.tw"</f>
        <v>http://www.stockvote.com.tw</v>
      </c>
      <c r="M889" s="2" t="str">
        <f>"強制"</f>
        <v>強制</v>
      </c>
      <c r="N889" s="2"/>
      <c r="O889" s="2"/>
      <c r="P889" s="2"/>
      <c r="Q889" s="2"/>
    </row>
    <row r="890" spans="1:17" x14ac:dyDescent="0.3">
      <c r="A890" s="2" t="str">
        <f>"9939"</f>
        <v>9939</v>
      </c>
      <c r="B890" s="2" t="s">
        <v>2468</v>
      </c>
      <c r="C890" s="2" t="s">
        <v>2469</v>
      </c>
      <c r="D890" s="2" t="s">
        <v>5999</v>
      </c>
      <c r="E890" s="2" t="s">
        <v>2470</v>
      </c>
      <c r="F890" s="2" t="s">
        <v>2</v>
      </c>
      <c r="G890" s="2" t="str">
        <f>"04-23590088"</f>
        <v>04-23590088</v>
      </c>
      <c r="H890" s="2" t="s">
        <v>451</v>
      </c>
      <c r="I890" s="2" t="str">
        <f>"02-23148800"</f>
        <v>02-23148800</v>
      </c>
      <c r="J890" s="2" t="str">
        <f>"自105年05月23日至105年06月19日止"</f>
        <v>自105年05月23日至105年06月19日止</v>
      </c>
      <c r="K890" s="2" t="str">
        <f>"台灣集中保管結算所股份有限公司"</f>
        <v>台灣集中保管結算所股份有限公司</v>
      </c>
      <c r="L890" s="2" t="str">
        <f>"http://www.stockvote.com.tw"</f>
        <v>http://www.stockvote.com.tw</v>
      </c>
      <c r="M890" s="2" t="str">
        <f>"強制"</f>
        <v>強制</v>
      </c>
      <c r="N890" s="2"/>
      <c r="O890" s="2"/>
      <c r="P890" s="2"/>
      <c r="Q890" s="2"/>
    </row>
    <row r="891" spans="1:17" x14ac:dyDescent="0.3">
      <c r="A891" s="2" t="str">
        <f>"9940"</f>
        <v>9940</v>
      </c>
      <c r="B891" s="2" t="s">
        <v>2471</v>
      </c>
      <c r="C891" s="2" t="s">
        <v>2472</v>
      </c>
      <c r="D891" s="2" t="s">
        <v>6375</v>
      </c>
      <c r="E891" s="2" t="s">
        <v>2473</v>
      </c>
      <c r="F891" s="2" t="s">
        <v>41</v>
      </c>
      <c r="G891" s="2" t="str">
        <f>"27557666"</f>
        <v>27557666</v>
      </c>
      <c r="H891" s="2" t="s">
        <v>411</v>
      </c>
      <c r="I891" s="2" t="str">
        <f>"27035000"</f>
        <v>27035000</v>
      </c>
      <c r="J891" s="2" t="str">
        <f>"自105年04月20日至105年05月17日止"</f>
        <v>自105年04月20日至105年05月17日止</v>
      </c>
      <c r="K891" s="2" t="str">
        <f>"台灣集中保管結算所股份有限公司"</f>
        <v>台灣集中保管結算所股份有限公司</v>
      </c>
      <c r="L891" s="2" t="str">
        <f>"http://www.stockvote.com.tw"</f>
        <v>http://www.stockvote.com.tw</v>
      </c>
      <c r="M891" s="2" t="str">
        <f>"強制"</f>
        <v>強制</v>
      </c>
      <c r="N891" s="2"/>
      <c r="O891" s="2"/>
      <c r="P891" s="2"/>
      <c r="Q891" s="2"/>
    </row>
    <row r="892" spans="1:17" x14ac:dyDescent="0.3">
      <c r="A892" s="2" t="str">
        <f>"9941"</f>
        <v>9941</v>
      </c>
      <c r="B892" s="2" t="s">
        <v>2474</v>
      </c>
      <c r="C892" s="2" t="s">
        <v>2475</v>
      </c>
      <c r="D892" s="2" t="s">
        <v>5999</v>
      </c>
      <c r="E892" s="2" t="s">
        <v>2476</v>
      </c>
      <c r="F892" s="2" t="s">
        <v>41</v>
      </c>
      <c r="G892" s="2" t="str">
        <f>"2702-5055"</f>
        <v>2702-5055</v>
      </c>
      <c r="H892" s="2" t="s">
        <v>2477</v>
      </c>
      <c r="I892" s="2" t="str">
        <f>"2515-6421"</f>
        <v>2515-6421</v>
      </c>
      <c r="J892" s="2" t="str">
        <f>"自105年05月23日至105年06月19日止"</f>
        <v>自105年05月23日至105年06月19日止</v>
      </c>
      <c r="K892" s="2" t="str">
        <f>"台灣集中保管結算所股份有限公司"</f>
        <v>台灣集中保管結算所股份有限公司</v>
      </c>
      <c r="L892" s="2" t="str">
        <f>"http://www.stockvote.com.tw"</f>
        <v>http://www.stockvote.com.tw</v>
      </c>
      <c r="M892" s="2" t="str">
        <f>"--"</f>
        <v>--</v>
      </c>
      <c r="N892" s="2"/>
      <c r="O892" s="2"/>
      <c r="P892" s="2"/>
      <c r="Q892" s="2"/>
    </row>
    <row r="893" spans="1:17" x14ac:dyDescent="0.3">
      <c r="A893" s="2" t="str">
        <f>"9942"</f>
        <v>9942</v>
      </c>
      <c r="B893" s="2" t="s">
        <v>2478</v>
      </c>
      <c r="C893" s="2" t="s">
        <v>2479</v>
      </c>
      <c r="D893" s="2" t="s">
        <v>6014</v>
      </c>
      <c r="E893" s="2" t="s">
        <v>2480</v>
      </c>
      <c r="F893" s="2" t="s">
        <v>41</v>
      </c>
      <c r="G893" s="2" t="str">
        <f>"(049)2255-011"</f>
        <v>(049)2255-011</v>
      </c>
      <c r="H893" s="2" t="s">
        <v>6006</v>
      </c>
      <c r="I893" s="2" t="str">
        <f>"(02)2586-5859"</f>
        <v>(02)2586-5859</v>
      </c>
      <c r="J893" s="2" t="str">
        <f t="shared" ref="J893:L895" si="123">"--"</f>
        <v>--</v>
      </c>
      <c r="K893" s="2" t="str">
        <f t="shared" si="123"/>
        <v>--</v>
      </c>
      <c r="L893" s="2" t="str">
        <f t="shared" si="123"/>
        <v>--</v>
      </c>
      <c r="M893" s="2" t="str">
        <f>"--"</f>
        <v>--</v>
      </c>
      <c r="N893" s="2"/>
      <c r="O893" s="2"/>
      <c r="P893" s="2"/>
      <c r="Q893" s="2"/>
    </row>
    <row r="894" spans="1:17" x14ac:dyDescent="0.3">
      <c r="A894" s="2" t="str">
        <f>"9943"</f>
        <v>9943</v>
      </c>
      <c r="B894" s="2" t="s">
        <v>2481</v>
      </c>
      <c r="C894" s="2" t="s">
        <v>2482</v>
      </c>
      <c r="D894" s="2" t="s">
        <v>6004</v>
      </c>
      <c r="E894" s="2" t="s">
        <v>2483</v>
      </c>
      <c r="F894" s="2" t="s">
        <v>41</v>
      </c>
      <c r="G894" s="2" t="str">
        <f>"(02)2769-5567"</f>
        <v>(02)2769-5567</v>
      </c>
      <c r="H894" s="2" t="s">
        <v>640</v>
      </c>
      <c r="I894" s="2" t="str">
        <f>"(02)2371-1658"</f>
        <v>(02)2371-1658</v>
      </c>
      <c r="J894" s="2" t="str">
        <f t="shared" si="123"/>
        <v>--</v>
      </c>
      <c r="K894" s="2" t="str">
        <f t="shared" si="123"/>
        <v>--</v>
      </c>
      <c r="L894" s="2" t="str">
        <f t="shared" si="123"/>
        <v>--</v>
      </c>
      <c r="M894" s="2" t="str">
        <f>"--"</f>
        <v>--</v>
      </c>
      <c r="N894" s="2"/>
      <c r="O894" s="2"/>
      <c r="P894" s="2"/>
      <c r="Q894" s="2"/>
    </row>
    <row r="895" spans="1:17" x14ac:dyDescent="0.3">
      <c r="A895" s="2" t="str">
        <f>"9944"</f>
        <v>9944</v>
      </c>
      <c r="B895" s="2" t="s">
        <v>2484</v>
      </c>
      <c r="C895" s="2" t="s">
        <v>2485</v>
      </c>
      <c r="D895" s="2" t="s">
        <v>6004</v>
      </c>
      <c r="E895" s="2" t="s">
        <v>6424</v>
      </c>
      <c r="F895" s="2" t="s">
        <v>41</v>
      </c>
      <c r="G895" s="2" t="str">
        <f>"(03)365-9903"</f>
        <v>(03)365-9903</v>
      </c>
      <c r="H895" s="2" t="s">
        <v>404</v>
      </c>
      <c r="I895" s="2" t="str">
        <f>"(02)6636-5566"</f>
        <v>(02)6636-5566</v>
      </c>
      <c r="J895" s="2" t="str">
        <f t="shared" si="123"/>
        <v>--</v>
      </c>
      <c r="K895" s="2" t="str">
        <f t="shared" si="123"/>
        <v>--</v>
      </c>
      <c r="L895" s="2" t="str">
        <f t="shared" si="123"/>
        <v>--</v>
      </c>
      <c r="M895" s="2" t="str">
        <f>"否"</f>
        <v>否</v>
      </c>
      <c r="N895" s="2"/>
      <c r="O895" s="2"/>
      <c r="P895" s="2"/>
      <c r="Q895" s="2"/>
    </row>
    <row r="896" spans="1:17" x14ac:dyDescent="0.3">
      <c r="A896" s="2" t="str">
        <f>"9945"</f>
        <v>9945</v>
      </c>
      <c r="B896" s="2" t="s">
        <v>2486</v>
      </c>
      <c r="C896" s="2" t="s">
        <v>2487</v>
      </c>
      <c r="D896" s="2" t="s">
        <v>6016</v>
      </c>
      <c r="E896" s="2" t="s">
        <v>6425</v>
      </c>
      <c r="F896" s="2" t="s">
        <v>41</v>
      </c>
      <c r="G896" s="2" t="str">
        <f>"81619888"</f>
        <v>81619888</v>
      </c>
      <c r="H896" s="2" t="s">
        <v>514</v>
      </c>
      <c r="I896" s="2" t="str">
        <f>"81619888"</f>
        <v>81619888</v>
      </c>
      <c r="J896" s="2" t="str">
        <f>"自105年05月15日至105年06月11日止"</f>
        <v>自105年05月15日至105年06月11日止</v>
      </c>
      <c r="K896" s="2" t="str">
        <f>"台灣集中保管結算所股份有限公司"</f>
        <v>台灣集中保管結算所股份有限公司</v>
      </c>
      <c r="L896" s="2" t="str">
        <f>"http://www.stockvote.com.tw"</f>
        <v>http://www.stockvote.com.tw</v>
      </c>
      <c r="M896" s="2" t="str">
        <f>"強制"</f>
        <v>強制</v>
      </c>
      <c r="N896" s="2"/>
      <c r="O896" s="2"/>
      <c r="P896" s="2"/>
      <c r="Q896" s="2"/>
    </row>
    <row r="897" spans="1:17" x14ac:dyDescent="0.3">
      <c r="A897" s="2" t="str">
        <f>"9946"</f>
        <v>9946</v>
      </c>
      <c r="B897" s="2" t="s">
        <v>2488</v>
      </c>
      <c r="C897" s="2" t="s">
        <v>2489</v>
      </c>
      <c r="D897" s="2" t="s">
        <v>6001</v>
      </c>
      <c r="E897" s="2" t="s">
        <v>6426</v>
      </c>
      <c r="F897" s="2" t="s">
        <v>41</v>
      </c>
      <c r="G897" s="2" t="str">
        <f>"2570-9988"</f>
        <v>2570-9988</v>
      </c>
      <c r="H897" s="2" t="s">
        <v>6006</v>
      </c>
      <c r="I897" s="2" t="str">
        <f>"25865859"</f>
        <v>25865859</v>
      </c>
      <c r="J897" s="2" t="str">
        <f t="shared" ref="J897:M898" si="124">"--"</f>
        <v>--</v>
      </c>
      <c r="K897" s="2" t="str">
        <f t="shared" si="124"/>
        <v>--</v>
      </c>
      <c r="L897" s="2" t="str">
        <f t="shared" si="124"/>
        <v>--</v>
      </c>
      <c r="M897" s="2" t="str">
        <f t="shared" si="124"/>
        <v>--</v>
      </c>
      <c r="N897" s="2"/>
      <c r="O897" s="2"/>
      <c r="P897" s="2"/>
      <c r="Q897" s="2"/>
    </row>
    <row r="898" spans="1:17" x14ac:dyDescent="0.3">
      <c r="A898" s="2" t="str">
        <f>"9955"</f>
        <v>9955</v>
      </c>
      <c r="B898" s="2" t="s">
        <v>2490</v>
      </c>
      <c r="C898" s="2" t="s">
        <v>6427</v>
      </c>
      <c r="D898" s="2" t="s">
        <v>5999</v>
      </c>
      <c r="E898" s="2" t="s">
        <v>2491</v>
      </c>
      <c r="F898" s="2" t="s">
        <v>41</v>
      </c>
      <c r="G898" s="2" t="str">
        <f>"(03)438-9099"</f>
        <v>(03)438-9099</v>
      </c>
      <c r="H898" s="2" t="s">
        <v>653</v>
      </c>
      <c r="I898" s="2" t="str">
        <f>"(02)2768-6668"</f>
        <v>(02)2768-6668</v>
      </c>
      <c r="J898" s="2" t="str">
        <f t="shared" si="124"/>
        <v>--</v>
      </c>
      <c r="K898" s="2" t="str">
        <f t="shared" si="124"/>
        <v>--</v>
      </c>
      <c r="L898" s="2" t="str">
        <f t="shared" si="124"/>
        <v>--</v>
      </c>
      <c r="M898" s="2" t="str">
        <f t="shared" si="124"/>
        <v>--</v>
      </c>
      <c r="N898" s="2"/>
      <c r="O898" s="2"/>
      <c r="P898" s="2"/>
      <c r="Q898" s="2"/>
    </row>
    <row r="899" spans="1:17" x14ac:dyDescent="0.3">
      <c r="A899" s="2" t="str">
        <f>"9958"</f>
        <v>9958</v>
      </c>
      <c r="B899" s="2" t="s">
        <v>2492</v>
      </c>
      <c r="C899" s="2" t="s">
        <v>6428</v>
      </c>
      <c r="D899" s="2" t="s">
        <v>6020</v>
      </c>
      <c r="E899" s="2" t="s">
        <v>2493</v>
      </c>
      <c r="F899" s="2" t="s">
        <v>2</v>
      </c>
      <c r="G899" s="2" t="str">
        <f>"03-4730201"</f>
        <v>03-4730201</v>
      </c>
      <c r="H899" s="2" t="s">
        <v>431</v>
      </c>
      <c r="I899" s="2" t="str">
        <f>"(02)2702-3999"</f>
        <v>(02)2702-3999</v>
      </c>
      <c r="J899" s="2" t="str">
        <f>"--"</f>
        <v>--</v>
      </c>
      <c r="K899" s="2" t="str">
        <f>"--"</f>
        <v>--</v>
      </c>
      <c r="L899" s="2" t="str">
        <f>"--"</f>
        <v>--</v>
      </c>
      <c r="M899" s="2" t="str">
        <f>"否"</f>
        <v>否</v>
      </c>
      <c r="N899" s="2"/>
      <c r="O899" s="2"/>
      <c r="P899" s="2"/>
      <c r="Q899" s="2"/>
    </row>
    <row r="900" spans="1:17" x14ac:dyDescent="0.3">
      <c r="A900" s="2"/>
      <c r="B900" s="2"/>
      <c r="C900" s="2"/>
      <c r="D900" s="2"/>
      <c r="E900" s="2"/>
      <c r="F900" s="2"/>
      <c r="G900" s="2"/>
      <c r="H900" s="2"/>
      <c r="I900" s="2"/>
      <c r="J900" s="2"/>
      <c r="K900" s="2"/>
      <c r="L900" s="2"/>
      <c r="M900" s="2"/>
      <c r="N900" s="2"/>
      <c r="O900" s="2"/>
      <c r="P900" s="2"/>
      <c r="Q900" s="2"/>
    </row>
    <row r="901" spans="1:17" x14ac:dyDescent="0.3">
      <c r="A901" s="2">
        <v>1258</v>
      </c>
      <c r="B901" s="2" t="s">
        <v>2496</v>
      </c>
      <c r="C901" s="2" t="s">
        <v>2497</v>
      </c>
      <c r="D901" s="2" t="s">
        <v>6001</v>
      </c>
      <c r="E901" s="2" t="s">
        <v>6429</v>
      </c>
      <c r="F901" s="2" t="s">
        <v>41</v>
      </c>
      <c r="G901" s="2" t="s">
        <v>4771</v>
      </c>
      <c r="H901" s="2" t="s">
        <v>404</v>
      </c>
      <c r="I901" s="2" t="s">
        <v>4697</v>
      </c>
      <c r="J901" s="2" t="s">
        <v>4696</v>
      </c>
      <c r="K901" s="2" t="s">
        <v>4696</v>
      </c>
      <c r="L901" s="2" t="s">
        <v>4696</v>
      </c>
      <c r="M901" s="2" t="s">
        <v>4696</v>
      </c>
      <c r="N901" s="2"/>
      <c r="O901" s="2"/>
      <c r="P901" s="2"/>
      <c r="Q901" s="2"/>
    </row>
    <row r="902" spans="1:17" x14ac:dyDescent="0.3">
      <c r="A902" s="2">
        <v>1259</v>
      </c>
      <c r="B902" s="2" t="s">
        <v>2498</v>
      </c>
      <c r="C902" s="2" t="s">
        <v>2499</v>
      </c>
      <c r="D902" s="2" t="s">
        <v>6024</v>
      </c>
      <c r="E902" s="2" t="s">
        <v>6430</v>
      </c>
      <c r="F902" s="2" t="s">
        <v>2</v>
      </c>
      <c r="G902" s="2" t="s">
        <v>4772</v>
      </c>
      <c r="H902" s="2" t="s">
        <v>411</v>
      </c>
      <c r="I902" s="2" t="s">
        <v>14</v>
      </c>
      <c r="J902" s="2" t="s">
        <v>4696</v>
      </c>
      <c r="K902" s="2" t="s">
        <v>4696</v>
      </c>
      <c r="L902" s="2" t="s">
        <v>4696</v>
      </c>
      <c r="M902" s="2" t="s">
        <v>2</v>
      </c>
      <c r="N902" s="2"/>
      <c r="O902" s="2"/>
      <c r="P902" s="2"/>
      <c r="Q902" s="2"/>
    </row>
    <row r="903" spans="1:17" x14ac:dyDescent="0.3">
      <c r="A903" s="2">
        <v>1264</v>
      </c>
      <c r="B903" s="2" t="s">
        <v>2500</v>
      </c>
      <c r="C903" s="2" t="s">
        <v>2501</v>
      </c>
      <c r="D903" s="2" t="s">
        <v>6037</v>
      </c>
      <c r="E903" s="2" t="s">
        <v>2502</v>
      </c>
      <c r="F903" s="2" t="s">
        <v>2</v>
      </c>
      <c r="G903" s="2" t="s">
        <v>4773</v>
      </c>
      <c r="H903" s="2" t="s">
        <v>644</v>
      </c>
      <c r="I903" s="2" t="s">
        <v>4720</v>
      </c>
      <c r="J903" s="2" t="s">
        <v>4696</v>
      </c>
      <c r="K903" s="2" t="s">
        <v>4696</v>
      </c>
      <c r="L903" s="2" t="s">
        <v>4696</v>
      </c>
      <c r="M903" s="2" t="s">
        <v>4696</v>
      </c>
      <c r="N903" s="2"/>
      <c r="O903" s="2"/>
      <c r="P903" s="2"/>
      <c r="Q903" s="2"/>
    </row>
    <row r="904" spans="1:17" x14ac:dyDescent="0.3">
      <c r="A904" s="2">
        <v>1333</v>
      </c>
      <c r="B904" s="2" t="s">
        <v>353</v>
      </c>
      <c r="C904" s="2" t="s">
        <v>2503</v>
      </c>
      <c r="D904" s="2" t="s">
        <v>6015</v>
      </c>
      <c r="E904" s="2" t="s">
        <v>6431</v>
      </c>
      <c r="F904" s="2" t="s">
        <v>2</v>
      </c>
      <c r="G904" s="2" t="s">
        <v>4774</v>
      </c>
      <c r="H904" s="2" t="s">
        <v>404</v>
      </c>
      <c r="I904" s="2" t="s">
        <v>4697</v>
      </c>
      <c r="J904" s="2" t="s">
        <v>4696</v>
      </c>
      <c r="K904" s="2" t="s">
        <v>4696</v>
      </c>
      <c r="L904" s="2" t="s">
        <v>4696</v>
      </c>
      <c r="M904" s="2" t="s">
        <v>4696</v>
      </c>
      <c r="N904" s="2"/>
      <c r="O904" s="2"/>
      <c r="P904" s="2"/>
      <c r="Q904" s="2"/>
    </row>
    <row r="905" spans="1:17" x14ac:dyDescent="0.3">
      <c r="A905" s="2">
        <v>1336</v>
      </c>
      <c r="B905" s="2" t="s">
        <v>2504</v>
      </c>
      <c r="C905" s="2" t="s">
        <v>6432</v>
      </c>
      <c r="D905" s="2" t="s">
        <v>6020</v>
      </c>
      <c r="E905" s="2" t="s">
        <v>2505</v>
      </c>
      <c r="F905" s="2" t="s">
        <v>41</v>
      </c>
      <c r="G905" s="2" t="s">
        <v>4775</v>
      </c>
      <c r="H905" s="2" t="s">
        <v>505</v>
      </c>
      <c r="I905" s="2" t="s">
        <v>4707</v>
      </c>
      <c r="J905" s="2" t="s">
        <v>4696</v>
      </c>
      <c r="K905" s="2" t="s">
        <v>4696</v>
      </c>
      <c r="L905" s="2" t="s">
        <v>4696</v>
      </c>
      <c r="M905" s="2" t="s">
        <v>4696</v>
      </c>
      <c r="N905" s="2"/>
      <c r="O905" s="2"/>
      <c r="P905" s="2"/>
      <c r="Q905" s="2"/>
    </row>
    <row r="906" spans="1:17" x14ac:dyDescent="0.3">
      <c r="A906" s="2">
        <v>1565</v>
      </c>
      <c r="B906" s="2" t="s">
        <v>2506</v>
      </c>
      <c r="C906" s="2" t="s">
        <v>2507</v>
      </c>
      <c r="D906" s="2" t="s">
        <v>6004</v>
      </c>
      <c r="E906" s="2" t="s">
        <v>2508</v>
      </c>
      <c r="F906" s="2" t="s">
        <v>2</v>
      </c>
      <c r="G906" s="2" t="s">
        <v>4776</v>
      </c>
      <c r="H906" s="2" t="s">
        <v>6009</v>
      </c>
      <c r="I906" s="2" t="s">
        <v>4708</v>
      </c>
      <c r="J906" s="2" t="s">
        <v>4696</v>
      </c>
      <c r="K906" s="2" t="s">
        <v>4696</v>
      </c>
      <c r="L906" s="2" t="s">
        <v>4696</v>
      </c>
      <c r="M906" s="2" t="s">
        <v>4696</v>
      </c>
      <c r="N906" s="2"/>
      <c r="O906" s="2"/>
      <c r="P906" s="2"/>
      <c r="Q906" s="2"/>
    </row>
    <row r="907" spans="1:17" x14ac:dyDescent="0.3">
      <c r="A907" s="2">
        <v>1566</v>
      </c>
      <c r="B907" s="2" t="s">
        <v>2509</v>
      </c>
      <c r="C907" s="2" t="s">
        <v>2510</v>
      </c>
      <c r="D907" s="2" t="s">
        <v>6010</v>
      </c>
      <c r="E907" s="2" t="s">
        <v>6433</v>
      </c>
      <c r="F907" s="2" t="s">
        <v>2</v>
      </c>
      <c r="G907" s="2" t="s">
        <v>4777</v>
      </c>
      <c r="H907" s="2" t="s">
        <v>404</v>
      </c>
      <c r="I907" s="2" t="s">
        <v>4700</v>
      </c>
      <c r="J907" s="2" t="s">
        <v>4696</v>
      </c>
      <c r="K907" s="2" t="s">
        <v>4696</v>
      </c>
      <c r="L907" s="2" t="s">
        <v>4696</v>
      </c>
      <c r="M907" s="2" t="s">
        <v>2</v>
      </c>
      <c r="N907" s="2"/>
      <c r="O907" s="2"/>
      <c r="P907" s="2"/>
      <c r="Q907" s="2"/>
    </row>
    <row r="908" spans="1:17" x14ac:dyDescent="0.3">
      <c r="A908" s="2">
        <v>1569</v>
      </c>
      <c r="B908" s="2" t="s">
        <v>2511</v>
      </c>
      <c r="C908" s="2" t="s">
        <v>2512</v>
      </c>
      <c r="D908" s="2" t="s">
        <v>5999</v>
      </c>
      <c r="E908" s="2" t="s">
        <v>2513</v>
      </c>
      <c r="F908" s="2" t="s">
        <v>41</v>
      </c>
      <c r="G908" s="2" t="s">
        <v>4778</v>
      </c>
      <c r="H908" s="2" t="s">
        <v>667</v>
      </c>
      <c r="I908" s="2" t="s">
        <v>4726</v>
      </c>
      <c r="J908" s="2" t="s">
        <v>4696</v>
      </c>
      <c r="K908" s="2" t="s">
        <v>4696</v>
      </c>
      <c r="L908" s="2" t="s">
        <v>4696</v>
      </c>
      <c r="M908" s="2" t="s">
        <v>2</v>
      </c>
      <c r="N908" s="2"/>
      <c r="O908" s="2"/>
      <c r="P908" s="2"/>
      <c r="Q908" s="2"/>
    </row>
    <row r="909" spans="1:17" x14ac:dyDescent="0.3">
      <c r="A909" s="2">
        <v>1570</v>
      </c>
      <c r="B909" s="2" t="s">
        <v>2514</v>
      </c>
      <c r="C909" s="2" t="s">
        <v>2515</v>
      </c>
      <c r="D909" s="2" t="s">
        <v>6002</v>
      </c>
      <c r="E909" s="2" t="s">
        <v>2516</v>
      </c>
      <c r="F909" s="2" t="s">
        <v>2</v>
      </c>
      <c r="G909" s="2" t="s">
        <v>4779</v>
      </c>
      <c r="H909" s="2" t="s">
        <v>1587</v>
      </c>
      <c r="I909" s="2" t="s">
        <v>4722</v>
      </c>
      <c r="J909" s="2" t="s">
        <v>4696</v>
      </c>
      <c r="K909" s="2" t="s">
        <v>4696</v>
      </c>
      <c r="L909" s="2" t="s">
        <v>4696</v>
      </c>
      <c r="M909" s="2" t="s">
        <v>4696</v>
      </c>
      <c r="N909" s="2"/>
      <c r="O909" s="2"/>
      <c r="P909" s="2"/>
      <c r="Q909" s="2"/>
    </row>
    <row r="910" spans="1:17" x14ac:dyDescent="0.3">
      <c r="A910" s="2">
        <v>1580</v>
      </c>
      <c r="B910" s="2" t="s">
        <v>2517</v>
      </c>
      <c r="C910" s="2" t="s">
        <v>2518</v>
      </c>
      <c r="D910" s="2" t="s">
        <v>6031</v>
      </c>
      <c r="E910" s="2" t="s">
        <v>2519</v>
      </c>
      <c r="F910" s="2" t="s">
        <v>41</v>
      </c>
      <c r="G910" s="2" t="s">
        <v>4780</v>
      </c>
      <c r="H910" s="2" t="s">
        <v>456</v>
      </c>
      <c r="I910" s="2" t="s">
        <v>4723</v>
      </c>
      <c r="J910" s="2" t="s">
        <v>4696</v>
      </c>
      <c r="K910" s="2" t="s">
        <v>4696</v>
      </c>
      <c r="L910" s="2" t="s">
        <v>4696</v>
      </c>
      <c r="M910" s="2" t="s">
        <v>2</v>
      </c>
      <c r="N910" s="2"/>
      <c r="O910" s="2"/>
      <c r="P910" s="2"/>
      <c r="Q910" s="2"/>
    </row>
    <row r="911" spans="1:17" x14ac:dyDescent="0.3">
      <c r="A911" s="2">
        <v>1584</v>
      </c>
      <c r="B911" s="2" t="s">
        <v>2520</v>
      </c>
      <c r="C911" s="2" t="s">
        <v>2521</v>
      </c>
      <c r="D911" s="2" t="s">
        <v>6020</v>
      </c>
      <c r="E911" s="2" t="s">
        <v>2522</v>
      </c>
      <c r="F911" s="2" t="s">
        <v>2</v>
      </c>
      <c r="G911" s="2" t="s">
        <v>4781</v>
      </c>
      <c r="H911" s="2" t="s">
        <v>451</v>
      </c>
      <c r="I911" s="2" t="s">
        <v>4703</v>
      </c>
      <c r="J911" s="2" t="s">
        <v>4696</v>
      </c>
      <c r="K911" s="2" t="s">
        <v>4696</v>
      </c>
      <c r="L911" s="2" t="s">
        <v>4696</v>
      </c>
      <c r="M911" s="2" t="s">
        <v>2</v>
      </c>
      <c r="N911" s="2"/>
      <c r="O911" s="2"/>
      <c r="P911" s="2"/>
      <c r="Q911" s="2"/>
    </row>
    <row r="912" spans="1:17" x14ac:dyDescent="0.3">
      <c r="A912" s="2">
        <v>1586</v>
      </c>
      <c r="B912" s="2" t="s">
        <v>2523</v>
      </c>
      <c r="C912" s="2" t="s">
        <v>6434</v>
      </c>
      <c r="D912" s="2" t="s">
        <v>6173</v>
      </c>
      <c r="E912" s="2" t="s">
        <v>6435</v>
      </c>
      <c r="F912" s="2" t="s">
        <v>2</v>
      </c>
      <c r="G912" s="2" t="s">
        <v>4782</v>
      </c>
      <c r="H912" s="2" t="s">
        <v>451</v>
      </c>
      <c r="I912" s="2" t="s">
        <v>4694</v>
      </c>
      <c r="J912" s="2" t="s">
        <v>4696</v>
      </c>
      <c r="K912" s="2" t="s">
        <v>4696</v>
      </c>
      <c r="L912" s="2" t="s">
        <v>4696</v>
      </c>
      <c r="M912" s="2" t="s">
        <v>2</v>
      </c>
      <c r="N912" s="2"/>
      <c r="O912" s="2"/>
      <c r="P912" s="2"/>
      <c r="Q912" s="2"/>
    </row>
    <row r="913" spans="1:17" x14ac:dyDescent="0.3">
      <c r="A913" s="2">
        <v>1591</v>
      </c>
      <c r="B913" s="2" t="s">
        <v>2524</v>
      </c>
      <c r="C913" s="2" t="s">
        <v>6436</v>
      </c>
      <c r="D913" s="2" t="s">
        <v>6028</v>
      </c>
      <c r="E913" s="2" t="s">
        <v>2525</v>
      </c>
      <c r="F913" s="2" t="s">
        <v>2</v>
      </c>
      <c r="G913" s="2">
        <f>60-6-6779543</f>
        <v>-6779489</v>
      </c>
      <c r="H913" s="2" t="s">
        <v>896</v>
      </c>
      <c r="I913" s="2" t="s">
        <v>4742</v>
      </c>
      <c r="J913" s="2" t="s">
        <v>4696</v>
      </c>
      <c r="K913" s="2" t="s">
        <v>4696</v>
      </c>
      <c r="L913" s="2" t="s">
        <v>4696</v>
      </c>
      <c r="M913" s="2" t="s">
        <v>4696</v>
      </c>
      <c r="N913" s="2"/>
      <c r="O913" s="2"/>
      <c r="P913" s="2"/>
      <c r="Q913" s="2"/>
    </row>
    <row r="914" spans="1:17" x14ac:dyDescent="0.3">
      <c r="A914" s="2">
        <v>1593</v>
      </c>
      <c r="B914" s="2" t="s">
        <v>2526</v>
      </c>
      <c r="C914" s="2" t="s">
        <v>2527</v>
      </c>
      <c r="D914" s="2" t="s">
        <v>6010</v>
      </c>
      <c r="E914" s="2" t="s">
        <v>2528</v>
      </c>
      <c r="F914" s="2" t="s">
        <v>2</v>
      </c>
      <c r="G914" s="2" t="s">
        <v>4783</v>
      </c>
      <c r="H914" s="2" t="s">
        <v>644</v>
      </c>
      <c r="I914" s="2" t="s">
        <v>4726</v>
      </c>
      <c r="J914" s="2" t="s">
        <v>4696</v>
      </c>
      <c r="K914" s="2" t="s">
        <v>4696</v>
      </c>
      <c r="L914" s="2" t="s">
        <v>4696</v>
      </c>
      <c r="M914" s="2" t="s">
        <v>4696</v>
      </c>
      <c r="N914" s="2"/>
      <c r="O914" s="2"/>
      <c r="P914" s="2"/>
      <c r="Q914" s="2"/>
    </row>
    <row r="915" spans="1:17" x14ac:dyDescent="0.3">
      <c r="A915" s="2">
        <v>1595</v>
      </c>
      <c r="B915" s="2" t="s">
        <v>2529</v>
      </c>
      <c r="C915" s="2" t="s">
        <v>6437</v>
      </c>
      <c r="D915" s="2" t="s">
        <v>6007</v>
      </c>
      <c r="E915" s="2" t="s">
        <v>6438</v>
      </c>
      <c r="F915" s="2" t="s">
        <v>41</v>
      </c>
      <c r="G915" s="2" t="s">
        <v>4784</v>
      </c>
      <c r="H915" s="2" t="s">
        <v>431</v>
      </c>
      <c r="I915" s="2" t="s">
        <v>4729</v>
      </c>
      <c r="J915" s="2" t="s">
        <v>4696</v>
      </c>
      <c r="K915" s="2" t="s">
        <v>4696</v>
      </c>
      <c r="L915" s="2" t="s">
        <v>4696</v>
      </c>
      <c r="M915" s="2" t="s">
        <v>2</v>
      </c>
      <c r="N915" s="2"/>
      <c r="O915" s="2"/>
      <c r="P915" s="2"/>
      <c r="Q915" s="2"/>
    </row>
    <row r="916" spans="1:17" x14ac:dyDescent="0.3">
      <c r="A916" s="2">
        <v>1597</v>
      </c>
      <c r="B916" s="2" t="s">
        <v>2530</v>
      </c>
      <c r="C916" s="2" t="s">
        <v>2531</v>
      </c>
      <c r="D916" s="2" t="s">
        <v>6028</v>
      </c>
      <c r="E916" s="2" t="s">
        <v>2532</v>
      </c>
      <c r="F916" s="2" t="s">
        <v>41</v>
      </c>
      <c r="G916" s="2" t="s">
        <v>4785</v>
      </c>
      <c r="H916" s="2" t="s">
        <v>667</v>
      </c>
      <c r="I916" s="2" t="s">
        <v>4720</v>
      </c>
      <c r="J916" s="2" t="s">
        <v>4696</v>
      </c>
      <c r="K916" s="2" t="s">
        <v>4696</v>
      </c>
      <c r="L916" s="2" t="s">
        <v>4696</v>
      </c>
      <c r="M916" s="2" t="s">
        <v>4696</v>
      </c>
      <c r="N916" s="2"/>
      <c r="O916" s="2"/>
      <c r="P916" s="2"/>
      <c r="Q916" s="2"/>
    </row>
    <row r="917" spans="1:17" x14ac:dyDescent="0.3">
      <c r="A917" s="2">
        <v>1599</v>
      </c>
      <c r="B917" s="2" t="s">
        <v>2533</v>
      </c>
      <c r="C917" s="2" t="s">
        <v>2534</v>
      </c>
      <c r="D917" s="2" t="s">
        <v>6001</v>
      </c>
      <c r="E917" s="2" t="s">
        <v>2535</v>
      </c>
      <c r="F917" s="2" t="s">
        <v>41</v>
      </c>
      <c r="G917" s="2" t="s">
        <v>4786</v>
      </c>
      <c r="H917" s="2" t="s">
        <v>469</v>
      </c>
      <c r="I917" s="2" t="s">
        <v>4711</v>
      </c>
      <c r="J917" s="2" t="s">
        <v>4696</v>
      </c>
      <c r="K917" s="2" t="s">
        <v>4696</v>
      </c>
      <c r="L917" s="2" t="s">
        <v>4696</v>
      </c>
      <c r="M917" s="2" t="s">
        <v>2</v>
      </c>
      <c r="N917" s="2"/>
      <c r="O917" s="2"/>
      <c r="P917" s="2"/>
      <c r="Q917" s="2"/>
    </row>
    <row r="918" spans="1:17" x14ac:dyDescent="0.3">
      <c r="A918" s="2">
        <v>1742</v>
      </c>
      <c r="B918" s="2" t="s">
        <v>344</v>
      </c>
      <c r="C918" s="2" t="s">
        <v>2536</v>
      </c>
      <c r="D918" s="2" t="s">
        <v>5999</v>
      </c>
      <c r="E918" s="2" t="s">
        <v>2537</v>
      </c>
      <c r="F918" s="2" t="s">
        <v>2</v>
      </c>
      <c r="G918" s="2" t="s">
        <v>4787</v>
      </c>
      <c r="H918" s="2" t="s">
        <v>404</v>
      </c>
      <c r="I918" s="2" t="s">
        <v>4700</v>
      </c>
      <c r="J918" s="2" t="s">
        <v>4696</v>
      </c>
      <c r="K918" s="2" t="s">
        <v>4696</v>
      </c>
      <c r="L918" s="2" t="s">
        <v>4696</v>
      </c>
      <c r="M918" s="2" t="s">
        <v>2</v>
      </c>
      <c r="N918" s="2"/>
      <c r="O918" s="2"/>
      <c r="P918" s="2"/>
      <c r="Q918" s="2"/>
    </row>
    <row r="919" spans="1:17" x14ac:dyDescent="0.3">
      <c r="A919" s="2">
        <v>1752</v>
      </c>
      <c r="B919" s="2" t="s">
        <v>2538</v>
      </c>
      <c r="C919" s="2" t="s">
        <v>2539</v>
      </c>
      <c r="D919" s="2" t="s">
        <v>6034</v>
      </c>
      <c r="E919" s="2" t="s">
        <v>2539</v>
      </c>
      <c r="F919" s="2" t="s">
        <v>2</v>
      </c>
      <c r="G919" s="2" t="s">
        <v>4788</v>
      </c>
      <c r="H919" s="2" t="s">
        <v>631</v>
      </c>
      <c r="I919" s="2" t="s">
        <v>4718</v>
      </c>
      <c r="J919" s="2" t="s">
        <v>4696</v>
      </c>
      <c r="K919" s="2" t="s">
        <v>4696</v>
      </c>
      <c r="L919" s="2" t="s">
        <v>4696</v>
      </c>
      <c r="M919" s="2" t="s">
        <v>2</v>
      </c>
      <c r="N919" s="2"/>
      <c r="O919" s="2"/>
      <c r="P919" s="2"/>
      <c r="Q919" s="2"/>
    </row>
    <row r="920" spans="1:17" x14ac:dyDescent="0.3">
      <c r="A920" s="2">
        <v>1777</v>
      </c>
      <c r="B920" s="2" t="s">
        <v>2540</v>
      </c>
      <c r="C920" s="2" t="s">
        <v>2541</v>
      </c>
      <c r="D920" s="2" t="s">
        <v>6004</v>
      </c>
      <c r="E920" s="2" t="s">
        <v>2542</v>
      </c>
      <c r="F920" s="2" t="s">
        <v>2</v>
      </c>
      <c r="G920" s="2" t="s">
        <v>4789</v>
      </c>
      <c r="H920" s="2" t="s">
        <v>539</v>
      </c>
      <c r="I920" s="2" t="s">
        <v>4708</v>
      </c>
      <c r="J920" s="2" t="s">
        <v>4696</v>
      </c>
      <c r="K920" s="2" t="s">
        <v>4696</v>
      </c>
      <c r="L920" s="2" t="s">
        <v>4696</v>
      </c>
      <c r="M920" s="2" t="s">
        <v>2</v>
      </c>
      <c r="N920" s="2"/>
      <c r="O920" s="2"/>
      <c r="P920" s="2"/>
      <c r="Q920" s="2"/>
    </row>
    <row r="921" spans="1:17" x14ac:dyDescent="0.3">
      <c r="A921" s="2">
        <v>1781</v>
      </c>
      <c r="B921" s="2" t="s">
        <v>2543</v>
      </c>
      <c r="C921" s="2" t="s">
        <v>2544</v>
      </c>
      <c r="D921" s="2" t="s">
        <v>6028</v>
      </c>
      <c r="E921" s="2" t="s">
        <v>1766</v>
      </c>
      <c r="F921" s="2" t="s">
        <v>41</v>
      </c>
      <c r="G921" s="2">
        <v>82271300</v>
      </c>
      <c r="H921" s="2" t="s">
        <v>817</v>
      </c>
      <c r="I921" s="2" t="s">
        <v>4700</v>
      </c>
      <c r="J921" s="2" t="s">
        <v>4696</v>
      </c>
      <c r="K921" s="2" t="s">
        <v>4696</v>
      </c>
      <c r="L921" s="2" t="s">
        <v>4696</v>
      </c>
      <c r="M921" s="2" t="s">
        <v>2</v>
      </c>
      <c r="N921" s="2"/>
      <c r="O921" s="2"/>
      <c r="P921" s="2"/>
      <c r="Q921" s="2"/>
    </row>
    <row r="922" spans="1:17" x14ac:dyDescent="0.3">
      <c r="A922" s="2">
        <v>1784</v>
      </c>
      <c r="B922" s="2" t="s">
        <v>2545</v>
      </c>
      <c r="C922" s="2" t="s">
        <v>2546</v>
      </c>
      <c r="D922" s="2" t="s">
        <v>5999</v>
      </c>
      <c r="E922" s="2" t="s">
        <v>2547</v>
      </c>
      <c r="F922" s="2" t="s">
        <v>41</v>
      </c>
      <c r="G922" s="2" t="s">
        <v>4790</v>
      </c>
      <c r="H922" s="2" t="s">
        <v>2021</v>
      </c>
      <c r="I922" s="2" t="s">
        <v>1</v>
      </c>
      <c r="J922" s="2" t="s">
        <v>4696</v>
      </c>
      <c r="K922" s="2" t="s">
        <v>4696</v>
      </c>
      <c r="L922" s="2" t="s">
        <v>4696</v>
      </c>
      <c r="M922" s="2" t="s">
        <v>4696</v>
      </c>
      <c r="N922" s="2"/>
      <c r="O922" s="2"/>
      <c r="P922" s="2"/>
      <c r="Q922" s="2"/>
    </row>
    <row r="923" spans="1:17" x14ac:dyDescent="0.3">
      <c r="A923" s="2">
        <v>1785</v>
      </c>
      <c r="B923" s="2" t="s">
        <v>150</v>
      </c>
      <c r="C923" s="2" t="s">
        <v>2548</v>
      </c>
      <c r="D923" s="2" t="s">
        <v>6014</v>
      </c>
      <c r="E923" s="2" t="s">
        <v>2549</v>
      </c>
      <c r="F923" s="2" t="s">
        <v>41</v>
      </c>
      <c r="G923" s="2" t="s">
        <v>4791</v>
      </c>
      <c r="H923" s="2" t="s">
        <v>431</v>
      </c>
      <c r="I923" s="2" t="s">
        <v>4792</v>
      </c>
      <c r="J923" s="2" t="s">
        <v>6439</v>
      </c>
      <c r="K923" s="2" t="s">
        <v>4690</v>
      </c>
      <c r="L923" s="2" t="s">
        <v>4691</v>
      </c>
      <c r="M923" s="2" t="s">
        <v>4696</v>
      </c>
      <c r="N923" s="2"/>
      <c r="O923" s="2"/>
      <c r="P923" s="2"/>
      <c r="Q923" s="2"/>
    </row>
    <row r="924" spans="1:17" x14ac:dyDescent="0.3">
      <c r="A924" s="2">
        <v>1787</v>
      </c>
      <c r="B924" s="2" t="s">
        <v>2550</v>
      </c>
      <c r="C924" s="2" t="s">
        <v>2551</v>
      </c>
      <c r="D924" s="2" t="s">
        <v>6028</v>
      </c>
      <c r="E924" s="2" t="s">
        <v>2552</v>
      </c>
      <c r="F924" s="2" t="s">
        <v>2</v>
      </c>
      <c r="G924" s="2" t="s">
        <v>4793</v>
      </c>
      <c r="H924" s="2" t="s">
        <v>675</v>
      </c>
      <c r="I924" s="2" t="s">
        <v>4708</v>
      </c>
      <c r="J924" s="2" t="s">
        <v>4696</v>
      </c>
      <c r="K924" s="2" t="s">
        <v>4696</v>
      </c>
      <c r="L924" s="2" t="s">
        <v>4696</v>
      </c>
      <c r="M924" s="2" t="s">
        <v>2</v>
      </c>
      <c r="N924" s="2"/>
      <c r="O924" s="2"/>
      <c r="P924" s="2"/>
      <c r="Q924" s="2"/>
    </row>
    <row r="925" spans="1:17" x14ac:dyDescent="0.3">
      <c r="A925" s="2">
        <v>1788</v>
      </c>
      <c r="B925" s="2" t="s">
        <v>2553</v>
      </c>
      <c r="C925" s="2" t="s">
        <v>2554</v>
      </c>
      <c r="D925" s="2" t="s">
        <v>6141</v>
      </c>
      <c r="E925" s="2" t="s">
        <v>2555</v>
      </c>
      <c r="F925" s="2" t="s">
        <v>41</v>
      </c>
      <c r="G925" s="2" t="s">
        <v>4794</v>
      </c>
      <c r="H925" s="2" t="s">
        <v>404</v>
      </c>
      <c r="I925" s="2" t="s">
        <v>4700</v>
      </c>
      <c r="J925" s="2" t="s">
        <v>4696</v>
      </c>
      <c r="K925" s="2" t="s">
        <v>4696</v>
      </c>
      <c r="L925" s="2" t="s">
        <v>4696</v>
      </c>
      <c r="M925" s="2" t="s">
        <v>2</v>
      </c>
      <c r="N925" s="2"/>
      <c r="O925" s="2"/>
      <c r="P925" s="2"/>
      <c r="Q925" s="2"/>
    </row>
    <row r="926" spans="1:17" x14ac:dyDescent="0.3">
      <c r="A926" s="2">
        <v>1795</v>
      </c>
      <c r="B926" s="2" t="s">
        <v>2556</v>
      </c>
      <c r="C926" s="2" t="s">
        <v>2557</v>
      </c>
      <c r="D926" s="2" t="s">
        <v>6001</v>
      </c>
      <c r="E926" s="2" t="s">
        <v>6440</v>
      </c>
      <c r="F926" s="2" t="s">
        <v>41</v>
      </c>
      <c r="G926" s="2" t="s">
        <v>6441</v>
      </c>
      <c r="H926" s="2" t="s">
        <v>456</v>
      </c>
      <c r="I926" s="2" t="s">
        <v>4723</v>
      </c>
      <c r="J926" s="2" t="s">
        <v>6442</v>
      </c>
      <c r="K926" s="2" t="s">
        <v>4690</v>
      </c>
      <c r="L926" s="2" t="s">
        <v>4691</v>
      </c>
      <c r="M926" s="2" t="s">
        <v>4696</v>
      </c>
      <c r="N926" s="2"/>
      <c r="O926" s="2"/>
      <c r="P926" s="2"/>
      <c r="Q926" s="2"/>
    </row>
    <row r="927" spans="1:17" x14ac:dyDescent="0.3">
      <c r="A927" s="2">
        <v>1799</v>
      </c>
      <c r="B927" s="2" t="s">
        <v>6443</v>
      </c>
      <c r="C927" s="2" t="s">
        <v>2558</v>
      </c>
      <c r="D927" s="2" t="s">
        <v>6015</v>
      </c>
      <c r="E927" s="2" t="s">
        <v>6444</v>
      </c>
      <c r="F927" s="2" t="s">
        <v>41</v>
      </c>
      <c r="G927" s="2" t="s">
        <v>4795</v>
      </c>
      <c r="H927" s="2" t="s">
        <v>431</v>
      </c>
      <c r="I927" s="2" t="s">
        <v>4693</v>
      </c>
      <c r="J927" s="2" t="s">
        <v>4696</v>
      </c>
      <c r="K927" s="2" t="s">
        <v>4696</v>
      </c>
      <c r="L927" s="2" t="s">
        <v>4696</v>
      </c>
      <c r="M927" s="2" t="s">
        <v>2</v>
      </c>
      <c r="N927" s="2"/>
      <c r="O927" s="2"/>
      <c r="P927" s="2"/>
      <c r="Q927" s="2"/>
    </row>
    <row r="928" spans="1:17" x14ac:dyDescent="0.3">
      <c r="A928" s="2">
        <v>1813</v>
      </c>
      <c r="B928" s="2" t="s">
        <v>2559</v>
      </c>
      <c r="C928" s="2" t="s">
        <v>2560</v>
      </c>
      <c r="D928" s="2" t="s">
        <v>6037</v>
      </c>
      <c r="E928" s="2" t="s">
        <v>2561</v>
      </c>
      <c r="F928" s="2" t="s">
        <v>2</v>
      </c>
      <c r="G928" s="2" t="s">
        <v>4796</v>
      </c>
      <c r="H928" s="2" t="s">
        <v>431</v>
      </c>
      <c r="I928" s="2" t="s">
        <v>4702</v>
      </c>
      <c r="J928" s="2" t="s">
        <v>4696</v>
      </c>
      <c r="K928" s="2" t="s">
        <v>4696</v>
      </c>
      <c r="L928" s="2" t="s">
        <v>4696</v>
      </c>
      <c r="M928" s="2" t="s">
        <v>2</v>
      </c>
      <c r="N928" s="2"/>
      <c r="O928" s="2"/>
      <c r="P928" s="2"/>
      <c r="Q928" s="2"/>
    </row>
    <row r="929" spans="1:17" x14ac:dyDescent="0.3">
      <c r="A929" s="2">
        <v>1815</v>
      </c>
      <c r="B929" s="2" t="s">
        <v>2562</v>
      </c>
      <c r="C929" s="2" t="s">
        <v>2563</v>
      </c>
      <c r="D929" s="2" t="s">
        <v>5999</v>
      </c>
      <c r="E929" s="2" t="s">
        <v>2564</v>
      </c>
      <c r="F929" s="2" t="s">
        <v>2</v>
      </c>
      <c r="G929" s="2" t="s">
        <v>4797</v>
      </c>
      <c r="H929" s="2" t="s">
        <v>2565</v>
      </c>
      <c r="I929" s="2" t="s">
        <v>4798</v>
      </c>
      <c r="J929" s="2" t="s">
        <v>6445</v>
      </c>
      <c r="K929" s="2" t="s">
        <v>4690</v>
      </c>
      <c r="L929" s="2" t="s">
        <v>4691</v>
      </c>
      <c r="M929" s="2" t="s">
        <v>4696</v>
      </c>
      <c r="N929" s="2"/>
      <c r="O929" s="2"/>
      <c r="P929" s="2"/>
      <c r="Q929" s="2"/>
    </row>
    <row r="930" spans="1:17" x14ac:dyDescent="0.3">
      <c r="A930" s="2">
        <v>2035</v>
      </c>
      <c r="B930" s="2" t="s">
        <v>2566</v>
      </c>
      <c r="C930" s="2" t="s">
        <v>2567</v>
      </c>
      <c r="D930" s="2" t="s">
        <v>5999</v>
      </c>
      <c r="E930" s="2" t="s">
        <v>6446</v>
      </c>
      <c r="F930" s="2" t="s">
        <v>2</v>
      </c>
      <c r="G930" s="2" t="s">
        <v>4799</v>
      </c>
      <c r="H930" s="2" t="s">
        <v>431</v>
      </c>
      <c r="I930" s="2" t="s">
        <v>4728</v>
      </c>
      <c r="J930" s="2" t="s">
        <v>4696</v>
      </c>
      <c r="K930" s="2" t="s">
        <v>4696</v>
      </c>
      <c r="L930" s="2" t="s">
        <v>4696</v>
      </c>
      <c r="M930" s="2" t="s">
        <v>2</v>
      </c>
      <c r="N930" s="2"/>
      <c r="O930" s="2"/>
      <c r="P930" s="2"/>
      <c r="Q930" s="2"/>
    </row>
    <row r="931" spans="1:17" x14ac:dyDescent="0.3">
      <c r="A931" s="2">
        <v>2061</v>
      </c>
      <c r="B931" s="2" t="s">
        <v>2568</v>
      </c>
      <c r="C931" s="2" t="s">
        <v>2569</v>
      </c>
      <c r="D931" s="2" t="s">
        <v>6016</v>
      </c>
      <c r="E931" s="2" t="s">
        <v>6447</v>
      </c>
      <c r="F931" s="2" t="s">
        <v>41</v>
      </c>
      <c r="G931" s="2" t="s">
        <v>4800</v>
      </c>
      <c r="H931" s="2" t="s">
        <v>404</v>
      </c>
      <c r="I931" s="2" t="s">
        <v>4700</v>
      </c>
      <c r="J931" s="2" t="s">
        <v>4696</v>
      </c>
      <c r="K931" s="2" t="s">
        <v>4696</v>
      </c>
      <c r="L931" s="2" t="s">
        <v>4696</v>
      </c>
      <c r="M931" s="2" t="s">
        <v>2</v>
      </c>
      <c r="N931" s="2"/>
      <c r="O931" s="2"/>
      <c r="P931" s="2"/>
      <c r="Q931" s="2"/>
    </row>
    <row r="932" spans="1:17" x14ac:dyDescent="0.3">
      <c r="A932" s="2">
        <v>2063</v>
      </c>
      <c r="B932" s="2" t="s">
        <v>2570</v>
      </c>
      <c r="C932" s="2" t="s">
        <v>2571</v>
      </c>
      <c r="D932" s="2" t="s">
        <v>6037</v>
      </c>
      <c r="E932" s="2" t="s">
        <v>2572</v>
      </c>
      <c r="F932" s="2" t="s">
        <v>2</v>
      </c>
      <c r="G932" s="2" t="s">
        <v>4801</v>
      </c>
      <c r="H932" s="2" t="s">
        <v>465</v>
      </c>
      <c r="I932" s="2" t="s">
        <v>4707</v>
      </c>
      <c r="J932" s="2" t="s">
        <v>4696</v>
      </c>
      <c r="K932" s="2" t="s">
        <v>4696</v>
      </c>
      <c r="L932" s="2" t="s">
        <v>4696</v>
      </c>
      <c r="M932" s="2" t="s">
        <v>2</v>
      </c>
      <c r="N932" s="2"/>
      <c r="O932" s="2"/>
      <c r="P932" s="2"/>
      <c r="Q932" s="2"/>
    </row>
    <row r="933" spans="1:17" x14ac:dyDescent="0.3">
      <c r="A933" s="2">
        <v>2064</v>
      </c>
      <c r="B933" s="2" t="s">
        <v>2573</v>
      </c>
      <c r="C933" s="2" t="s">
        <v>2574</v>
      </c>
      <c r="D933" s="2" t="s">
        <v>6031</v>
      </c>
      <c r="E933" s="2" t="s">
        <v>2575</v>
      </c>
      <c r="F933" s="2" t="s">
        <v>41</v>
      </c>
      <c r="G933" s="2" t="s">
        <v>4802</v>
      </c>
      <c r="H933" s="2" t="s">
        <v>431</v>
      </c>
      <c r="I933" s="2" t="s">
        <v>4729</v>
      </c>
      <c r="J933" s="2" t="s">
        <v>4696</v>
      </c>
      <c r="K933" s="2" t="s">
        <v>4696</v>
      </c>
      <c r="L933" s="2" t="s">
        <v>4696</v>
      </c>
      <c r="M933" s="2" t="s">
        <v>2</v>
      </c>
      <c r="N933" s="2"/>
      <c r="O933" s="2"/>
      <c r="P933" s="2"/>
      <c r="Q933" s="2"/>
    </row>
    <row r="934" spans="1:17" x14ac:dyDescent="0.3">
      <c r="A934" s="2">
        <v>2066</v>
      </c>
      <c r="B934" s="2" t="s">
        <v>2576</v>
      </c>
      <c r="C934" s="2" t="s">
        <v>2577</v>
      </c>
      <c r="D934" s="2" t="s">
        <v>6001</v>
      </c>
      <c r="E934" s="2" t="s">
        <v>2578</v>
      </c>
      <c r="F934" s="2" t="s">
        <v>2</v>
      </c>
      <c r="G934" s="2" t="s">
        <v>4803</v>
      </c>
      <c r="H934" s="2" t="s">
        <v>2579</v>
      </c>
      <c r="I934" s="2" t="s">
        <v>4723</v>
      </c>
      <c r="J934" s="2" t="s">
        <v>4696</v>
      </c>
      <c r="K934" s="2" t="s">
        <v>4696</v>
      </c>
      <c r="L934" s="2" t="s">
        <v>4696</v>
      </c>
      <c r="M934" s="2" t="s">
        <v>4696</v>
      </c>
      <c r="N934" s="2"/>
      <c r="O934" s="2"/>
      <c r="P934" s="2"/>
      <c r="Q934" s="2"/>
    </row>
    <row r="935" spans="1:17" x14ac:dyDescent="0.3">
      <c r="A935" s="2">
        <v>2067</v>
      </c>
      <c r="B935" s="2" t="s">
        <v>2580</v>
      </c>
      <c r="C935" s="2" t="s">
        <v>2581</v>
      </c>
      <c r="D935" s="2" t="s">
        <v>6001</v>
      </c>
      <c r="E935" s="2" t="s">
        <v>2582</v>
      </c>
      <c r="F935" s="2" t="s">
        <v>41</v>
      </c>
      <c r="G935" s="2" t="s">
        <v>4804</v>
      </c>
      <c r="H935" s="2" t="s">
        <v>574</v>
      </c>
      <c r="I935" s="2" t="s">
        <v>4732</v>
      </c>
      <c r="J935" s="2" t="s">
        <v>4696</v>
      </c>
      <c r="K935" s="2" t="s">
        <v>4696</v>
      </c>
      <c r="L935" s="2" t="s">
        <v>4696</v>
      </c>
      <c r="M935" s="2" t="s">
        <v>4696</v>
      </c>
      <c r="N935" s="2"/>
      <c r="O935" s="2"/>
      <c r="P935" s="2"/>
      <c r="Q935" s="2"/>
    </row>
    <row r="936" spans="1:17" x14ac:dyDescent="0.3">
      <c r="A936" s="2">
        <v>2221</v>
      </c>
      <c r="B936" s="2" t="s">
        <v>2583</v>
      </c>
      <c r="C936" s="2" t="s">
        <v>2584</v>
      </c>
      <c r="D936" s="2" t="s">
        <v>6004</v>
      </c>
      <c r="E936" s="2" t="s">
        <v>6448</v>
      </c>
      <c r="F936" s="2" t="s">
        <v>2</v>
      </c>
      <c r="G936" s="2" t="s">
        <v>4805</v>
      </c>
      <c r="H936" s="2" t="s">
        <v>451</v>
      </c>
      <c r="I936" s="2" t="s">
        <v>4751</v>
      </c>
      <c r="J936" s="2" t="s">
        <v>4696</v>
      </c>
      <c r="K936" s="2" t="s">
        <v>4696</v>
      </c>
      <c r="L936" s="2" t="s">
        <v>4696</v>
      </c>
      <c r="M936" s="2" t="s">
        <v>2</v>
      </c>
      <c r="N936" s="2"/>
      <c r="O936" s="2"/>
      <c r="P936" s="2"/>
      <c r="Q936" s="2"/>
    </row>
    <row r="937" spans="1:17" x14ac:dyDescent="0.3">
      <c r="A937" s="2">
        <v>2230</v>
      </c>
      <c r="B937" s="2" t="s">
        <v>2585</v>
      </c>
      <c r="C937" s="2" t="s">
        <v>2586</v>
      </c>
      <c r="D937" s="2" t="s">
        <v>6004</v>
      </c>
      <c r="E937" s="2" t="s">
        <v>2587</v>
      </c>
      <c r="F937" s="2" t="s">
        <v>41</v>
      </c>
      <c r="G937" s="2" t="s">
        <v>4806</v>
      </c>
      <c r="H937" s="2" t="s">
        <v>996</v>
      </c>
      <c r="I937" s="2" t="s">
        <v>4745</v>
      </c>
      <c r="J937" s="2" t="s">
        <v>4696</v>
      </c>
      <c r="K937" s="2" t="s">
        <v>4696</v>
      </c>
      <c r="L937" s="2" t="s">
        <v>4696</v>
      </c>
      <c r="M937" s="2" t="s">
        <v>2</v>
      </c>
      <c r="N937" s="2"/>
      <c r="O937" s="2"/>
      <c r="P937" s="2"/>
      <c r="Q937" s="2"/>
    </row>
    <row r="938" spans="1:17" x14ac:dyDescent="0.3">
      <c r="A938" s="2">
        <v>2233</v>
      </c>
      <c r="B938" s="2" t="s">
        <v>116</v>
      </c>
      <c r="C938" s="2" t="s">
        <v>2588</v>
      </c>
      <c r="D938" s="2" t="s">
        <v>6021</v>
      </c>
      <c r="E938" s="2" t="s">
        <v>2589</v>
      </c>
      <c r="F938" s="2" t="s">
        <v>41</v>
      </c>
      <c r="G938" s="2" t="s">
        <v>4807</v>
      </c>
      <c r="H938" s="2" t="s">
        <v>404</v>
      </c>
      <c r="I938" s="2" t="s">
        <v>4700</v>
      </c>
      <c r="J938" s="2" t="s">
        <v>4696</v>
      </c>
      <c r="K938" s="2" t="s">
        <v>4696</v>
      </c>
      <c r="L938" s="2" t="s">
        <v>4696</v>
      </c>
      <c r="M938" s="2" t="s">
        <v>2</v>
      </c>
      <c r="N938" s="2"/>
      <c r="O938" s="2"/>
      <c r="P938" s="2"/>
      <c r="Q938" s="2"/>
    </row>
    <row r="939" spans="1:17" x14ac:dyDescent="0.3">
      <c r="A939" s="2">
        <v>2235</v>
      </c>
      <c r="B939" s="2" t="s">
        <v>2590</v>
      </c>
      <c r="C939" s="2" t="s">
        <v>2591</v>
      </c>
      <c r="D939" s="2" t="s">
        <v>6021</v>
      </c>
      <c r="E939" s="2" t="s">
        <v>6449</v>
      </c>
      <c r="F939" s="2" t="s">
        <v>2</v>
      </c>
      <c r="G939" s="2" t="s">
        <v>4808</v>
      </c>
      <c r="H939" s="2" t="s">
        <v>2592</v>
      </c>
      <c r="I939" s="2" t="s">
        <v>4809</v>
      </c>
      <c r="J939" s="2" t="s">
        <v>4696</v>
      </c>
      <c r="K939" s="2" t="s">
        <v>4696</v>
      </c>
      <c r="L939" s="2" t="s">
        <v>4696</v>
      </c>
      <c r="M939" s="2" t="s">
        <v>2</v>
      </c>
      <c r="N939" s="2"/>
      <c r="O939" s="2"/>
      <c r="P939" s="2"/>
      <c r="Q939" s="2"/>
    </row>
    <row r="940" spans="1:17" x14ac:dyDescent="0.3">
      <c r="A940" s="2">
        <v>2596</v>
      </c>
      <c r="B940" s="2" t="s">
        <v>2593</v>
      </c>
      <c r="C940" s="2" t="s">
        <v>2594</v>
      </c>
      <c r="D940" s="2" t="s">
        <v>6010</v>
      </c>
      <c r="E940" s="2" t="s">
        <v>2595</v>
      </c>
      <c r="F940" s="2" t="s">
        <v>2</v>
      </c>
      <c r="G940" s="2" t="s">
        <v>4810</v>
      </c>
      <c r="H940" s="2" t="s">
        <v>640</v>
      </c>
      <c r="I940" s="2" t="s">
        <v>6450</v>
      </c>
      <c r="J940" s="2" t="s">
        <v>4696</v>
      </c>
      <c r="K940" s="2" t="s">
        <v>4696</v>
      </c>
      <c r="L940" s="2" t="s">
        <v>4696</v>
      </c>
      <c r="M940" s="2" t="s">
        <v>2</v>
      </c>
      <c r="N940" s="2"/>
      <c r="O940" s="2"/>
      <c r="P940" s="2"/>
      <c r="Q940" s="2"/>
    </row>
    <row r="941" spans="1:17" x14ac:dyDescent="0.3">
      <c r="A941" s="2">
        <v>2636</v>
      </c>
      <c r="B941" s="2" t="s">
        <v>2596</v>
      </c>
      <c r="C941" s="2" t="s">
        <v>2597</v>
      </c>
      <c r="D941" s="2" t="s">
        <v>6037</v>
      </c>
      <c r="E941" s="2" t="s">
        <v>6451</v>
      </c>
      <c r="F941" s="2" t="s">
        <v>41</v>
      </c>
      <c r="G941" s="2">
        <v>27532093</v>
      </c>
      <c r="H941" s="2" t="s">
        <v>1926</v>
      </c>
      <c r="I941" s="2" t="s">
        <v>4811</v>
      </c>
      <c r="J941" s="2" t="s">
        <v>4696</v>
      </c>
      <c r="K941" s="2" t="s">
        <v>4696</v>
      </c>
      <c r="L941" s="2" t="s">
        <v>4696</v>
      </c>
      <c r="M941" s="2" t="s">
        <v>2</v>
      </c>
      <c r="N941" s="2"/>
      <c r="O941" s="2"/>
      <c r="P941" s="2"/>
      <c r="Q941" s="2"/>
    </row>
    <row r="942" spans="1:17" x14ac:dyDescent="0.3">
      <c r="A942" s="2">
        <v>2640</v>
      </c>
      <c r="B942" s="2" t="s">
        <v>2598</v>
      </c>
      <c r="C942" s="2" t="s">
        <v>6452</v>
      </c>
      <c r="D942" s="2" t="s">
        <v>6004</v>
      </c>
      <c r="E942" s="2" t="s">
        <v>2599</v>
      </c>
      <c r="F942" s="2" t="s">
        <v>2</v>
      </c>
      <c r="G942" s="2" t="s">
        <v>4812</v>
      </c>
      <c r="H942" s="2" t="s">
        <v>431</v>
      </c>
      <c r="I942" s="2" t="s">
        <v>4729</v>
      </c>
      <c r="J942" s="2" t="s">
        <v>4696</v>
      </c>
      <c r="K942" s="2" t="s">
        <v>4696</v>
      </c>
      <c r="L942" s="2" t="s">
        <v>4696</v>
      </c>
      <c r="M942" s="2" t="s">
        <v>4696</v>
      </c>
      <c r="N942" s="2"/>
      <c r="O942" s="2"/>
      <c r="P942" s="2"/>
      <c r="Q942" s="2"/>
    </row>
    <row r="943" spans="1:17" x14ac:dyDescent="0.3">
      <c r="A943" s="2">
        <v>2641</v>
      </c>
      <c r="B943" s="2" t="s">
        <v>2600</v>
      </c>
      <c r="C943" s="2" t="s">
        <v>2601</v>
      </c>
      <c r="D943" s="2" t="s">
        <v>6007</v>
      </c>
      <c r="E943" s="2" t="s">
        <v>6453</v>
      </c>
      <c r="F943" s="2" t="s">
        <v>2</v>
      </c>
      <c r="G943" s="2" t="s">
        <v>4813</v>
      </c>
      <c r="H943" s="2" t="s">
        <v>2774</v>
      </c>
      <c r="I943" s="2" t="s">
        <v>6454</v>
      </c>
      <c r="J943" s="2" t="s">
        <v>4696</v>
      </c>
      <c r="K943" s="2" t="s">
        <v>4696</v>
      </c>
      <c r="L943" s="2" t="s">
        <v>4696</v>
      </c>
      <c r="M943" s="2" t="s">
        <v>2</v>
      </c>
      <c r="N943" s="2"/>
      <c r="O943" s="2"/>
      <c r="P943" s="2"/>
      <c r="Q943" s="2"/>
    </row>
    <row r="944" spans="1:17" x14ac:dyDescent="0.3">
      <c r="A944" s="2">
        <v>2643</v>
      </c>
      <c r="B944" s="2" t="s">
        <v>4124</v>
      </c>
      <c r="C944" s="2" t="s">
        <v>4125</v>
      </c>
      <c r="D944" s="2" t="s">
        <v>6015</v>
      </c>
      <c r="E944" s="2" t="s">
        <v>6455</v>
      </c>
      <c r="F944" s="2" t="s">
        <v>2</v>
      </c>
      <c r="G944" s="2" t="s">
        <v>5410</v>
      </c>
      <c r="H944" s="2" t="s">
        <v>404</v>
      </c>
      <c r="I944" s="2" t="s">
        <v>4697</v>
      </c>
      <c r="J944" s="2" t="s">
        <v>6456</v>
      </c>
      <c r="K944" s="2" t="s">
        <v>4690</v>
      </c>
      <c r="L944" s="2" t="s">
        <v>4691</v>
      </c>
      <c r="M944" s="2" t="s">
        <v>4692</v>
      </c>
      <c r="N944" s="2"/>
      <c r="O944" s="2"/>
      <c r="P944" s="2"/>
      <c r="Q944" s="2"/>
    </row>
    <row r="945" spans="1:17" x14ac:dyDescent="0.3">
      <c r="A945" s="2">
        <v>2718</v>
      </c>
      <c r="B945" s="2" t="s">
        <v>6457</v>
      </c>
      <c r="C945" s="2" t="s">
        <v>6458</v>
      </c>
      <c r="D945" s="2" t="s">
        <v>6025</v>
      </c>
      <c r="E945" s="2" t="s">
        <v>6459</v>
      </c>
      <c r="F945" s="2" t="s">
        <v>2</v>
      </c>
      <c r="G945" s="2" t="s">
        <v>4814</v>
      </c>
      <c r="H945" s="2" t="s">
        <v>631</v>
      </c>
      <c r="I945" s="2" t="s">
        <v>4718</v>
      </c>
      <c r="J945" s="2" t="s">
        <v>4696</v>
      </c>
      <c r="K945" s="2" t="s">
        <v>4696</v>
      </c>
      <c r="L945" s="2" t="s">
        <v>4696</v>
      </c>
      <c r="M945" s="2" t="s">
        <v>2</v>
      </c>
      <c r="N945" s="2"/>
      <c r="O945" s="2"/>
      <c r="P945" s="2"/>
      <c r="Q945" s="2"/>
    </row>
    <row r="946" spans="1:17" x14ac:dyDescent="0.3">
      <c r="A946" s="2">
        <v>2719</v>
      </c>
      <c r="B946" s="2" t="s">
        <v>2602</v>
      </c>
      <c r="C946" s="2" t="s">
        <v>2603</v>
      </c>
      <c r="D946" s="2" t="s">
        <v>6021</v>
      </c>
      <c r="E946" s="2" t="s">
        <v>1272</v>
      </c>
      <c r="F946" s="2" t="s">
        <v>2</v>
      </c>
      <c r="G946" s="2" t="s">
        <v>4815</v>
      </c>
      <c r="H946" s="2" t="s">
        <v>6006</v>
      </c>
      <c r="I946" s="2" t="s">
        <v>4708</v>
      </c>
      <c r="J946" s="2" t="s">
        <v>4696</v>
      </c>
      <c r="K946" s="2" t="s">
        <v>4696</v>
      </c>
      <c r="L946" s="2" t="s">
        <v>4696</v>
      </c>
      <c r="M946" s="2" t="s">
        <v>4696</v>
      </c>
      <c r="N946" s="2"/>
      <c r="O946" s="2"/>
      <c r="P946" s="2"/>
      <c r="Q946" s="2"/>
    </row>
    <row r="947" spans="1:17" x14ac:dyDescent="0.3">
      <c r="A947" s="2">
        <v>2724</v>
      </c>
      <c r="B947" s="2" t="s">
        <v>2604</v>
      </c>
      <c r="C947" s="2" t="s">
        <v>2605</v>
      </c>
      <c r="D947" s="2" t="s">
        <v>6001</v>
      </c>
      <c r="E947" s="2" t="s">
        <v>6460</v>
      </c>
      <c r="F947" s="2" t="s">
        <v>2</v>
      </c>
      <c r="G947" s="2" t="s">
        <v>4816</v>
      </c>
      <c r="H947" s="2" t="s">
        <v>896</v>
      </c>
      <c r="I947" s="2" t="s">
        <v>4748</v>
      </c>
      <c r="J947" s="2" t="s">
        <v>4696</v>
      </c>
      <c r="K947" s="2" t="s">
        <v>4696</v>
      </c>
      <c r="L947" s="2" t="s">
        <v>4696</v>
      </c>
      <c r="M947" s="2" t="s">
        <v>2</v>
      </c>
      <c r="N947" s="2"/>
      <c r="O947" s="2"/>
      <c r="P947" s="2"/>
      <c r="Q947" s="2"/>
    </row>
    <row r="948" spans="1:17" x14ac:dyDescent="0.3">
      <c r="A948" s="2">
        <v>2726</v>
      </c>
      <c r="B948" s="2" t="s">
        <v>162</v>
      </c>
      <c r="C948" s="2" t="s">
        <v>2606</v>
      </c>
      <c r="D948" s="2" t="s">
        <v>6002</v>
      </c>
      <c r="E948" s="2" t="s">
        <v>2673</v>
      </c>
      <c r="F948" s="2" t="s">
        <v>41</v>
      </c>
      <c r="G948" s="2">
        <v>862152163499</v>
      </c>
      <c r="H948" s="2" t="s">
        <v>1291</v>
      </c>
      <c r="I948" s="2" t="s">
        <v>4697</v>
      </c>
      <c r="J948" s="2" t="s">
        <v>4696</v>
      </c>
      <c r="K948" s="2" t="s">
        <v>4696</v>
      </c>
      <c r="L948" s="2" t="s">
        <v>4696</v>
      </c>
      <c r="M948" s="2" t="s">
        <v>2</v>
      </c>
      <c r="N948" s="2"/>
      <c r="O948" s="2"/>
      <c r="P948" s="2"/>
      <c r="Q948" s="2"/>
    </row>
    <row r="949" spans="1:17" x14ac:dyDescent="0.3">
      <c r="A949" s="2">
        <v>2729</v>
      </c>
      <c r="B949" s="2" t="s">
        <v>2607</v>
      </c>
      <c r="C949" s="2" t="s">
        <v>2608</v>
      </c>
      <c r="D949" s="2" t="s">
        <v>6000</v>
      </c>
      <c r="E949" s="2" t="s">
        <v>6461</v>
      </c>
      <c r="F949" s="2" t="s">
        <v>2</v>
      </c>
      <c r="G949" s="2" t="s">
        <v>4817</v>
      </c>
      <c r="H949" s="2" t="s">
        <v>431</v>
      </c>
      <c r="I949" s="2" t="s">
        <v>4693</v>
      </c>
      <c r="J949" s="2" t="s">
        <v>4696</v>
      </c>
      <c r="K949" s="2" t="s">
        <v>4696</v>
      </c>
      <c r="L949" s="2" t="s">
        <v>4696</v>
      </c>
      <c r="M949" s="2" t="s">
        <v>4696</v>
      </c>
      <c r="N949" s="2"/>
      <c r="O949" s="2"/>
      <c r="P949" s="2"/>
      <c r="Q949" s="2"/>
    </row>
    <row r="950" spans="1:17" x14ac:dyDescent="0.3">
      <c r="A950" s="2">
        <v>2732</v>
      </c>
      <c r="B950" s="2" t="s">
        <v>2609</v>
      </c>
      <c r="C950" s="2" t="s">
        <v>2610</v>
      </c>
      <c r="D950" s="2" t="s">
        <v>6037</v>
      </c>
      <c r="E950" s="2" t="s">
        <v>6462</v>
      </c>
      <c r="F950" s="2" t="s">
        <v>41</v>
      </c>
      <c r="G950" s="2" t="s">
        <v>4818</v>
      </c>
      <c r="H950" s="2" t="s">
        <v>505</v>
      </c>
      <c r="I950" s="2" t="s">
        <v>4712</v>
      </c>
      <c r="J950" s="2" t="s">
        <v>4696</v>
      </c>
      <c r="K950" s="2" t="s">
        <v>4696</v>
      </c>
      <c r="L950" s="2" t="s">
        <v>4696</v>
      </c>
      <c r="M950" s="2" t="s">
        <v>2</v>
      </c>
      <c r="N950" s="2"/>
      <c r="O950" s="2"/>
      <c r="P950" s="2"/>
      <c r="Q950" s="2"/>
    </row>
    <row r="951" spans="1:17" x14ac:dyDescent="0.3">
      <c r="A951" s="2">
        <v>2734</v>
      </c>
      <c r="B951" s="2" t="s">
        <v>2611</v>
      </c>
      <c r="C951" s="2" t="s">
        <v>2612</v>
      </c>
      <c r="D951" s="2" t="s">
        <v>5999</v>
      </c>
      <c r="E951" s="2" t="s">
        <v>6463</v>
      </c>
      <c r="F951" s="2" t="s">
        <v>41</v>
      </c>
      <c r="G951" s="2" t="s">
        <v>4819</v>
      </c>
      <c r="H951" s="2" t="s">
        <v>554</v>
      </c>
      <c r="I951" s="2" t="s">
        <v>4697</v>
      </c>
      <c r="J951" s="2" t="s">
        <v>4696</v>
      </c>
      <c r="K951" s="2" t="s">
        <v>4696</v>
      </c>
      <c r="L951" s="2" t="s">
        <v>4696</v>
      </c>
      <c r="M951" s="2" t="s">
        <v>4696</v>
      </c>
      <c r="N951" s="2"/>
      <c r="O951" s="2"/>
      <c r="P951" s="2"/>
      <c r="Q951" s="2"/>
    </row>
    <row r="952" spans="1:17" x14ac:dyDescent="0.3">
      <c r="A952" s="2">
        <v>2736</v>
      </c>
      <c r="B952" s="2" t="s">
        <v>4134</v>
      </c>
      <c r="C952" s="2" t="s">
        <v>4135</v>
      </c>
      <c r="D952" s="2" t="s">
        <v>6037</v>
      </c>
      <c r="E952" s="2" t="s">
        <v>4136</v>
      </c>
      <c r="F952" s="2" t="s">
        <v>41</v>
      </c>
      <c r="G952" s="2" t="s">
        <v>5411</v>
      </c>
      <c r="H952" s="2" t="s">
        <v>1587</v>
      </c>
      <c r="I952" s="2" t="s">
        <v>4722</v>
      </c>
      <c r="J952" s="2" t="s">
        <v>6464</v>
      </c>
      <c r="K952" s="2" t="s">
        <v>4690</v>
      </c>
      <c r="L952" s="2" t="s">
        <v>4691</v>
      </c>
      <c r="M952" s="2" t="s">
        <v>4692</v>
      </c>
      <c r="N952" s="2"/>
      <c r="O952" s="2"/>
      <c r="P952" s="2"/>
      <c r="Q952" s="2"/>
    </row>
    <row r="953" spans="1:17" x14ac:dyDescent="0.3">
      <c r="A953" s="2">
        <v>2740</v>
      </c>
      <c r="B953" s="2" t="s">
        <v>4140</v>
      </c>
      <c r="C953" s="2" t="s">
        <v>4141</v>
      </c>
      <c r="D953" s="2" t="s">
        <v>6007</v>
      </c>
      <c r="E953" s="2" t="s">
        <v>4142</v>
      </c>
      <c r="F953" s="2" t="s">
        <v>2</v>
      </c>
      <c r="G953" s="2" t="s">
        <v>5412</v>
      </c>
      <c r="H953" s="2" t="s">
        <v>465</v>
      </c>
      <c r="I953" s="2" t="s">
        <v>4712</v>
      </c>
      <c r="J953" s="2" t="s">
        <v>4696</v>
      </c>
      <c r="K953" s="2" t="s">
        <v>4696</v>
      </c>
      <c r="L953" s="2" t="s">
        <v>4696</v>
      </c>
      <c r="M953" s="2" t="s">
        <v>4696</v>
      </c>
      <c r="N953" s="2"/>
      <c r="O953" s="2"/>
      <c r="P953" s="2"/>
      <c r="Q953" s="2"/>
    </row>
    <row r="954" spans="1:17" x14ac:dyDescent="0.3">
      <c r="A954" s="2">
        <v>2916</v>
      </c>
      <c r="B954" s="2" t="s">
        <v>2613</v>
      </c>
      <c r="C954" s="2" t="s">
        <v>2614</v>
      </c>
      <c r="D954" s="2" t="s">
        <v>6024</v>
      </c>
      <c r="E954" s="2" t="s">
        <v>2615</v>
      </c>
      <c r="F954" s="2" t="s">
        <v>41</v>
      </c>
      <c r="G954" s="2" t="s">
        <v>4820</v>
      </c>
      <c r="H954" s="2" t="s">
        <v>791</v>
      </c>
      <c r="I954" s="2" t="s">
        <v>6465</v>
      </c>
      <c r="J954" s="2" t="s">
        <v>4696</v>
      </c>
      <c r="K954" s="2" t="s">
        <v>4696</v>
      </c>
      <c r="L954" s="2" t="s">
        <v>4696</v>
      </c>
      <c r="M954" s="2" t="s">
        <v>2</v>
      </c>
      <c r="N954" s="2"/>
      <c r="O954" s="2"/>
      <c r="P954" s="2"/>
      <c r="Q954" s="2"/>
    </row>
    <row r="955" spans="1:17" x14ac:dyDescent="0.3">
      <c r="A955" s="2">
        <v>2924</v>
      </c>
      <c r="B955" s="2" t="s">
        <v>2616</v>
      </c>
      <c r="C955" s="2" t="s">
        <v>6466</v>
      </c>
      <c r="D955" s="2" t="s">
        <v>6028</v>
      </c>
      <c r="E955" s="2" t="s">
        <v>2617</v>
      </c>
      <c r="F955" s="2" t="s">
        <v>2</v>
      </c>
      <c r="G955" s="2" t="s">
        <v>4821</v>
      </c>
      <c r="H955" s="2" t="s">
        <v>415</v>
      </c>
      <c r="I955" s="2" t="s">
        <v>4724</v>
      </c>
      <c r="J955" s="2" t="s">
        <v>4696</v>
      </c>
      <c r="K955" s="2" t="s">
        <v>4696</v>
      </c>
      <c r="L955" s="2" t="s">
        <v>4696</v>
      </c>
      <c r="M955" s="2" t="s">
        <v>4696</v>
      </c>
      <c r="N955" s="2"/>
      <c r="O955" s="2"/>
      <c r="P955" s="2"/>
      <c r="Q955" s="2"/>
    </row>
    <row r="956" spans="1:17" x14ac:dyDescent="0.3">
      <c r="A956" s="2">
        <v>2926</v>
      </c>
      <c r="B956" s="2" t="s">
        <v>2618</v>
      </c>
      <c r="C956" s="2" t="s">
        <v>2619</v>
      </c>
      <c r="D956" s="2" t="s">
        <v>6000</v>
      </c>
      <c r="E956" s="2" t="s">
        <v>6467</v>
      </c>
      <c r="F956" s="2" t="s">
        <v>2</v>
      </c>
      <c r="G956" s="2" t="s">
        <v>4822</v>
      </c>
      <c r="H956" s="2" t="s">
        <v>582</v>
      </c>
      <c r="I956" s="2" t="s">
        <v>4725</v>
      </c>
      <c r="J956" s="2" t="s">
        <v>4696</v>
      </c>
      <c r="K956" s="2" t="s">
        <v>4696</v>
      </c>
      <c r="L956" s="2" t="s">
        <v>4696</v>
      </c>
      <c r="M956" s="2" t="s">
        <v>4696</v>
      </c>
      <c r="N956" s="2"/>
      <c r="O956" s="2"/>
      <c r="P956" s="2"/>
      <c r="Q956" s="2"/>
    </row>
    <row r="957" spans="1:17" x14ac:dyDescent="0.3">
      <c r="A957" s="2">
        <v>2928</v>
      </c>
      <c r="B957" s="2" t="s">
        <v>6468</v>
      </c>
      <c r="C957" s="2" t="s">
        <v>6469</v>
      </c>
      <c r="D957" s="2" t="s">
        <v>6042</v>
      </c>
      <c r="E957" s="2" t="s">
        <v>6470</v>
      </c>
      <c r="F957" s="2" t="s">
        <v>2</v>
      </c>
      <c r="G957" s="2" t="s">
        <v>6471</v>
      </c>
      <c r="H957" s="2" t="s">
        <v>465</v>
      </c>
      <c r="I957" s="2" t="s">
        <v>6472</v>
      </c>
      <c r="J957" s="2" t="s">
        <v>6473</v>
      </c>
      <c r="K957" s="2" t="s">
        <v>4690</v>
      </c>
      <c r="L957" s="2" t="s">
        <v>4691</v>
      </c>
      <c r="M957" s="2" t="s">
        <v>4696</v>
      </c>
      <c r="N957" s="2"/>
      <c r="O957" s="2"/>
      <c r="P957" s="2"/>
      <c r="Q957" s="2"/>
    </row>
    <row r="958" spans="1:17" x14ac:dyDescent="0.3">
      <c r="A958" s="2">
        <v>3064</v>
      </c>
      <c r="B958" s="2" t="s">
        <v>2620</v>
      </c>
      <c r="C958" s="2" t="s">
        <v>2621</v>
      </c>
      <c r="D958" s="2" t="s">
        <v>6002</v>
      </c>
      <c r="E958" s="2" t="s">
        <v>2622</v>
      </c>
      <c r="F958" s="2" t="s">
        <v>2</v>
      </c>
      <c r="G958" s="2" t="s">
        <v>4823</v>
      </c>
      <c r="H958" s="2" t="s">
        <v>653</v>
      </c>
      <c r="I958" s="2" t="s">
        <v>34</v>
      </c>
      <c r="J958" s="2" t="s">
        <v>4696</v>
      </c>
      <c r="K958" s="2" t="s">
        <v>4696</v>
      </c>
      <c r="L958" s="2" t="s">
        <v>4696</v>
      </c>
      <c r="M958" s="2" t="s">
        <v>4696</v>
      </c>
      <c r="N958" s="2"/>
      <c r="O958" s="2"/>
      <c r="P958" s="2"/>
      <c r="Q958" s="2"/>
    </row>
    <row r="959" spans="1:17" x14ac:dyDescent="0.3">
      <c r="A959" s="2">
        <v>3066</v>
      </c>
      <c r="B959" s="2" t="s">
        <v>2623</v>
      </c>
      <c r="C959" s="2" t="s">
        <v>2624</v>
      </c>
      <c r="D959" s="2" t="s">
        <v>6021</v>
      </c>
      <c r="E959" s="2" t="s">
        <v>6474</v>
      </c>
      <c r="F959" s="2" t="s">
        <v>41</v>
      </c>
      <c r="G959" s="2" t="s">
        <v>6475</v>
      </c>
      <c r="H959" s="2" t="s">
        <v>2625</v>
      </c>
      <c r="I959" s="2" t="s">
        <v>4702</v>
      </c>
      <c r="J959" s="2" t="s">
        <v>4696</v>
      </c>
      <c r="K959" s="2" t="s">
        <v>4696</v>
      </c>
      <c r="L959" s="2" t="s">
        <v>4696</v>
      </c>
      <c r="M959" s="2" t="s">
        <v>2</v>
      </c>
      <c r="N959" s="2"/>
      <c r="O959" s="2"/>
      <c r="P959" s="2"/>
      <c r="Q959" s="2"/>
    </row>
    <row r="960" spans="1:17" x14ac:dyDescent="0.3">
      <c r="A960" s="2">
        <v>3067</v>
      </c>
      <c r="B960" s="2" t="s">
        <v>2626</v>
      </c>
      <c r="C960" s="2" t="s">
        <v>2627</v>
      </c>
      <c r="D960" s="2" t="s">
        <v>6020</v>
      </c>
      <c r="E960" s="2" t="s">
        <v>2628</v>
      </c>
      <c r="F960" s="2" t="s">
        <v>2</v>
      </c>
      <c r="G960" s="2" t="s">
        <v>4824</v>
      </c>
      <c r="H960" s="2" t="s">
        <v>6476</v>
      </c>
      <c r="I960" s="2" t="s">
        <v>4708</v>
      </c>
      <c r="J960" s="2" t="s">
        <v>4696</v>
      </c>
      <c r="K960" s="2" t="s">
        <v>4696</v>
      </c>
      <c r="L960" s="2" t="s">
        <v>4696</v>
      </c>
      <c r="M960" s="2" t="s">
        <v>2</v>
      </c>
      <c r="N960" s="2"/>
      <c r="O960" s="2"/>
      <c r="P960" s="2"/>
      <c r="Q960" s="2"/>
    </row>
    <row r="961" spans="1:17" x14ac:dyDescent="0.3">
      <c r="A961" s="2">
        <v>3068</v>
      </c>
      <c r="B961" s="2" t="s">
        <v>2629</v>
      </c>
      <c r="C961" s="2" t="s">
        <v>6477</v>
      </c>
      <c r="D961" s="2" t="s">
        <v>6025</v>
      </c>
      <c r="E961" s="2" t="s">
        <v>6478</v>
      </c>
      <c r="F961" s="2" t="s">
        <v>41</v>
      </c>
      <c r="G961" s="2" t="s">
        <v>6479</v>
      </c>
      <c r="H961" s="2" t="s">
        <v>640</v>
      </c>
      <c r="I961" s="2" t="s">
        <v>6480</v>
      </c>
      <c r="J961" s="2" t="s">
        <v>4696</v>
      </c>
      <c r="K961" s="2" t="s">
        <v>4696</v>
      </c>
      <c r="L961" s="2" t="s">
        <v>4696</v>
      </c>
      <c r="M961" s="2" t="s">
        <v>2</v>
      </c>
      <c r="N961" s="2"/>
      <c r="O961" s="2"/>
      <c r="P961" s="2"/>
      <c r="Q961" s="2"/>
    </row>
    <row r="962" spans="1:17" x14ac:dyDescent="0.3">
      <c r="A962" s="2">
        <v>3071</v>
      </c>
      <c r="B962" s="2" t="s">
        <v>2630</v>
      </c>
      <c r="C962" s="2" t="s">
        <v>2631</v>
      </c>
      <c r="D962" s="2" t="s">
        <v>5999</v>
      </c>
      <c r="E962" s="2" t="s">
        <v>2632</v>
      </c>
      <c r="F962" s="2" t="s">
        <v>2</v>
      </c>
      <c r="G962" s="2" t="s">
        <v>4825</v>
      </c>
      <c r="H962" s="2" t="s">
        <v>469</v>
      </c>
      <c r="I962" s="2" t="s">
        <v>4</v>
      </c>
      <c r="J962" s="2" t="s">
        <v>4696</v>
      </c>
      <c r="K962" s="2" t="s">
        <v>4696</v>
      </c>
      <c r="L962" s="2" t="s">
        <v>4696</v>
      </c>
      <c r="M962" s="2" t="s">
        <v>4696</v>
      </c>
      <c r="N962" s="2"/>
      <c r="O962" s="2"/>
      <c r="P962" s="2"/>
      <c r="Q962" s="2"/>
    </row>
    <row r="963" spans="1:17" x14ac:dyDescent="0.3">
      <c r="A963" s="2">
        <v>3073</v>
      </c>
      <c r="B963" s="2" t="s">
        <v>2633</v>
      </c>
      <c r="C963" s="2" t="s">
        <v>6481</v>
      </c>
      <c r="D963" s="2" t="s">
        <v>5999</v>
      </c>
      <c r="E963" s="2" t="s">
        <v>2634</v>
      </c>
      <c r="F963" s="2" t="s">
        <v>41</v>
      </c>
      <c r="G963" s="2">
        <v>25322589</v>
      </c>
      <c r="H963" s="2" t="s">
        <v>2635</v>
      </c>
      <c r="I963" s="2" t="s">
        <v>4758</v>
      </c>
      <c r="J963" s="2" t="s">
        <v>4696</v>
      </c>
      <c r="K963" s="2" t="s">
        <v>4696</v>
      </c>
      <c r="L963" s="2" t="s">
        <v>4696</v>
      </c>
      <c r="M963" s="2" t="s">
        <v>4696</v>
      </c>
      <c r="N963" s="2"/>
      <c r="O963" s="2"/>
      <c r="P963" s="2"/>
      <c r="Q963" s="2"/>
    </row>
    <row r="964" spans="1:17" x14ac:dyDescent="0.3">
      <c r="A964" s="2">
        <v>3078</v>
      </c>
      <c r="B964" s="2" t="s">
        <v>2636</v>
      </c>
      <c r="C964" s="2" t="s">
        <v>6482</v>
      </c>
      <c r="D964" s="2" t="s">
        <v>5999</v>
      </c>
      <c r="E964" s="2" t="s">
        <v>6483</v>
      </c>
      <c r="F964" s="2" t="s">
        <v>2</v>
      </c>
      <c r="G964" s="2" t="s">
        <v>4826</v>
      </c>
      <c r="H964" s="2" t="s">
        <v>2059</v>
      </c>
      <c r="I964" s="2" t="s">
        <v>4762</v>
      </c>
      <c r="J964" s="2" t="s">
        <v>6484</v>
      </c>
      <c r="K964" s="2" t="s">
        <v>4690</v>
      </c>
      <c r="L964" s="2" t="s">
        <v>4691</v>
      </c>
      <c r="M964" s="2" t="s">
        <v>4696</v>
      </c>
      <c r="N964" s="2"/>
      <c r="O964" s="2"/>
      <c r="P964" s="2"/>
      <c r="Q964" s="2"/>
    </row>
    <row r="965" spans="1:17" x14ac:dyDescent="0.3">
      <c r="A965" s="2">
        <v>3081</v>
      </c>
      <c r="B965" s="2" t="s">
        <v>4154</v>
      </c>
      <c r="C965" s="2" t="s">
        <v>4155</v>
      </c>
      <c r="D965" s="2" t="s">
        <v>6016</v>
      </c>
      <c r="E965" s="2" t="s">
        <v>4156</v>
      </c>
      <c r="F965" s="2" t="s">
        <v>2</v>
      </c>
      <c r="G965" s="2" t="s">
        <v>5413</v>
      </c>
      <c r="H965" s="2" t="s">
        <v>2283</v>
      </c>
      <c r="I965" s="2" t="s">
        <v>20</v>
      </c>
      <c r="J965" s="2" t="s">
        <v>6485</v>
      </c>
      <c r="K965" s="2" t="s">
        <v>4690</v>
      </c>
      <c r="L965" s="2" t="s">
        <v>4691</v>
      </c>
      <c r="M965" s="2" t="s">
        <v>4696</v>
      </c>
      <c r="N965" s="2"/>
      <c r="O965" s="2"/>
      <c r="P965" s="2"/>
      <c r="Q965" s="2"/>
    </row>
    <row r="966" spans="1:17" x14ac:dyDescent="0.3">
      <c r="A966" s="2">
        <v>3083</v>
      </c>
      <c r="B966" s="2" t="s">
        <v>2637</v>
      </c>
      <c r="C966" s="2" t="s">
        <v>2638</v>
      </c>
      <c r="D966" s="2" t="s">
        <v>6002</v>
      </c>
      <c r="E966" s="2" t="s">
        <v>6486</v>
      </c>
      <c r="F966" s="2" t="s">
        <v>41</v>
      </c>
      <c r="G966" s="2" t="s">
        <v>4827</v>
      </c>
      <c r="H966" s="2" t="s">
        <v>465</v>
      </c>
      <c r="I966" s="2" t="s">
        <v>4744</v>
      </c>
      <c r="J966" s="2" t="s">
        <v>4696</v>
      </c>
      <c r="K966" s="2" t="s">
        <v>4696</v>
      </c>
      <c r="L966" s="2" t="s">
        <v>4696</v>
      </c>
      <c r="M966" s="2" t="s">
        <v>2</v>
      </c>
      <c r="N966" s="2"/>
      <c r="O966" s="2"/>
      <c r="P966" s="2"/>
      <c r="Q966" s="2"/>
    </row>
    <row r="967" spans="1:17" x14ac:dyDescent="0.3">
      <c r="A967" s="2">
        <v>3085</v>
      </c>
      <c r="B967" s="2" t="s">
        <v>364</v>
      </c>
      <c r="C967" s="2" t="s">
        <v>2639</v>
      </c>
      <c r="D967" s="2" t="s">
        <v>6015</v>
      </c>
      <c r="E967" s="2" t="s">
        <v>2640</v>
      </c>
      <c r="F967" s="2" t="s">
        <v>41</v>
      </c>
      <c r="G967" s="2" t="s">
        <v>4828</v>
      </c>
      <c r="H967" s="2" t="s">
        <v>465</v>
      </c>
      <c r="I967" s="2" t="s">
        <v>6</v>
      </c>
      <c r="J967" s="2" t="s">
        <v>4696</v>
      </c>
      <c r="K967" s="2" t="s">
        <v>4696</v>
      </c>
      <c r="L967" s="2" t="s">
        <v>4696</v>
      </c>
      <c r="M967" s="2" t="s">
        <v>2</v>
      </c>
      <c r="N967" s="2"/>
      <c r="O967" s="2"/>
      <c r="P967" s="2"/>
      <c r="Q967" s="2"/>
    </row>
    <row r="968" spans="1:17" x14ac:dyDescent="0.3">
      <c r="A968" s="2">
        <v>3086</v>
      </c>
      <c r="B968" s="2" t="s">
        <v>2641</v>
      </c>
      <c r="C968" s="2" t="s">
        <v>2642</v>
      </c>
      <c r="D968" s="2" t="s">
        <v>6015</v>
      </c>
      <c r="E968" s="2" t="s">
        <v>2643</v>
      </c>
      <c r="F968" s="2" t="s">
        <v>41</v>
      </c>
      <c r="G968" s="2">
        <v>55590070</v>
      </c>
      <c r="H968" s="2" t="s">
        <v>456</v>
      </c>
      <c r="I968" s="2" t="s">
        <v>4741</v>
      </c>
      <c r="J968" s="2" t="s">
        <v>4696</v>
      </c>
      <c r="K968" s="2" t="s">
        <v>4696</v>
      </c>
      <c r="L968" s="2" t="s">
        <v>4696</v>
      </c>
      <c r="M968" s="2" t="s">
        <v>4696</v>
      </c>
      <c r="N968" s="2"/>
      <c r="O968" s="2"/>
      <c r="P968" s="2"/>
      <c r="Q968" s="2"/>
    </row>
    <row r="969" spans="1:17" x14ac:dyDescent="0.3">
      <c r="A969" s="2">
        <v>3088</v>
      </c>
      <c r="B969" s="2" t="s">
        <v>2644</v>
      </c>
      <c r="C969" s="2" t="s">
        <v>2645</v>
      </c>
      <c r="D969" s="2" t="s">
        <v>6037</v>
      </c>
      <c r="E969" s="2" t="s">
        <v>2646</v>
      </c>
      <c r="F969" s="2" t="s">
        <v>2</v>
      </c>
      <c r="G969" s="2" t="s">
        <v>4829</v>
      </c>
      <c r="H969" s="2" t="s">
        <v>456</v>
      </c>
      <c r="I969" s="2" t="s">
        <v>4741</v>
      </c>
      <c r="J969" s="2" t="s">
        <v>4696</v>
      </c>
      <c r="K969" s="2" t="s">
        <v>4696</v>
      </c>
      <c r="L969" s="2" t="s">
        <v>4696</v>
      </c>
      <c r="M969" s="2" t="s">
        <v>4696</v>
      </c>
      <c r="N969" s="2"/>
      <c r="O969" s="2"/>
      <c r="P969" s="2"/>
      <c r="Q969" s="2"/>
    </row>
    <row r="970" spans="1:17" x14ac:dyDescent="0.3">
      <c r="A970" s="2"/>
      <c r="B970" s="2"/>
      <c r="C970" s="2"/>
      <c r="D970" s="2"/>
      <c r="E970" s="2"/>
      <c r="F970" s="2"/>
      <c r="G970" s="2"/>
      <c r="H970" s="2"/>
      <c r="I970" s="2"/>
      <c r="J970" s="2"/>
      <c r="K970" s="2"/>
      <c r="L970" s="2"/>
      <c r="M970" s="2"/>
      <c r="N970" s="2"/>
      <c r="O970" s="2"/>
      <c r="P970" s="2"/>
      <c r="Q970" s="2"/>
    </row>
    <row r="971" spans="1:17" x14ac:dyDescent="0.3">
      <c r="A971" s="2">
        <v>3089</v>
      </c>
      <c r="B971" s="2" t="s">
        <v>279</v>
      </c>
      <c r="C971" s="2" t="s">
        <v>2647</v>
      </c>
      <c r="D971" s="2" t="s">
        <v>6007</v>
      </c>
      <c r="E971" s="2" t="s">
        <v>6487</v>
      </c>
      <c r="F971" s="2" t="s">
        <v>41</v>
      </c>
      <c r="G971" s="2" t="s">
        <v>4830</v>
      </c>
      <c r="H971" s="2" t="s">
        <v>6488</v>
      </c>
      <c r="I971" s="2" t="s">
        <v>4731</v>
      </c>
      <c r="J971" s="2" t="s">
        <v>4696</v>
      </c>
      <c r="K971" s="2" t="s">
        <v>4696</v>
      </c>
      <c r="L971" s="2" t="s">
        <v>4696</v>
      </c>
      <c r="M971" s="2" t="s">
        <v>4696</v>
      </c>
      <c r="N971" s="2"/>
      <c r="O971" s="2"/>
      <c r="P971" s="2"/>
      <c r="Q971" s="2"/>
    </row>
    <row r="972" spans="1:17" x14ac:dyDescent="0.3">
      <c r="A972" s="2">
        <v>3092</v>
      </c>
      <c r="B972" s="2" t="s">
        <v>2648</v>
      </c>
      <c r="C972" s="2" t="s">
        <v>2649</v>
      </c>
      <c r="D972" s="2" t="s">
        <v>6031</v>
      </c>
      <c r="E972" s="2" t="s">
        <v>2650</v>
      </c>
      <c r="F972" s="2" t="s">
        <v>2</v>
      </c>
      <c r="G972" s="2" t="s">
        <v>4831</v>
      </c>
      <c r="H972" s="2" t="s">
        <v>404</v>
      </c>
      <c r="I972" s="2" t="s">
        <v>4697</v>
      </c>
      <c r="J972" s="2" t="s">
        <v>4696</v>
      </c>
      <c r="K972" s="2" t="s">
        <v>4696</v>
      </c>
      <c r="L972" s="2" t="s">
        <v>4696</v>
      </c>
      <c r="M972" s="2" t="s">
        <v>2</v>
      </c>
      <c r="N972" s="2"/>
      <c r="O972" s="2"/>
      <c r="P972" s="2"/>
      <c r="Q972" s="2"/>
    </row>
    <row r="973" spans="1:17" x14ac:dyDescent="0.3">
      <c r="A973" s="2">
        <v>3093</v>
      </c>
      <c r="B973" s="2" t="s">
        <v>2651</v>
      </c>
      <c r="C973" s="2" t="s">
        <v>2652</v>
      </c>
      <c r="D973" s="2" t="s">
        <v>6004</v>
      </c>
      <c r="E973" s="2" t="s">
        <v>2653</v>
      </c>
      <c r="F973" s="2" t="s">
        <v>2</v>
      </c>
      <c r="G973" s="2" t="s">
        <v>4832</v>
      </c>
      <c r="H973" s="2" t="s">
        <v>465</v>
      </c>
      <c r="I973" s="2" t="s">
        <v>4707</v>
      </c>
      <c r="J973" s="2" t="s">
        <v>4696</v>
      </c>
      <c r="K973" s="2" t="s">
        <v>4696</v>
      </c>
      <c r="L973" s="2" t="s">
        <v>4696</v>
      </c>
      <c r="M973" s="2" t="s">
        <v>4696</v>
      </c>
      <c r="N973" s="2"/>
      <c r="O973" s="2"/>
      <c r="P973" s="2"/>
      <c r="Q973" s="2"/>
    </row>
    <row r="974" spans="1:17" x14ac:dyDescent="0.3">
      <c r="A974" s="2">
        <v>3095</v>
      </c>
      <c r="B974" s="2" t="s">
        <v>297</v>
      </c>
      <c r="C974" s="2" t="s">
        <v>2654</v>
      </c>
      <c r="D974" s="2" t="s">
        <v>6051</v>
      </c>
      <c r="E974" s="2" t="s">
        <v>2655</v>
      </c>
      <c r="F974" s="2" t="s">
        <v>2</v>
      </c>
      <c r="G974" s="2" t="s">
        <v>4833</v>
      </c>
      <c r="H974" s="2" t="s">
        <v>404</v>
      </c>
      <c r="I974" s="2" t="s">
        <v>4697</v>
      </c>
      <c r="J974" s="2" t="s">
        <v>4696</v>
      </c>
      <c r="K974" s="2" t="s">
        <v>4696</v>
      </c>
      <c r="L974" s="2" t="s">
        <v>4696</v>
      </c>
      <c r="M974" s="2" t="s">
        <v>2</v>
      </c>
      <c r="N974" s="2"/>
      <c r="O974" s="2"/>
      <c r="P974" s="2"/>
      <c r="Q974" s="2"/>
    </row>
    <row r="975" spans="1:17" x14ac:dyDescent="0.3">
      <c r="A975" s="2"/>
      <c r="B975" s="2"/>
      <c r="C975" s="2"/>
      <c r="D975" s="2"/>
      <c r="E975" s="2"/>
      <c r="F975" s="2"/>
      <c r="G975" s="2"/>
      <c r="H975" s="2"/>
      <c r="I975" s="2"/>
      <c r="J975" s="2"/>
      <c r="K975" s="2"/>
      <c r="L975" s="2"/>
      <c r="M975" s="2"/>
      <c r="N975" s="2"/>
      <c r="O975" s="2"/>
      <c r="P975" s="2"/>
      <c r="Q975" s="2"/>
    </row>
    <row r="976" spans="1:17" x14ac:dyDescent="0.3">
      <c r="A976" s="2">
        <v>3105</v>
      </c>
      <c r="B976" s="2" t="s">
        <v>2656</v>
      </c>
      <c r="C976" s="2" t="s">
        <v>6489</v>
      </c>
      <c r="D976" s="2" t="s">
        <v>6010</v>
      </c>
      <c r="E976" s="2" t="s">
        <v>2657</v>
      </c>
      <c r="F976" s="2" t="s">
        <v>41</v>
      </c>
      <c r="G976" s="2" t="s">
        <v>4834</v>
      </c>
      <c r="H976" s="2" t="s">
        <v>556</v>
      </c>
      <c r="I976" s="2" t="s">
        <v>6450</v>
      </c>
      <c r="J976" s="2" t="s">
        <v>6490</v>
      </c>
      <c r="K976" s="2" t="s">
        <v>4690</v>
      </c>
      <c r="L976" s="2" t="s">
        <v>4691</v>
      </c>
      <c r="M976" s="2" t="s">
        <v>4696</v>
      </c>
      <c r="N976" s="2"/>
      <c r="O976" s="2"/>
      <c r="P976" s="2"/>
      <c r="Q976" s="2"/>
    </row>
    <row r="977" spans="1:17" x14ac:dyDescent="0.3">
      <c r="A977" s="2">
        <v>3114</v>
      </c>
      <c r="B977" s="2" t="s">
        <v>2658</v>
      </c>
      <c r="C977" s="2" t="s">
        <v>2659</v>
      </c>
      <c r="D977" s="2" t="s">
        <v>6007</v>
      </c>
      <c r="E977" s="2" t="s">
        <v>2660</v>
      </c>
      <c r="F977" s="2" t="s">
        <v>2</v>
      </c>
      <c r="G977" s="2" t="s">
        <v>4835</v>
      </c>
      <c r="H977" s="2" t="s">
        <v>653</v>
      </c>
      <c r="I977" s="2" t="s">
        <v>4836</v>
      </c>
      <c r="J977" s="2" t="s">
        <v>4696</v>
      </c>
      <c r="K977" s="2" t="s">
        <v>4696</v>
      </c>
      <c r="L977" s="2" t="s">
        <v>4696</v>
      </c>
      <c r="M977" s="2" t="s">
        <v>4696</v>
      </c>
      <c r="N977" s="2"/>
      <c r="O977" s="2"/>
      <c r="P977" s="2"/>
      <c r="Q977" s="2"/>
    </row>
    <row r="978" spans="1:17" x14ac:dyDescent="0.3">
      <c r="A978" s="2">
        <v>3115</v>
      </c>
      <c r="B978" s="2" t="s">
        <v>2661</v>
      </c>
      <c r="C978" s="2" t="s">
        <v>2662</v>
      </c>
      <c r="D978" s="2" t="s">
        <v>6021</v>
      </c>
      <c r="E978" s="2" t="s">
        <v>6491</v>
      </c>
      <c r="F978" s="2" t="s">
        <v>2</v>
      </c>
      <c r="G978" s="2" t="s">
        <v>4837</v>
      </c>
      <c r="H978" s="2" t="s">
        <v>478</v>
      </c>
      <c r="I978" s="2" t="s">
        <v>4731</v>
      </c>
      <c r="J978" s="2" t="s">
        <v>4696</v>
      </c>
      <c r="K978" s="2" t="s">
        <v>4696</v>
      </c>
      <c r="L978" s="2" t="s">
        <v>4696</v>
      </c>
      <c r="M978" s="2" t="s">
        <v>4696</v>
      </c>
      <c r="N978" s="2"/>
      <c r="O978" s="2"/>
      <c r="P978" s="2"/>
      <c r="Q978" s="2"/>
    </row>
    <row r="979" spans="1:17" x14ac:dyDescent="0.3">
      <c r="A979" s="2">
        <v>3118</v>
      </c>
      <c r="B979" s="2" t="s">
        <v>2663</v>
      </c>
      <c r="C979" s="2" t="s">
        <v>2664</v>
      </c>
      <c r="D979" s="2" t="s">
        <v>6021</v>
      </c>
      <c r="E979" s="2" t="s">
        <v>2665</v>
      </c>
      <c r="F979" s="2" t="s">
        <v>41</v>
      </c>
      <c r="G979" s="2" t="s">
        <v>4838</v>
      </c>
      <c r="H979" s="2" t="s">
        <v>424</v>
      </c>
      <c r="I979" s="2" t="s">
        <v>4708</v>
      </c>
      <c r="J979" s="2" t="s">
        <v>4696</v>
      </c>
      <c r="K979" s="2" t="s">
        <v>4696</v>
      </c>
      <c r="L979" s="2" t="s">
        <v>4696</v>
      </c>
      <c r="M979" s="2" t="s">
        <v>4696</v>
      </c>
      <c r="N979" s="2"/>
      <c r="O979" s="2"/>
      <c r="P979" s="2"/>
      <c r="Q979" s="2"/>
    </row>
    <row r="980" spans="1:17" x14ac:dyDescent="0.3">
      <c r="A980" s="2">
        <v>3122</v>
      </c>
      <c r="B980" s="2" t="s">
        <v>2666</v>
      </c>
      <c r="C980" s="2" t="s">
        <v>2667</v>
      </c>
      <c r="D980" s="2" t="s">
        <v>6024</v>
      </c>
      <c r="E980" s="2" t="s">
        <v>6492</v>
      </c>
      <c r="F980" s="2" t="s">
        <v>2</v>
      </c>
      <c r="G980" s="2" t="s">
        <v>4839</v>
      </c>
      <c r="H980" s="2" t="s">
        <v>411</v>
      </c>
      <c r="I980" s="2" t="s">
        <v>4728</v>
      </c>
      <c r="J980" s="2" t="s">
        <v>4696</v>
      </c>
      <c r="K980" s="2" t="s">
        <v>4696</v>
      </c>
      <c r="L980" s="2" t="s">
        <v>4696</v>
      </c>
      <c r="M980" s="2" t="s">
        <v>2</v>
      </c>
      <c r="N980" s="2"/>
      <c r="O980" s="2"/>
      <c r="P980" s="2"/>
      <c r="Q980" s="2"/>
    </row>
    <row r="981" spans="1:17" x14ac:dyDescent="0.3">
      <c r="A981" s="2">
        <v>3128</v>
      </c>
      <c r="B981" s="2" t="s">
        <v>2668</v>
      </c>
      <c r="C981" s="2" t="s">
        <v>6493</v>
      </c>
      <c r="D981" s="2" t="s">
        <v>6007</v>
      </c>
      <c r="E981" s="2" t="s">
        <v>2669</v>
      </c>
      <c r="F981" s="2" t="s">
        <v>41</v>
      </c>
      <c r="G981" s="2" t="s">
        <v>4840</v>
      </c>
      <c r="H981" s="2" t="s">
        <v>431</v>
      </c>
      <c r="I981" s="2" t="s">
        <v>4702</v>
      </c>
      <c r="J981" s="2" t="s">
        <v>4696</v>
      </c>
      <c r="K981" s="2" t="s">
        <v>4696</v>
      </c>
      <c r="L981" s="2" t="s">
        <v>4696</v>
      </c>
      <c r="M981" s="2" t="s">
        <v>2</v>
      </c>
      <c r="N981" s="2"/>
      <c r="O981" s="2"/>
      <c r="P981" s="2"/>
      <c r="Q981" s="2"/>
    </row>
    <row r="982" spans="1:17" x14ac:dyDescent="0.3">
      <c r="A982" s="2">
        <v>3131</v>
      </c>
      <c r="B982" s="2" t="s">
        <v>2670</v>
      </c>
      <c r="C982" s="2" t="s">
        <v>2671</v>
      </c>
      <c r="D982" s="2" t="s">
        <v>6028</v>
      </c>
      <c r="E982" s="2" t="s">
        <v>6494</v>
      </c>
      <c r="F982" s="2" t="s">
        <v>41</v>
      </c>
      <c r="G982" s="2" t="s">
        <v>4841</v>
      </c>
      <c r="H982" s="2" t="s">
        <v>431</v>
      </c>
      <c r="I982" s="2" t="s">
        <v>4728</v>
      </c>
      <c r="J982" s="2" t="s">
        <v>4696</v>
      </c>
      <c r="K982" s="2" t="s">
        <v>4696</v>
      </c>
      <c r="L982" s="2" t="s">
        <v>4696</v>
      </c>
      <c r="M982" s="2" t="s">
        <v>2</v>
      </c>
      <c r="N982" s="2"/>
      <c r="O982" s="2"/>
      <c r="P982" s="2"/>
      <c r="Q982" s="2"/>
    </row>
    <row r="983" spans="1:17" x14ac:dyDescent="0.3">
      <c r="A983" s="2">
        <v>3141</v>
      </c>
      <c r="B983" s="2" t="s">
        <v>156</v>
      </c>
      <c r="C983" s="2" t="s">
        <v>2672</v>
      </c>
      <c r="D983" s="2" t="s">
        <v>6034</v>
      </c>
      <c r="E983" s="2" t="s">
        <v>2673</v>
      </c>
      <c r="F983" s="2" t="s">
        <v>41</v>
      </c>
      <c r="G983" s="2" t="s">
        <v>4842</v>
      </c>
      <c r="H983" s="2" t="s">
        <v>640</v>
      </c>
      <c r="I983" s="2" t="s">
        <v>6465</v>
      </c>
      <c r="J983" s="2" t="s">
        <v>4696</v>
      </c>
      <c r="K983" s="2" t="s">
        <v>4696</v>
      </c>
      <c r="L983" s="2" t="s">
        <v>4696</v>
      </c>
      <c r="M983" s="2" t="s">
        <v>2</v>
      </c>
      <c r="N983" s="2"/>
      <c r="O983" s="2"/>
      <c r="P983" s="2"/>
      <c r="Q983" s="2"/>
    </row>
    <row r="984" spans="1:17" x14ac:dyDescent="0.3">
      <c r="A984" s="2">
        <v>3144</v>
      </c>
      <c r="B984" s="2" t="s">
        <v>2674</v>
      </c>
      <c r="C984" s="2" t="s">
        <v>2675</v>
      </c>
      <c r="D984" s="2" t="s">
        <v>6332</v>
      </c>
      <c r="E984" s="2" t="s">
        <v>6495</v>
      </c>
      <c r="F984" s="2" t="s">
        <v>2</v>
      </c>
      <c r="G984" s="2" t="s">
        <v>4843</v>
      </c>
      <c r="H984" s="2" t="s">
        <v>465</v>
      </c>
      <c r="I984" s="2" t="s">
        <v>4707</v>
      </c>
      <c r="J984" s="2" t="s">
        <v>4696</v>
      </c>
      <c r="K984" s="2" t="s">
        <v>4696</v>
      </c>
      <c r="L984" s="2" t="s">
        <v>4696</v>
      </c>
      <c r="M984" s="2" t="s">
        <v>2</v>
      </c>
      <c r="N984" s="2"/>
      <c r="O984" s="2"/>
      <c r="P984" s="2"/>
      <c r="Q984" s="2"/>
    </row>
    <row r="985" spans="1:17" x14ac:dyDescent="0.3">
      <c r="A985" s="2">
        <v>3152</v>
      </c>
      <c r="B985" s="2" t="s">
        <v>2676</v>
      </c>
      <c r="C985" s="2" t="s">
        <v>2677</v>
      </c>
      <c r="D985" s="2" t="s">
        <v>6014</v>
      </c>
      <c r="E985" s="2" t="s">
        <v>2678</v>
      </c>
      <c r="F985" s="2" t="s">
        <v>41</v>
      </c>
      <c r="G985" s="2" t="s">
        <v>4844</v>
      </c>
      <c r="H985" s="2" t="s">
        <v>456</v>
      </c>
      <c r="I985" s="2" t="s">
        <v>4717</v>
      </c>
      <c r="J985" s="2" t="s">
        <v>4696</v>
      </c>
      <c r="K985" s="2" t="s">
        <v>4696</v>
      </c>
      <c r="L985" s="2" t="s">
        <v>4696</v>
      </c>
      <c r="M985" s="2" t="s">
        <v>2</v>
      </c>
      <c r="N985" s="2"/>
      <c r="O985" s="2"/>
      <c r="P985" s="2"/>
      <c r="Q985" s="2"/>
    </row>
    <row r="986" spans="1:17" x14ac:dyDescent="0.3">
      <c r="A986" s="2">
        <v>3162</v>
      </c>
      <c r="B986" s="2" t="s">
        <v>2679</v>
      </c>
      <c r="C986" s="2" t="s">
        <v>2680</v>
      </c>
      <c r="D986" s="2" t="s">
        <v>6010</v>
      </c>
      <c r="E986" s="2" t="s">
        <v>6496</v>
      </c>
      <c r="F986" s="2" t="s">
        <v>2</v>
      </c>
      <c r="G986" s="2" t="s">
        <v>4845</v>
      </c>
      <c r="H986" s="2" t="s">
        <v>404</v>
      </c>
      <c r="I986" s="2" t="s">
        <v>4700</v>
      </c>
      <c r="J986" s="2" t="s">
        <v>4696</v>
      </c>
      <c r="K986" s="2" t="s">
        <v>4696</v>
      </c>
      <c r="L986" s="2" t="s">
        <v>4696</v>
      </c>
      <c r="M986" s="2" t="s">
        <v>4696</v>
      </c>
      <c r="N986" s="2"/>
      <c r="O986" s="2"/>
      <c r="P986" s="2"/>
      <c r="Q986" s="2"/>
    </row>
    <row r="987" spans="1:17" x14ac:dyDescent="0.3">
      <c r="A987" s="2">
        <v>3163</v>
      </c>
      <c r="B987" s="2" t="s">
        <v>362</v>
      </c>
      <c r="C987" s="2" t="s">
        <v>2681</v>
      </c>
      <c r="D987" s="2" t="s">
        <v>6031</v>
      </c>
      <c r="E987" s="2" t="s">
        <v>2682</v>
      </c>
      <c r="F987" s="2" t="s">
        <v>2</v>
      </c>
      <c r="G987" s="2">
        <v>35630099</v>
      </c>
      <c r="H987" s="2" t="s">
        <v>415</v>
      </c>
      <c r="I987" s="2" t="s">
        <v>4724</v>
      </c>
      <c r="J987" s="2" t="s">
        <v>4696</v>
      </c>
      <c r="K987" s="2" t="s">
        <v>4696</v>
      </c>
      <c r="L987" s="2" t="s">
        <v>4696</v>
      </c>
      <c r="M987" s="2" t="s">
        <v>2</v>
      </c>
      <c r="N987" s="2"/>
      <c r="O987" s="2"/>
      <c r="P987" s="2"/>
      <c r="Q987" s="2"/>
    </row>
    <row r="988" spans="1:17" x14ac:dyDescent="0.3">
      <c r="A988" s="2">
        <v>3169</v>
      </c>
      <c r="B988" s="2" t="s">
        <v>2683</v>
      </c>
      <c r="C988" s="2" t="s">
        <v>2684</v>
      </c>
      <c r="D988" s="2" t="s">
        <v>6025</v>
      </c>
      <c r="E988" s="2" t="s">
        <v>2685</v>
      </c>
      <c r="F988" s="2" t="s">
        <v>41</v>
      </c>
      <c r="G988" s="2" t="s">
        <v>4846</v>
      </c>
      <c r="H988" s="2" t="s">
        <v>1063</v>
      </c>
      <c r="I988" s="2" t="s">
        <v>4759</v>
      </c>
      <c r="J988" s="2" t="s">
        <v>4696</v>
      </c>
      <c r="K988" s="2" t="s">
        <v>4696</v>
      </c>
      <c r="L988" s="2" t="s">
        <v>4696</v>
      </c>
      <c r="M988" s="2" t="s">
        <v>2</v>
      </c>
      <c r="N988" s="2"/>
      <c r="O988" s="2"/>
      <c r="P988" s="2"/>
      <c r="Q988" s="2"/>
    </row>
    <row r="989" spans="1:17" x14ac:dyDescent="0.3">
      <c r="A989" s="2">
        <v>3171</v>
      </c>
      <c r="B989" s="2" t="s">
        <v>2686</v>
      </c>
      <c r="C989" s="2" t="s">
        <v>6497</v>
      </c>
      <c r="D989" s="2" t="s">
        <v>6028</v>
      </c>
      <c r="E989" s="2" t="s">
        <v>6094</v>
      </c>
      <c r="F989" s="2" t="s">
        <v>2</v>
      </c>
      <c r="G989" s="2" t="s">
        <v>6498</v>
      </c>
      <c r="H989" s="2" t="s">
        <v>411</v>
      </c>
      <c r="I989" s="2" t="s">
        <v>4693</v>
      </c>
      <c r="J989" s="2" t="s">
        <v>4696</v>
      </c>
      <c r="K989" s="2" t="s">
        <v>4696</v>
      </c>
      <c r="L989" s="2" t="s">
        <v>4696</v>
      </c>
      <c r="M989" s="2" t="s">
        <v>4696</v>
      </c>
      <c r="N989" s="2"/>
      <c r="O989" s="2"/>
      <c r="P989" s="2"/>
      <c r="Q989" s="2"/>
    </row>
    <row r="990" spans="1:17" x14ac:dyDescent="0.3">
      <c r="A990" s="2">
        <v>3176</v>
      </c>
      <c r="B990" s="2" t="s">
        <v>2687</v>
      </c>
      <c r="C990" s="2" t="s">
        <v>2688</v>
      </c>
      <c r="D990" s="2" t="s">
        <v>6007</v>
      </c>
      <c r="E990" s="2" t="s">
        <v>6499</v>
      </c>
      <c r="F990" s="2" t="s">
        <v>2</v>
      </c>
      <c r="G990" s="2" t="s">
        <v>4847</v>
      </c>
      <c r="H990" s="2" t="s">
        <v>1926</v>
      </c>
      <c r="I990" s="2" t="s">
        <v>4811</v>
      </c>
      <c r="J990" s="2" t="s">
        <v>4696</v>
      </c>
      <c r="K990" s="2" t="s">
        <v>4696</v>
      </c>
      <c r="L990" s="2" t="s">
        <v>4696</v>
      </c>
      <c r="M990" s="2" t="s">
        <v>4696</v>
      </c>
      <c r="N990" s="2"/>
      <c r="O990" s="2"/>
      <c r="P990" s="2"/>
      <c r="Q990" s="2"/>
    </row>
    <row r="991" spans="1:17" x14ac:dyDescent="0.3">
      <c r="A991" s="2">
        <v>3188</v>
      </c>
      <c r="B991" s="2" t="s">
        <v>2689</v>
      </c>
      <c r="C991" s="2" t="s">
        <v>2690</v>
      </c>
      <c r="D991" s="2" t="s">
        <v>6015</v>
      </c>
      <c r="E991" s="2" t="s">
        <v>2691</v>
      </c>
      <c r="F991" s="2" t="s">
        <v>41</v>
      </c>
      <c r="G991" s="2" t="s">
        <v>4848</v>
      </c>
      <c r="H991" s="2" t="s">
        <v>640</v>
      </c>
      <c r="I991" s="2" t="s">
        <v>6450</v>
      </c>
      <c r="J991" s="2" t="s">
        <v>4696</v>
      </c>
      <c r="K991" s="2" t="s">
        <v>4696</v>
      </c>
      <c r="L991" s="2" t="s">
        <v>4696</v>
      </c>
      <c r="M991" s="2" t="s">
        <v>4696</v>
      </c>
      <c r="N991" s="2"/>
      <c r="O991" s="2"/>
      <c r="P991" s="2"/>
      <c r="Q991" s="2"/>
    </row>
    <row r="992" spans="1:17" x14ac:dyDescent="0.3">
      <c r="A992" s="2">
        <v>3191</v>
      </c>
      <c r="B992" s="2" t="s">
        <v>295</v>
      </c>
      <c r="C992" s="2" t="s">
        <v>6500</v>
      </c>
      <c r="D992" s="2" t="s">
        <v>6020</v>
      </c>
      <c r="E992" s="2" t="s">
        <v>2692</v>
      </c>
      <c r="F992" s="2" t="s">
        <v>41</v>
      </c>
      <c r="G992" s="2" t="s">
        <v>6501</v>
      </c>
      <c r="H992" s="2" t="s">
        <v>556</v>
      </c>
      <c r="I992" s="2" t="s">
        <v>6450</v>
      </c>
      <c r="J992" s="2" t="s">
        <v>4696</v>
      </c>
      <c r="K992" s="2" t="s">
        <v>4696</v>
      </c>
      <c r="L992" s="2" t="s">
        <v>4696</v>
      </c>
      <c r="M992" s="2" t="s">
        <v>4696</v>
      </c>
      <c r="N992" s="2"/>
      <c r="O992" s="2"/>
      <c r="P992" s="2"/>
      <c r="Q992" s="2"/>
    </row>
    <row r="993" spans="1:17" x14ac:dyDescent="0.3">
      <c r="A993" s="2">
        <v>3202</v>
      </c>
      <c r="B993" s="2" t="s">
        <v>2693</v>
      </c>
      <c r="C993" s="2" t="s">
        <v>2694</v>
      </c>
      <c r="D993" s="2" t="s">
        <v>6091</v>
      </c>
      <c r="E993" s="2" t="s">
        <v>2695</v>
      </c>
      <c r="F993" s="2" t="s">
        <v>41</v>
      </c>
      <c r="G993" s="2">
        <v>27825881</v>
      </c>
      <c r="H993" s="2" t="s">
        <v>2696</v>
      </c>
      <c r="I993" s="2">
        <v>225048125</v>
      </c>
      <c r="J993" s="2" t="s">
        <v>4696</v>
      </c>
      <c r="K993" s="2" t="s">
        <v>4696</v>
      </c>
      <c r="L993" s="2" t="s">
        <v>4696</v>
      </c>
      <c r="M993" s="2" t="s">
        <v>4696</v>
      </c>
      <c r="N993" s="2"/>
      <c r="O993" s="2"/>
      <c r="P993" s="2"/>
      <c r="Q993" s="2"/>
    </row>
    <row r="994" spans="1:17" x14ac:dyDescent="0.3">
      <c r="A994" s="2">
        <v>3205</v>
      </c>
      <c r="B994" s="2" t="s">
        <v>2697</v>
      </c>
      <c r="C994" s="2" t="s">
        <v>2698</v>
      </c>
      <c r="D994" s="2" t="s">
        <v>6007</v>
      </c>
      <c r="E994" s="2" t="s">
        <v>6502</v>
      </c>
      <c r="F994" s="2" t="s">
        <v>2</v>
      </c>
      <c r="G994" s="2" t="s">
        <v>4849</v>
      </c>
      <c r="H994" s="2" t="s">
        <v>556</v>
      </c>
      <c r="I994" s="2" t="s">
        <v>6465</v>
      </c>
      <c r="J994" s="2" t="s">
        <v>4696</v>
      </c>
      <c r="K994" s="2" t="s">
        <v>4696</v>
      </c>
      <c r="L994" s="2" t="s">
        <v>4696</v>
      </c>
      <c r="M994" s="2" t="s">
        <v>4696</v>
      </c>
      <c r="N994" s="2"/>
      <c r="O994" s="2"/>
      <c r="P994" s="2"/>
      <c r="Q994" s="2"/>
    </row>
    <row r="995" spans="1:17" x14ac:dyDescent="0.3">
      <c r="A995" s="2">
        <v>3206</v>
      </c>
      <c r="B995" s="2" t="s">
        <v>2700</v>
      </c>
      <c r="C995" s="2" t="s">
        <v>2701</v>
      </c>
      <c r="D995" s="2" t="s">
        <v>6051</v>
      </c>
      <c r="E995" s="2" t="s">
        <v>2702</v>
      </c>
      <c r="F995" s="2" t="s">
        <v>2</v>
      </c>
      <c r="G995" s="2" t="s">
        <v>4850</v>
      </c>
      <c r="H995" s="2" t="s">
        <v>465</v>
      </c>
      <c r="I995" s="2" t="s">
        <v>4712</v>
      </c>
      <c r="J995" s="2" t="s">
        <v>4696</v>
      </c>
      <c r="K995" s="2" t="s">
        <v>4696</v>
      </c>
      <c r="L995" s="2" t="s">
        <v>4696</v>
      </c>
      <c r="M995" s="2" t="s">
        <v>4696</v>
      </c>
      <c r="N995" s="2"/>
      <c r="O995" s="2"/>
      <c r="P995" s="2"/>
      <c r="Q995" s="2"/>
    </row>
    <row r="996" spans="1:17" x14ac:dyDescent="0.3">
      <c r="A996" s="2">
        <v>3207</v>
      </c>
      <c r="B996" s="2" t="s">
        <v>276</v>
      </c>
      <c r="C996" s="2" t="s">
        <v>2703</v>
      </c>
      <c r="D996" s="2" t="s">
        <v>6001</v>
      </c>
      <c r="E996" s="2" t="s">
        <v>2704</v>
      </c>
      <c r="F996" s="2" t="s">
        <v>2</v>
      </c>
      <c r="G996" s="2" t="s">
        <v>4851</v>
      </c>
      <c r="H996" s="2" t="s">
        <v>1553</v>
      </c>
      <c r="I996" s="2" t="s">
        <v>4731</v>
      </c>
      <c r="J996" s="2" t="s">
        <v>4696</v>
      </c>
      <c r="K996" s="2" t="s">
        <v>4696</v>
      </c>
      <c r="L996" s="2" t="s">
        <v>4696</v>
      </c>
      <c r="M996" s="2" t="s">
        <v>4696</v>
      </c>
      <c r="N996" s="2"/>
      <c r="O996" s="2"/>
      <c r="P996" s="2"/>
      <c r="Q996" s="2"/>
    </row>
    <row r="997" spans="1:17" x14ac:dyDescent="0.3">
      <c r="A997" s="2">
        <v>3211</v>
      </c>
      <c r="B997" s="2" t="s">
        <v>2705</v>
      </c>
      <c r="C997" s="2" t="s">
        <v>2706</v>
      </c>
      <c r="D997" s="2" t="s">
        <v>6021</v>
      </c>
      <c r="E997" s="2" t="s">
        <v>2707</v>
      </c>
      <c r="F997" s="2" t="s">
        <v>2</v>
      </c>
      <c r="G997" s="2" t="s">
        <v>4852</v>
      </c>
      <c r="H997" s="2" t="s">
        <v>431</v>
      </c>
      <c r="I997" s="2" t="s">
        <v>4693</v>
      </c>
      <c r="J997" s="2" t="s">
        <v>4696</v>
      </c>
      <c r="K997" s="2" t="s">
        <v>4696</v>
      </c>
      <c r="L997" s="2" t="s">
        <v>4696</v>
      </c>
      <c r="M997" s="2" t="s">
        <v>2</v>
      </c>
      <c r="N997" s="2"/>
      <c r="O997" s="2"/>
      <c r="P997" s="2"/>
      <c r="Q997" s="2"/>
    </row>
    <row r="998" spans="1:17" x14ac:dyDescent="0.3">
      <c r="A998" s="2">
        <v>3213</v>
      </c>
      <c r="B998" s="2" t="s">
        <v>2708</v>
      </c>
      <c r="C998" s="2" t="s">
        <v>2709</v>
      </c>
      <c r="D998" s="2" t="s">
        <v>6025</v>
      </c>
      <c r="E998" s="2" t="s">
        <v>2710</v>
      </c>
      <c r="F998" s="2" t="s">
        <v>2</v>
      </c>
      <c r="G998" s="2" t="s">
        <v>4853</v>
      </c>
      <c r="H998" s="2" t="s">
        <v>431</v>
      </c>
      <c r="I998" s="2" t="s">
        <v>4693</v>
      </c>
      <c r="J998" s="2" t="s">
        <v>4696</v>
      </c>
      <c r="K998" s="2" t="s">
        <v>4696</v>
      </c>
      <c r="L998" s="2" t="s">
        <v>4696</v>
      </c>
      <c r="M998" s="2" t="s">
        <v>2</v>
      </c>
      <c r="N998" s="2"/>
      <c r="O998" s="2"/>
      <c r="P998" s="2"/>
      <c r="Q998" s="2"/>
    </row>
    <row r="999" spans="1:17" x14ac:dyDescent="0.3">
      <c r="A999" s="2">
        <v>3217</v>
      </c>
      <c r="B999" s="2" t="s">
        <v>2711</v>
      </c>
      <c r="C999" s="2" t="s">
        <v>2712</v>
      </c>
      <c r="D999" s="2" t="s">
        <v>6025</v>
      </c>
      <c r="E999" s="2" t="s">
        <v>6503</v>
      </c>
      <c r="F999" s="2" t="s">
        <v>2</v>
      </c>
      <c r="G999" s="2" t="s">
        <v>4854</v>
      </c>
      <c r="H999" s="2" t="s">
        <v>404</v>
      </c>
      <c r="I999" s="2" t="s">
        <v>4697</v>
      </c>
      <c r="J999" s="2" t="s">
        <v>4696</v>
      </c>
      <c r="K999" s="2" t="s">
        <v>4696</v>
      </c>
      <c r="L999" s="2" t="s">
        <v>4696</v>
      </c>
      <c r="M999" s="2" t="s">
        <v>2</v>
      </c>
      <c r="N999" s="2"/>
      <c r="O999" s="2"/>
      <c r="P999" s="2"/>
      <c r="Q999" s="2"/>
    </row>
    <row r="1000" spans="1:17" x14ac:dyDescent="0.3">
      <c r="A1000" s="2">
        <v>3218</v>
      </c>
      <c r="B1000" s="2" t="s">
        <v>2713</v>
      </c>
      <c r="C1000" s="2" t="s">
        <v>2714</v>
      </c>
      <c r="D1000" s="2" t="s">
        <v>5999</v>
      </c>
      <c r="E1000" s="2" t="s">
        <v>6504</v>
      </c>
      <c r="F1000" s="2" t="s">
        <v>2</v>
      </c>
      <c r="G1000" s="2" t="s">
        <v>4855</v>
      </c>
      <c r="H1000" s="2" t="s">
        <v>556</v>
      </c>
      <c r="I1000" s="2" t="s">
        <v>6450</v>
      </c>
      <c r="J1000" s="2" t="s">
        <v>4696</v>
      </c>
      <c r="K1000" s="2" t="s">
        <v>4696</v>
      </c>
      <c r="L1000" s="2" t="s">
        <v>4696</v>
      </c>
      <c r="M1000" s="2" t="s">
        <v>4696</v>
      </c>
      <c r="N1000" s="2"/>
      <c r="O1000" s="2"/>
      <c r="P1000" s="2"/>
      <c r="Q1000" s="2"/>
    </row>
    <row r="1001" spans="1:17" x14ac:dyDescent="0.3">
      <c r="A1001" s="2">
        <v>3219</v>
      </c>
      <c r="B1001" s="2" t="s">
        <v>2715</v>
      </c>
      <c r="C1001" s="2" t="s">
        <v>6505</v>
      </c>
      <c r="D1001" s="2" t="s">
        <v>6002</v>
      </c>
      <c r="E1001" s="2" t="s">
        <v>6506</v>
      </c>
      <c r="F1001" s="2" t="s">
        <v>2</v>
      </c>
      <c r="G1001" s="2" t="s">
        <v>6507</v>
      </c>
      <c r="H1001" s="2" t="s">
        <v>2716</v>
      </c>
      <c r="I1001" s="2" t="s">
        <v>4712</v>
      </c>
      <c r="J1001" s="2" t="s">
        <v>4696</v>
      </c>
      <c r="K1001" s="2" t="s">
        <v>4696</v>
      </c>
      <c r="L1001" s="2" t="s">
        <v>4696</v>
      </c>
      <c r="M1001" s="2" t="s">
        <v>4696</v>
      </c>
      <c r="N1001" s="2"/>
      <c r="O1001" s="2"/>
      <c r="P1001" s="2"/>
      <c r="Q1001" s="2"/>
    </row>
    <row r="1002" spans="1:17" x14ac:dyDescent="0.3">
      <c r="A1002" s="2">
        <v>3221</v>
      </c>
      <c r="B1002" s="2" t="s">
        <v>2717</v>
      </c>
      <c r="C1002" s="2" t="s">
        <v>6508</v>
      </c>
      <c r="D1002" s="2" t="s">
        <v>6016</v>
      </c>
      <c r="E1002" s="2" t="s">
        <v>6509</v>
      </c>
      <c r="F1002" s="2" t="s">
        <v>41</v>
      </c>
      <c r="G1002" s="2" t="s">
        <v>4856</v>
      </c>
      <c r="H1002" s="2" t="s">
        <v>415</v>
      </c>
      <c r="I1002" s="2" t="s">
        <v>4703</v>
      </c>
      <c r="J1002" s="2" t="s">
        <v>4696</v>
      </c>
      <c r="K1002" s="2" t="s">
        <v>4696</v>
      </c>
      <c r="L1002" s="2" t="s">
        <v>4696</v>
      </c>
      <c r="M1002" s="2" t="s">
        <v>2</v>
      </c>
      <c r="N1002" s="2"/>
      <c r="O1002" s="2"/>
      <c r="P1002" s="2"/>
      <c r="Q1002" s="2"/>
    </row>
    <row r="1003" spans="1:17" x14ac:dyDescent="0.3">
      <c r="A1003" s="2">
        <v>3224</v>
      </c>
      <c r="B1003" s="2" t="s">
        <v>287</v>
      </c>
      <c r="C1003" s="2" t="s">
        <v>2718</v>
      </c>
      <c r="D1003" s="2" t="s">
        <v>6014</v>
      </c>
      <c r="E1003" s="2" t="s">
        <v>6510</v>
      </c>
      <c r="F1003" s="2" t="s">
        <v>41</v>
      </c>
      <c r="G1003" s="2" t="s">
        <v>4857</v>
      </c>
      <c r="H1003" s="2" t="s">
        <v>806</v>
      </c>
      <c r="I1003" s="2" t="s">
        <v>4858</v>
      </c>
      <c r="J1003" s="2" t="s">
        <v>4696</v>
      </c>
      <c r="K1003" s="2" t="s">
        <v>4696</v>
      </c>
      <c r="L1003" s="2" t="s">
        <v>4696</v>
      </c>
      <c r="M1003" s="2" t="s">
        <v>2</v>
      </c>
      <c r="N1003" s="2"/>
      <c r="O1003" s="2"/>
      <c r="P1003" s="2"/>
      <c r="Q1003" s="2"/>
    </row>
    <row r="1004" spans="1:17" x14ac:dyDescent="0.3">
      <c r="A1004" s="2">
        <v>3226</v>
      </c>
      <c r="B1004" s="2" t="s">
        <v>6511</v>
      </c>
      <c r="C1004" s="2" t="s">
        <v>2719</v>
      </c>
      <c r="D1004" s="2" t="s">
        <v>6007</v>
      </c>
      <c r="E1004" s="2" t="s">
        <v>6512</v>
      </c>
      <c r="F1004" s="2" t="s">
        <v>41</v>
      </c>
      <c r="G1004" s="2" t="s">
        <v>4859</v>
      </c>
      <c r="H1004" s="2" t="s">
        <v>431</v>
      </c>
      <c r="I1004" s="2" t="s">
        <v>4693</v>
      </c>
      <c r="J1004" s="2" t="s">
        <v>4696</v>
      </c>
      <c r="K1004" s="2" t="s">
        <v>4696</v>
      </c>
      <c r="L1004" s="2" t="s">
        <v>4696</v>
      </c>
      <c r="M1004" s="2" t="s">
        <v>2</v>
      </c>
      <c r="N1004" s="2"/>
      <c r="O1004" s="2"/>
      <c r="P1004" s="2"/>
      <c r="Q1004" s="2"/>
    </row>
    <row r="1005" spans="1:17" x14ac:dyDescent="0.3">
      <c r="A1005" s="2">
        <v>3227</v>
      </c>
      <c r="B1005" s="2" t="s">
        <v>92</v>
      </c>
      <c r="C1005" s="2" t="s">
        <v>2720</v>
      </c>
      <c r="D1005" s="2" t="s">
        <v>6007</v>
      </c>
      <c r="E1005" s="2" t="s">
        <v>2721</v>
      </c>
      <c r="F1005" s="2" t="s">
        <v>2</v>
      </c>
      <c r="G1005" s="2" t="s">
        <v>4860</v>
      </c>
      <c r="H1005" s="2" t="s">
        <v>1063</v>
      </c>
      <c r="I1005" s="2" t="s">
        <v>4861</v>
      </c>
      <c r="J1005" s="2" t="s">
        <v>4696</v>
      </c>
      <c r="K1005" s="2" t="s">
        <v>4696</v>
      </c>
      <c r="L1005" s="2" t="s">
        <v>4696</v>
      </c>
      <c r="M1005" s="2" t="s">
        <v>4696</v>
      </c>
      <c r="N1005" s="2"/>
      <c r="O1005" s="2"/>
      <c r="P1005" s="2"/>
      <c r="Q1005" s="2"/>
    </row>
    <row r="1006" spans="1:17" x14ac:dyDescent="0.3">
      <c r="A1006" s="2">
        <v>3228</v>
      </c>
      <c r="B1006" s="2" t="s">
        <v>2722</v>
      </c>
      <c r="C1006" s="2" t="s">
        <v>2723</v>
      </c>
      <c r="D1006" s="2" t="s">
        <v>6051</v>
      </c>
      <c r="E1006" s="2" t="s">
        <v>6513</v>
      </c>
      <c r="F1006" s="2" t="s">
        <v>41</v>
      </c>
      <c r="G1006" s="2" t="s">
        <v>4862</v>
      </c>
      <c r="H1006" s="2" t="s">
        <v>465</v>
      </c>
      <c r="I1006" s="2" t="s">
        <v>4707</v>
      </c>
      <c r="J1006" s="2" t="s">
        <v>4696</v>
      </c>
      <c r="K1006" s="2" t="s">
        <v>4696</v>
      </c>
      <c r="L1006" s="2" t="s">
        <v>4696</v>
      </c>
      <c r="M1006" s="2" t="s">
        <v>4696</v>
      </c>
      <c r="N1006" s="2"/>
      <c r="O1006" s="2"/>
      <c r="P1006" s="2"/>
      <c r="Q1006" s="2"/>
    </row>
    <row r="1007" spans="1:17" x14ac:dyDescent="0.3">
      <c r="A1007" s="2">
        <v>3230</v>
      </c>
      <c r="B1007" s="2" t="s">
        <v>2724</v>
      </c>
      <c r="C1007" s="2" t="s">
        <v>6514</v>
      </c>
      <c r="D1007" s="2" t="s">
        <v>6001</v>
      </c>
      <c r="E1007" s="2" t="s">
        <v>6515</v>
      </c>
      <c r="F1007" s="2" t="s">
        <v>2</v>
      </c>
      <c r="G1007" s="2" t="s">
        <v>4863</v>
      </c>
      <c r="H1007" s="2" t="s">
        <v>6006</v>
      </c>
      <c r="I1007" s="2" t="s">
        <v>4708</v>
      </c>
      <c r="J1007" s="2" t="s">
        <v>4696</v>
      </c>
      <c r="K1007" s="2" t="s">
        <v>4696</v>
      </c>
      <c r="L1007" s="2" t="s">
        <v>4696</v>
      </c>
      <c r="M1007" s="2" t="s">
        <v>4696</v>
      </c>
      <c r="N1007" s="2"/>
      <c r="O1007" s="2"/>
      <c r="P1007" s="2"/>
      <c r="Q1007" s="2"/>
    </row>
    <row r="1008" spans="1:17" x14ac:dyDescent="0.3">
      <c r="A1008" s="2">
        <v>3232</v>
      </c>
      <c r="B1008" s="2" t="s">
        <v>269</v>
      </c>
      <c r="C1008" s="2" t="s">
        <v>2725</v>
      </c>
      <c r="D1008" s="2" t="s">
        <v>5999</v>
      </c>
      <c r="E1008" s="2" t="s">
        <v>2726</v>
      </c>
      <c r="F1008" s="2" t="s">
        <v>2</v>
      </c>
      <c r="G1008" s="2" t="s">
        <v>4864</v>
      </c>
      <c r="H1008" s="2" t="s">
        <v>556</v>
      </c>
      <c r="I1008" s="2" t="s">
        <v>6450</v>
      </c>
      <c r="J1008" s="2" t="s">
        <v>4696</v>
      </c>
      <c r="K1008" s="2" t="s">
        <v>4696</v>
      </c>
      <c r="L1008" s="2" t="s">
        <v>4696</v>
      </c>
      <c r="M1008" s="2" t="s">
        <v>4696</v>
      </c>
      <c r="N1008" s="2"/>
      <c r="O1008" s="2"/>
      <c r="P1008" s="2"/>
      <c r="Q1008" s="2"/>
    </row>
    <row r="1009" spans="1:17" x14ac:dyDescent="0.3">
      <c r="A1009" s="2">
        <v>3234</v>
      </c>
      <c r="B1009" s="2" t="s">
        <v>36</v>
      </c>
      <c r="C1009" s="2" t="s">
        <v>2727</v>
      </c>
      <c r="D1009" s="2" t="s">
        <v>6080</v>
      </c>
      <c r="E1009" s="2" t="s">
        <v>2728</v>
      </c>
      <c r="F1009" s="2" t="s">
        <v>2</v>
      </c>
      <c r="G1009" s="2" t="s">
        <v>4865</v>
      </c>
      <c r="H1009" s="2" t="s">
        <v>6006</v>
      </c>
      <c r="I1009" s="2" t="s">
        <v>4698</v>
      </c>
      <c r="J1009" s="2" t="s">
        <v>4696</v>
      </c>
      <c r="K1009" s="2" t="s">
        <v>4696</v>
      </c>
      <c r="L1009" s="2" t="s">
        <v>4696</v>
      </c>
      <c r="M1009" s="2" t="s">
        <v>2</v>
      </c>
      <c r="N1009" s="2"/>
      <c r="O1009" s="2"/>
      <c r="P1009" s="2"/>
      <c r="Q1009" s="2"/>
    </row>
    <row r="1010" spans="1:17" x14ac:dyDescent="0.3">
      <c r="A1010" s="2">
        <v>3236</v>
      </c>
      <c r="B1010" s="2" t="s">
        <v>190</v>
      </c>
      <c r="C1010" s="2" t="s">
        <v>6516</v>
      </c>
      <c r="D1010" s="2" t="s">
        <v>6007</v>
      </c>
      <c r="E1010" s="2" t="s">
        <v>6517</v>
      </c>
      <c r="F1010" s="2" t="s">
        <v>2</v>
      </c>
      <c r="G1010" s="2" t="s">
        <v>4866</v>
      </c>
      <c r="H1010" s="2" t="s">
        <v>404</v>
      </c>
      <c r="I1010" s="2" t="s">
        <v>4700</v>
      </c>
      <c r="J1010" s="2" t="s">
        <v>4696</v>
      </c>
      <c r="K1010" s="2" t="s">
        <v>4696</v>
      </c>
      <c r="L1010" s="2" t="s">
        <v>4696</v>
      </c>
      <c r="M1010" s="2" t="s">
        <v>4696</v>
      </c>
      <c r="N1010" s="2"/>
      <c r="O1010" s="2"/>
      <c r="P1010" s="2"/>
      <c r="Q1010" s="2"/>
    </row>
    <row r="1011" spans="1:17" x14ac:dyDescent="0.3">
      <c r="A1011" s="2">
        <v>3252</v>
      </c>
      <c r="B1011" s="2" t="s">
        <v>2729</v>
      </c>
      <c r="C1011" s="2" t="s">
        <v>2730</v>
      </c>
      <c r="D1011" s="2" t="s">
        <v>6001</v>
      </c>
      <c r="E1011" s="2" t="s">
        <v>6518</v>
      </c>
      <c r="F1011" s="2" t="s">
        <v>2</v>
      </c>
      <c r="G1011" s="2" t="s">
        <v>4867</v>
      </c>
      <c r="H1011" s="2" t="s">
        <v>640</v>
      </c>
      <c r="I1011" s="2" t="s">
        <v>6465</v>
      </c>
      <c r="J1011" s="2" t="s">
        <v>4696</v>
      </c>
      <c r="K1011" s="2" t="s">
        <v>4696</v>
      </c>
      <c r="L1011" s="2" t="s">
        <v>4696</v>
      </c>
      <c r="M1011" s="2" t="s">
        <v>4696</v>
      </c>
      <c r="N1011" s="2"/>
      <c r="O1011" s="2"/>
      <c r="P1011" s="2"/>
      <c r="Q1011" s="2"/>
    </row>
    <row r="1012" spans="1:17" x14ac:dyDescent="0.3">
      <c r="A1012" s="2">
        <v>3259</v>
      </c>
      <c r="B1012" s="2" t="s">
        <v>2731</v>
      </c>
      <c r="C1012" s="2" t="s">
        <v>2732</v>
      </c>
      <c r="D1012" s="2" t="s">
        <v>6028</v>
      </c>
      <c r="E1012" s="2" t="s">
        <v>2733</v>
      </c>
      <c r="F1012" s="2" t="s">
        <v>2</v>
      </c>
      <c r="G1012" s="2" t="s">
        <v>4868</v>
      </c>
      <c r="H1012" s="2" t="s">
        <v>1097</v>
      </c>
      <c r="I1012" s="2" t="s">
        <v>4722</v>
      </c>
      <c r="J1012" s="2" t="s">
        <v>4696</v>
      </c>
      <c r="K1012" s="2" t="s">
        <v>4696</v>
      </c>
      <c r="L1012" s="2" t="s">
        <v>4696</v>
      </c>
      <c r="M1012" s="2" t="s">
        <v>2</v>
      </c>
      <c r="N1012" s="2"/>
      <c r="O1012" s="2"/>
      <c r="P1012" s="2"/>
      <c r="Q1012" s="2"/>
    </row>
    <row r="1013" spans="1:17" x14ac:dyDescent="0.3">
      <c r="A1013" s="2">
        <v>3260</v>
      </c>
      <c r="B1013" s="2" t="s">
        <v>2734</v>
      </c>
      <c r="C1013" s="2" t="s">
        <v>2735</v>
      </c>
      <c r="D1013" s="2" t="s">
        <v>6002</v>
      </c>
      <c r="E1013" s="2" t="s">
        <v>2736</v>
      </c>
      <c r="F1013" s="2" t="s">
        <v>2</v>
      </c>
      <c r="G1013" s="2" t="s">
        <v>4869</v>
      </c>
      <c r="H1013" s="2" t="s">
        <v>1928</v>
      </c>
      <c r="I1013" s="2" t="s">
        <v>4763</v>
      </c>
      <c r="J1013" s="2" t="s">
        <v>6519</v>
      </c>
      <c r="K1013" s="2" t="s">
        <v>4690</v>
      </c>
      <c r="L1013" s="2" t="s">
        <v>4691</v>
      </c>
      <c r="M1013" s="2" t="s">
        <v>4696</v>
      </c>
      <c r="N1013" s="2"/>
      <c r="O1013" s="2"/>
      <c r="P1013" s="2"/>
      <c r="Q1013" s="2"/>
    </row>
    <row r="1014" spans="1:17" x14ac:dyDescent="0.3">
      <c r="A1014" s="2">
        <v>3264</v>
      </c>
      <c r="B1014" s="2" t="s">
        <v>2737</v>
      </c>
      <c r="C1014" s="2" t="s">
        <v>2738</v>
      </c>
      <c r="D1014" s="2" t="s">
        <v>6007</v>
      </c>
      <c r="E1014" s="2" t="s">
        <v>6520</v>
      </c>
      <c r="F1014" s="2" t="s">
        <v>2</v>
      </c>
      <c r="G1014" s="2" t="s">
        <v>4870</v>
      </c>
      <c r="H1014" s="2" t="s">
        <v>404</v>
      </c>
      <c r="I1014" s="2" t="s">
        <v>4727</v>
      </c>
      <c r="J1014" s="2" t="s">
        <v>6521</v>
      </c>
      <c r="K1014" s="2" t="s">
        <v>4690</v>
      </c>
      <c r="L1014" s="2" t="s">
        <v>4691</v>
      </c>
      <c r="M1014" s="2" t="s">
        <v>4696</v>
      </c>
      <c r="N1014" s="2"/>
      <c r="O1014" s="2"/>
      <c r="P1014" s="2"/>
      <c r="Q1014" s="2"/>
    </row>
    <row r="1015" spans="1:17" x14ac:dyDescent="0.3">
      <c r="A1015" s="2">
        <v>3265</v>
      </c>
      <c r="B1015" s="2" t="s">
        <v>2739</v>
      </c>
      <c r="C1015" s="2" t="s">
        <v>2740</v>
      </c>
      <c r="D1015" s="2" t="s">
        <v>6051</v>
      </c>
      <c r="E1015" s="2" t="s">
        <v>2741</v>
      </c>
      <c r="F1015" s="2" t="s">
        <v>2</v>
      </c>
      <c r="G1015" s="2" t="s">
        <v>4871</v>
      </c>
      <c r="H1015" s="2" t="s">
        <v>6006</v>
      </c>
      <c r="I1015" s="2" t="s">
        <v>4872</v>
      </c>
      <c r="J1015" s="2" t="s">
        <v>4696</v>
      </c>
      <c r="K1015" s="2" t="s">
        <v>4696</v>
      </c>
      <c r="L1015" s="2" t="s">
        <v>4696</v>
      </c>
      <c r="M1015" s="2" t="s">
        <v>2</v>
      </c>
      <c r="N1015" s="2"/>
      <c r="O1015" s="2"/>
      <c r="P1015" s="2"/>
      <c r="Q1015" s="2"/>
    </row>
    <row r="1016" spans="1:17" x14ac:dyDescent="0.3">
      <c r="A1016" s="2">
        <v>3268</v>
      </c>
      <c r="B1016" s="2" t="s">
        <v>284</v>
      </c>
      <c r="C1016" s="2" t="s">
        <v>2742</v>
      </c>
      <c r="D1016" s="2" t="s">
        <v>6015</v>
      </c>
      <c r="E1016" s="2" t="s">
        <v>2743</v>
      </c>
      <c r="F1016" s="2" t="s">
        <v>41</v>
      </c>
      <c r="G1016" s="2" t="s">
        <v>4873</v>
      </c>
      <c r="H1016" s="2" t="s">
        <v>456</v>
      </c>
      <c r="I1016" s="2" t="s">
        <v>4717</v>
      </c>
      <c r="J1016" s="2" t="s">
        <v>4696</v>
      </c>
      <c r="K1016" s="2" t="s">
        <v>4696</v>
      </c>
      <c r="L1016" s="2" t="s">
        <v>4696</v>
      </c>
      <c r="M1016" s="2" t="s">
        <v>4696</v>
      </c>
      <c r="N1016" s="2"/>
      <c r="O1016" s="2"/>
      <c r="P1016" s="2"/>
      <c r="Q1016" s="2"/>
    </row>
    <row r="1017" spans="1:17" x14ac:dyDescent="0.3">
      <c r="A1017" s="2">
        <v>3272</v>
      </c>
      <c r="B1017" s="2" t="s">
        <v>2744</v>
      </c>
      <c r="C1017" s="2" t="s">
        <v>2745</v>
      </c>
      <c r="D1017" s="2" t="s">
        <v>6024</v>
      </c>
      <c r="E1017" s="2" t="s">
        <v>6522</v>
      </c>
      <c r="F1017" s="2" t="s">
        <v>41</v>
      </c>
      <c r="G1017" s="2">
        <v>89191200</v>
      </c>
      <c r="H1017" s="2" t="s">
        <v>996</v>
      </c>
      <c r="I1017" s="2" t="s">
        <v>4765</v>
      </c>
      <c r="J1017" s="2" t="s">
        <v>4696</v>
      </c>
      <c r="K1017" s="2" t="s">
        <v>4696</v>
      </c>
      <c r="L1017" s="2" t="s">
        <v>4696</v>
      </c>
      <c r="M1017" s="2" t="s">
        <v>2</v>
      </c>
      <c r="N1017" s="2"/>
      <c r="O1017" s="2"/>
      <c r="P1017" s="2"/>
      <c r="Q1017" s="2"/>
    </row>
    <row r="1018" spans="1:17" x14ac:dyDescent="0.3">
      <c r="A1018" s="2">
        <v>3276</v>
      </c>
      <c r="B1018" s="2" t="s">
        <v>2746</v>
      </c>
      <c r="C1018" s="2" t="s">
        <v>6523</v>
      </c>
      <c r="D1018" s="2" t="s">
        <v>6021</v>
      </c>
      <c r="E1018" s="2" t="s">
        <v>2747</v>
      </c>
      <c r="F1018" s="2" t="s">
        <v>41</v>
      </c>
      <c r="G1018" s="2" t="s">
        <v>4874</v>
      </c>
      <c r="H1018" s="2" t="s">
        <v>456</v>
      </c>
      <c r="I1018" s="2" t="s">
        <v>4723</v>
      </c>
      <c r="J1018" s="2" t="s">
        <v>4696</v>
      </c>
      <c r="K1018" s="2" t="s">
        <v>4696</v>
      </c>
      <c r="L1018" s="2" t="s">
        <v>4696</v>
      </c>
      <c r="M1018" s="2" t="s">
        <v>2</v>
      </c>
      <c r="N1018" s="2"/>
      <c r="O1018" s="2"/>
      <c r="P1018" s="2"/>
      <c r="Q1018" s="2"/>
    </row>
    <row r="1019" spans="1:17" x14ac:dyDescent="0.3">
      <c r="A1019" s="2">
        <v>3284</v>
      </c>
      <c r="B1019" s="2" t="s">
        <v>333</v>
      </c>
      <c r="C1019" s="2" t="s">
        <v>2748</v>
      </c>
      <c r="D1019" s="2" t="s">
        <v>6020</v>
      </c>
      <c r="E1019" s="2" t="s">
        <v>6524</v>
      </c>
      <c r="F1019" s="2" t="s">
        <v>2</v>
      </c>
      <c r="G1019" s="2" t="s">
        <v>4875</v>
      </c>
      <c r="H1019" s="2" t="s">
        <v>465</v>
      </c>
      <c r="I1019" s="2" t="s">
        <v>4707</v>
      </c>
      <c r="J1019" s="2" t="s">
        <v>4696</v>
      </c>
      <c r="K1019" s="2" t="s">
        <v>4696</v>
      </c>
      <c r="L1019" s="2" t="s">
        <v>4696</v>
      </c>
      <c r="M1019" s="2" t="s">
        <v>4696</v>
      </c>
      <c r="N1019" s="2"/>
      <c r="O1019" s="2"/>
      <c r="P1019" s="2"/>
      <c r="Q1019" s="2"/>
    </row>
    <row r="1020" spans="1:17" x14ac:dyDescent="0.3">
      <c r="A1020" s="2">
        <v>3285</v>
      </c>
      <c r="B1020" s="2" t="s">
        <v>104</v>
      </c>
      <c r="C1020" s="2" t="s">
        <v>2749</v>
      </c>
      <c r="D1020" s="2" t="s">
        <v>6016</v>
      </c>
      <c r="E1020" s="2" t="s">
        <v>6525</v>
      </c>
      <c r="F1020" s="2" t="s">
        <v>41</v>
      </c>
      <c r="G1020" s="2" t="s">
        <v>4876</v>
      </c>
      <c r="H1020" s="2" t="s">
        <v>631</v>
      </c>
      <c r="I1020" s="2" t="s">
        <v>48</v>
      </c>
      <c r="J1020" s="2" t="s">
        <v>4696</v>
      </c>
      <c r="K1020" s="2" t="s">
        <v>4696</v>
      </c>
      <c r="L1020" s="2" t="s">
        <v>4696</v>
      </c>
      <c r="M1020" s="2" t="s">
        <v>4696</v>
      </c>
      <c r="N1020" s="2"/>
      <c r="O1020" s="2"/>
      <c r="P1020" s="2"/>
      <c r="Q1020" s="2"/>
    </row>
    <row r="1021" spans="1:17" x14ac:dyDescent="0.3">
      <c r="A1021" s="2">
        <v>3287</v>
      </c>
      <c r="B1021" s="2" t="s">
        <v>2750</v>
      </c>
      <c r="C1021" s="2" t="s">
        <v>2751</v>
      </c>
      <c r="D1021" s="2" t="s">
        <v>6001</v>
      </c>
      <c r="E1021" s="2" t="s">
        <v>2752</v>
      </c>
      <c r="F1021" s="2" t="s">
        <v>2</v>
      </c>
      <c r="G1021" s="2" t="s">
        <v>4877</v>
      </c>
      <c r="H1021" s="2" t="s">
        <v>465</v>
      </c>
      <c r="I1021" s="2" t="s">
        <v>4712</v>
      </c>
      <c r="J1021" s="2" t="s">
        <v>4696</v>
      </c>
      <c r="K1021" s="2" t="s">
        <v>4696</v>
      </c>
      <c r="L1021" s="2" t="s">
        <v>4696</v>
      </c>
      <c r="M1021" s="2" t="s">
        <v>4696</v>
      </c>
      <c r="N1021" s="2"/>
      <c r="O1021" s="2"/>
      <c r="P1021" s="2"/>
      <c r="Q1021" s="2"/>
    </row>
    <row r="1022" spans="1:17" x14ac:dyDescent="0.3">
      <c r="A1022" s="2">
        <v>3288</v>
      </c>
      <c r="B1022" s="2" t="s">
        <v>2753</v>
      </c>
      <c r="C1022" s="2" t="s">
        <v>2754</v>
      </c>
      <c r="D1022" s="2" t="s">
        <v>6021</v>
      </c>
      <c r="E1022" s="2" t="s">
        <v>6526</v>
      </c>
      <c r="F1022" s="2" t="s">
        <v>41</v>
      </c>
      <c r="G1022" s="2" t="s">
        <v>4878</v>
      </c>
      <c r="H1022" s="2" t="s">
        <v>431</v>
      </c>
      <c r="I1022" s="2" t="s">
        <v>4702</v>
      </c>
      <c r="J1022" s="2" t="s">
        <v>4696</v>
      </c>
      <c r="K1022" s="2" t="s">
        <v>4696</v>
      </c>
      <c r="L1022" s="2" t="s">
        <v>4696</v>
      </c>
      <c r="M1022" s="2" t="s">
        <v>4696</v>
      </c>
      <c r="N1022" s="2"/>
      <c r="O1022" s="2"/>
      <c r="P1022" s="2"/>
      <c r="Q1022" s="2"/>
    </row>
    <row r="1023" spans="1:17" x14ac:dyDescent="0.3">
      <c r="A1023" s="2">
        <v>3289</v>
      </c>
      <c r="B1023" s="2" t="s">
        <v>2755</v>
      </c>
      <c r="C1023" s="2" t="s">
        <v>2756</v>
      </c>
      <c r="D1023" s="2" t="s">
        <v>6016</v>
      </c>
      <c r="E1023" s="2" t="s">
        <v>2757</v>
      </c>
      <c r="F1023" s="2" t="s">
        <v>2</v>
      </c>
      <c r="G1023" s="2" t="s">
        <v>4879</v>
      </c>
      <c r="H1023" s="2" t="s">
        <v>831</v>
      </c>
      <c r="I1023" s="2" t="s">
        <v>4745</v>
      </c>
      <c r="J1023" s="2" t="s">
        <v>4696</v>
      </c>
      <c r="K1023" s="2" t="s">
        <v>4696</v>
      </c>
      <c r="L1023" s="2" t="s">
        <v>4696</v>
      </c>
      <c r="M1023" s="2" t="s">
        <v>2</v>
      </c>
      <c r="N1023" s="2"/>
      <c r="O1023" s="2"/>
      <c r="P1023" s="2"/>
      <c r="Q1023" s="2"/>
    </row>
    <row r="1024" spans="1:17" x14ac:dyDescent="0.3">
      <c r="A1024" s="2">
        <v>3290</v>
      </c>
      <c r="B1024" s="2" t="s">
        <v>2758</v>
      </c>
      <c r="C1024" s="2" t="s">
        <v>2759</v>
      </c>
      <c r="D1024" s="2" t="s">
        <v>6025</v>
      </c>
      <c r="E1024" s="2" t="s">
        <v>6527</v>
      </c>
      <c r="F1024" s="2" t="s">
        <v>2</v>
      </c>
      <c r="G1024" s="2" t="s">
        <v>4880</v>
      </c>
      <c r="H1024" s="2" t="s">
        <v>404</v>
      </c>
      <c r="I1024" s="2" t="s">
        <v>4697</v>
      </c>
      <c r="J1024" s="2" t="s">
        <v>4696</v>
      </c>
      <c r="K1024" s="2" t="s">
        <v>4696</v>
      </c>
      <c r="L1024" s="2" t="s">
        <v>4696</v>
      </c>
      <c r="M1024" s="2" t="s">
        <v>2</v>
      </c>
      <c r="N1024" s="2"/>
      <c r="O1024" s="2"/>
      <c r="P1024" s="2"/>
      <c r="Q1024" s="2"/>
    </row>
    <row r="1025" spans="1:17" x14ac:dyDescent="0.3">
      <c r="A1025" s="2">
        <v>3291</v>
      </c>
      <c r="B1025" s="2" t="s">
        <v>299</v>
      </c>
      <c r="C1025" s="2" t="s">
        <v>2760</v>
      </c>
      <c r="D1025" s="2" t="s">
        <v>6528</v>
      </c>
      <c r="E1025" s="2" t="s">
        <v>2761</v>
      </c>
      <c r="F1025" s="2" t="s">
        <v>41</v>
      </c>
      <c r="G1025" s="2" t="s">
        <v>4881</v>
      </c>
      <c r="H1025" s="2" t="s">
        <v>2762</v>
      </c>
      <c r="I1025" s="2" t="s">
        <v>4718</v>
      </c>
      <c r="J1025" s="2" t="s">
        <v>4696</v>
      </c>
      <c r="K1025" s="2" t="s">
        <v>4696</v>
      </c>
      <c r="L1025" s="2" t="s">
        <v>4696</v>
      </c>
      <c r="M1025" s="2" t="s">
        <v>2</v>
      </c>
      <c r="N1025" s="2"/>
      <c r="O1025" s="2"/>
      <c r="P1025" s="2"/>
      <c r="Q1025" s="2"/>
    </row>
    <row r="1026" spans="1:17" x14ac:dyDescent="0.3">
      <c r="A1026" s="2">
        <v>3293</v>
      </c>
      <c r="B1026" s="2" t="s">
        <v>2763</v>
      </c>
      <c r="C1026" s="2" t="s">
        <v>2764</v>
      </c>
      <c r="D1026" s="2" t="s">
        <v>6007</v>
      </c>
      <c r="E1026" s="2" t="s">
        <v>2765</v>
      </c>
      <c r="F1026" s="2" t="s">
        <v>2</v>
      </c>
      <c r="G1026" s="2" t="s">
        <v>4882</v>
      </c>
      <c r="H1026" s="2" t="s">
        <v>753</v>
      </c>
      <c r="I1026" s="2" t="s">
        <v>4693</v>
      </c>
      <c r="J1026" s="2" t="s">
        <v>4696</v>
      </c>
      <c r="K1026" s="2" t="s">
        <v>4696</v>
      </c>
      <c r="L1026" s="2" t="s">
        <v>4696</v>
      </c>
      <c r="M1026" s="2" t="s">
        <v>2</v>
      </c>
      <c r="N1026" s="2"/>
      <c r="O1026" s="2"/>
      <c r="P1026" s="2"/>
      <c r="Q1026" s="2"/>
    </row>
    <row r="1027" spans="1:17" x14ac:dyDescent="0.3">
      <c r="A1027" s="2">
        <v>3294</v>
      </c>
      <c r="B1027" s="2" t="s">
        <v>2766</v>
      </c>
      <c r="C1027" s="2" t="s">
        <v>2767</v>
      </c>
      <c r="D1027" s="2" t="s">
        <v>6000</v>
      </c>
      <c r="E1027" s="2" t="s">
        <v>2768</v>
      </c>
      <c r="F1027" s="2" t="s">
        <v>2</v>
      </c>
      <c r="G1027" s="2">
        <v>22687790</v>
      </c>
      <c r="H1027" s="2" t="s">
        <v>404</v>
      </c>
      <c r="I1027" s="2" t="s">
        <v>4697</v>
      </c>
      <c r="J1027" s="2" t="s">
        <v>4696</v>
      </c>
      <c r="K1027" s="2" t="s">
        <v>4696</v>
      </c>
      <c r="L1027" s="2" t="s">
        <v>4696</v>
      </c>
      <c r="M1027" s="2" t="s">
        <v>4696</v>
      </c>
      <c r="N1027" s="2"/>
      <c r="O1027" s="2"/>
      <c r="P1027" s="2"/>
      <c r="Q1027" s="2"/>
    </row>
    <row r="1028" spans="1:17" x14ac:dyDescent="0.3">
      <c r="A1028" s="2">
        <v>3297</v>
      </c>
      <c r="B1028" s="2" t="s">
        <v>2769</v>
      </c>
      <c r="C1028" s="2" t="s">
        <v>2770</v>
      </c>
      <c r="D1028" s="2" t="s">
        <v>6082</v>
      </c>
      <c r="E1028" s="2" t="s">
        <v>6529</v>
      </c>
      <c r="F1028" s="2" t="s">
        <v>41</v>
      </c>
      <c r="G1028" s="2" t="s">
        <v>4883</v>
      </c>
      <c r="H1028" s="2" t="s">
        <v>456</v>
      </c>
      <c r="I1028" s="2" t="s">
        <v>4723</v>
      </c>
      <c r="J1028" s="2" t="s">
        <v>4696</v>
      </c>
      <c r="K1028" s="2" t="s">
        <v>4696</v>
      </c>
      <c r="L1028" s="2" t="s">
        <v>4696</v>
      </c>
      <c r="M1028" s="2" t="s">
        <v>2</v>
      </c>
      <c r="N1028" s="2"/>
      <c r="O1028" s="2"/>
      <c r="P1028" s="2"/>
      <c r="Q1028" s="2"/>
    </row>
    <row r="1029" spans="1:17" x14ac:dyDescent="0.3">
      <c r="A1029" s="2">
        <v>3299</v>
      </c>
      <c r="B1029" s="2" t="s">
        <v>322</v>
      </c>
      <c r="C1029" s="2" t="s">
        <v>2771</v>
      </c>
      <c r="D1029" s="2" t="s">
        <v>6051</v>
      </c>
      <c r="E1029" s="2" t="s">
        <v>2772</v>
      </c>
      <c r="F1029" s="2" t="s">
        <v>2</v>
      </c>
      <c r="G1029" s="2" t="s">
        <v>4884</v>
      </c>
      <c r="H1029" s="2" t="s">
        <v>817</v>
      </c>
      <c r="I1029" s="2" t="s">
        <v>4700</v>
      </c>
      <c r="J1029" s="2" t="s">
        <v>4696</v>
      </c>
      <c r="K1029" s="2" t="s">
        <v>4696</v>
      </c>
      <c r="L1029" s="2" t="s">
        <v>4696</v>
      </c>
      <c r="M1029" s="2" t="s">
        <v>2</v>
      </c>
      <c r="N1029" s="2"/>
      <c r="O1029" s="2"/>
      <c r="P1029" s="2"/>
      <c r="Q1029" s="2"/>
    </row>
    <row r="1030" spans="1:17" x14ac:dyDescent="0.3">
      <c r="A1030" s="2">
        <v>3303</v>
      </c>
      <c r="B1030" s="2" t="s">
        <v>176</v>
      </c>
      <c r="C1030" s="2" t="s">
        <v>2773</v>
      </c>
      <c r="D1030" s="2" t="s">
        <v>6000</v>
      </c>
      <c r="E1030" s="2" t="s">
        <v>6530</v>
      </c>
      <c r="F1030" s="2" t="s">
        <v>41</v>
      </c>
      <c r="G1030" s="2" t="s">
        <v>4885</v>
      </c>
      <c r="H1030" s="2" t="s">
        <v>2774</v>
      </c>
      <c r="I1030" s="2" t="s">
        <v>6465</v>
      </c>
      <c r="J1030" s="2" t="s">
        <v>4696</v>
      </c>
      <c r="K1030" s="2" t="s">
        <v>4696</v>
      </c>
      <c r="L1030" s="2" t="s">
        <v>4696</v>
      </c>
      <c r="M1030" s="2" t="s">
        <v>2</v>
      </c>
      <c r="N1030" s="2"/>
      <c r="O1030" s="2"/>
      <c r="P1030" s="2"/>
      <c r="Q1030" s="2"/>
    </row>
    <row r="1031" spans="1:17" x14ac:dyDescent="0.3">
      <c r="A1031" s="2">
        <v>3306</v>
      </c>
      <c r="B1031" s="2" t="s">
        <v>2775</v>
      </c>
      <c r="C1031" s="2" t="s">
        <v>2776</v>
      </c>
      <c r="D1031" s="2" t="s">
        <v>6016</v>
      </c>
      <c r="E1031" s="2" t="s">
        <v>2777</v>
      </c>
      <c r="F1031" s="2" t="s">
        <v>2</v>
      </c>
      <c r="G1031" s="2" t="s">
        <v>4886</v>
      </c>
      <c r="H1031" s="2" t="s">
        <v>996</v>
      </c>
      <c r="I1031" s="2" t="s">
        <v>4745</v>
      </c>
      <c r="J1031" s="2" t="s">
        <v>4696</v>
      </c>
      <c r="K1031" s="2" t="s">
        <v>4696</v>
      </c>
      <c r="L1031" s="2" t="s">
        <v>4696</v>
      </c>
      <c r="M1031" s="2" t="s">
        <v>2</v>
      </c>
      <c r="N1031" s="2"/>
      <c r="O1031" s="2"/>
      <c r="P1031" s="2"/>
      <c r="Q1031" s="2"/>
    </row>
    <row r="1032" spans="1:17" x14ac:dyDescent="0.3">
      <c r="A1032" s="2">
        <v>3310</v>
      </c>
      <c r="B1032" s="2" t="s">
        <v>2778</v>
      </c>
      <c r="C1032" s="2" t="s">
        <v>2779</v>
      </c>
      <c r="D1032" s="2" t="s">
        <v>6024</v>
      </c>
      <c r="E1032" s="2" t="s">
        <v>2779</v>
      </c>
      <c r="F1032" s="2" t="s">
        <v>2</v>
      </c>
      <c r="G1032" s="2" t="s">
        <v>4887</v>
      </c>
      <c r="H1032" s="2" t="s">
        <v>1251</v>
      </c>
      <c r="I1032" s="2" t="s">
        <v>6465</v>
      </c>
      <c r="J1032" s="2" t="s">
        <v>4696</v>
      </c>
      <c r="K1032" s="2" t="s">
        <v>4696</v>
      </c>
      <c r="L1032" s="2" t="s">
        <v>4696</v>
      </c>
      <c r="M1032" s="2" t="s">
        <v>2</v>
      </c>
      <c r="N1032" s="2"/>
      <c r="O1032" s="2"/>
      <c r="P1032" s="2"/>
      <c r="Q1032" s="2"/>
    </row>
    <row r="1033" spans="1:17" x14ac:dyDescent="0.3">
      <c r="A1033" s="2">
        <v>3313</v>
      </c>
      <c r="B1033" s="2" t="s">
        <v>352</v>
      </c>
      <c r="C1033" s="2" t="s">
        <v>2780</v>
      </c>
      <c r="D1033" s="2" t="s">
        <v>6024</v>
      </c>
      <c r="E1033" s="2" t="s">
        <v>2781</v>
      </c>
      <c r="F1033" s="2" t="s">
        <v>41</v>
      </c>
      <c r="G1033" s="2" t="s">
        <v>4888</v>
      </c>
      <c r="H1033" s="2" t="s">
        <v>1063</v>
      </c>
      <c r="I1033" s="2" t="s">
        <v>4768</v>
      </c>
      <c r="J1033" s="2" t="s">
        <v>4696</v>
      </c>
      <c r="K1033" s="2" t="s">
        <v>4696</v>
      </c>
      <c r="L1033" s="2" t="s">
        <v>4696</v>
      </c>
      <c r="M1033" s="2" t="s">
        <v>2</v>
      </c>
      <c r="N1033" s="2"/>
      <c r="O1033" s="2"/>
      <c r="P1033" s="2"/>
      <c r="Q1033" s="2"/>
    </row>
    <row r="1034" spans="1:17" x14ac:dyDescent="0.3">
      <c r="A1034" s="2">
        <v>3317</v>
      </c>
      <c r="B1034" s="2" t="s">
        <v>2782</v>
      </c>
      <c r="C1034" s="2" t="s">
        <v>2783</v>
      </c>
      <c r="D1034" s="2" t="s">
        <v>6021</v>
      </c>
      <c r="E1034" s="2" t="s">
        <v>2784</v>
      </c>
      <c r="F1034" s="2" t="s">
        <v>41</v>
      </c>
      <c r="G1034" s="2" t="s">
        <v>4889</v>
      </c>
      <c r="H1034" s="2" t="s">
        <v>574</v>
      </c>
      <c r="I1034" s="2" t="s">
        <v>20</v>
      </c>
      <c r="J1034" s="2" t="s">
        <v>4696</v>
      </c>
      <c r="K1034" s="2" t="s">
        <v>4696</v>
      </c>
      <c r="L1034" s="2" t="s">
        <v>4696</v>
      </c>
      <c r="M1034" s="2" t="s">
        <v>4696</v>
      </c>
      <c r="N1034" s="2"/>
      <c r="O1034" s="2"/>
      <c r="P1034" s="2"/>
      <c r="Q1034" s="2"/>
    </row>
    <row r="1035" spans="1:17" x14ac:dyDescent="0.3">
      <c r="A1035" s="2">
        <v>3322</v>
      </c>
      <c r="B1035" s="2" t="s">
        <v>2785</v>
      </c>
      <c r="C1035" s="2" t="s">
        <v>2786</v>
      </c>
      <c r="D1035" s="2" t="s">
        <v>6024</v>
      </c>
      <c r="E1035" s="2" t="s">
        <v>6531</v>
      </c>
      <c r="F1035" s="2" t="s">
        <v>41</v>
      </c>
      <c r="G1035" s="2">
        <v>26984882</v>
      </c>
      <c r="H1035" s="2" t="s">
        <v>451</v>
      </c>
      <c r="I1035" s="2">
        <v>23148800</v>
      </c>
      <c r="J1035" s="2" t="s">
        <v>4696</v>
      </c>
      <c r="K1035" s="2" t="s">
        <v>4696</v>
      </c>
      <c r="L1035" s="2" t="s">
        <v>4696</v>
      </c>
      <c r="M1035" s="2" t="s">
        <v>2</v>
      </c>
      <c r="N1035" s="2"/>
      <c r="O1035" s="2"/>
      <c r="P1035" s="2"/>
      <c r="Q1035" s="2"/>
    </row>
    <row r="1036" spans="1:17" x14ac:dyDescent="0.3">
      <c r="A1036" s="2">
        <v>3323</v>
      </c>
      <c r="B1036" s="2" t="s">
        <v>45</v>
      </c>
      <c r="C1036" s="2" t="s">
        <v>2787</v>
      </c>
      <c r="D1036" s="2" t="s">
        <v>6001</v>
      </c>
      <c r="E1036" s="2" t="s">
        <v>2788</v>
      </c>
      <c r="F1036" s="2" t="s">
        <v>2</v>
      </c>
      <c r="G1036" s="2" t="s">
        <v>4890</v>
      </c>
      <c r="H1036" s="2" t="s">
        <v>404</v>
      </c>
      <c r="I1036" s="2" t="s">
        <v>4700</v>
      </c>
      <c r="J1036" s="2" t="s">
        <v>4696</v>
      </c>
      <c r="K1036" s="2" t="s">
        <v>4696</v>
      </c>
      <c r="L1036" s="2" t="s">
        <v>4696</v>
      </c>
      <c r="M1036" s="2" t="s">
        <v>4696</v>
      </c>
      <c r="N1036" s="2"/>
      <c r="O1036" s="2"/>
      <c r="P1036" s="2"/>
      <c r="Q1036" s="2"/>
    </row>
    <row r="1037" spans="1:17" x14ac:dyDescent="0.3">
      <c r="A1037" s="2">
        <v>3324</v>
      </c>
      <c r="B1037" s="2" t="s">
        <v>2789</v>
      </c>
      <c r="C1037" s="2" t="s">
        <v>2790</v>
      </c>
      <c r="D1037" s="2" t="s">
        <v>6025</v>
      </c>
      <c r="E1037" s="2" t="s">
        <v>2344</v>
      </c>
      <c r="F1037" s="2" t="s">
        <v>2</v>
      </c>
      <c r="G1037" s="2" t="s">
        <v>4891</v>
      </c>
      <c r="H1037" s="2" t="s">
        <v>456</v>
      </c>
      <c r="I1037" s="2" t="s">
        <v>4723</v>
      </c>
      <c r="J1037" s="2" t="s">
        <v>4696</v>
      </c>
      <c r="K1037" s="2" t="s">
        <v>4696</v>
      </c>
      <c r="L1037" s="2" t="s">
        <v>4696</v>
      </c>
      <c r="M1037" s="2" t="s">
        <v>2</v>
      </c>
      <c r="N1037" s="2"/>
      <c r="O1037" s="2"/>
      <c r="P1037" s="2"/>
      <c r="Q1037" s="2"/>
    </row>
    <row r="1038" spans="1:17" x14ac:dyDescent="0.3">
      <c r="A1038" s="2">
        <v>3325</v>
      </c>
      <c r="B1038" s="2" t="s">
        <v>2791</v>
      </c>
      <c r="C1038" s="2" t="s">
        <v>2792</v>
      </c>
      <c r="D1038" s="2" t="s">
        <v>6014</v>
      </c>
      <c r="E1038" s="2" t="s">
        <v>2793</v>
      </c>
      <c r="F1038" s="2" t="s">
        <v>2</v>
      </c>
      <c r="G1038" s="2" t="s">
        <v>4892</v>
      </c>
      <c r="H1038" s="2" t="s">
        <v>565</v>
      </c>
      <c r="I1038" s="2" t="s">
        <v>4758</v>
      </c>
      <c r="J1038" s="2" t="s">
        <v>4696</v>
      </c>
      <c r="K1038" s="2" t="s">
        <v>4696</v>
      </c>
      <c r="L1038" s="2" t="s">
        <v>4696</v>
      </c>
      <c r="M1038" s="2" t="s">
        <v>4696</v>
      </c>
      <c r="N1038" s="2"/>
      <c r="O1038" s="2"/>
      <c r="P1038" s="2"/>
      <c r="Q1038" s="2"/>
    </row>
    <row r="1039" spans="1:17" x14ac:dyDescent="0.3">
      <c r="A1039" s="2">
        <v>3332</v>
      </c>
      <c r="B1039" s="2" t="s">
        <v>2794</v>
      </c>
      <c r="C1039" s="2" t="s">
        <v>2795</v>
      </c>
      <c r="D1039" s="2" t="s">
        <v>6004</v>
      </c>
      <c r="E1039" s="2" t="s">
        <v>6532</v>
      </c>
      <c r="F1039" s="2" t="s">
        <v>41</v>
      </c>
      <c r="G1039" s="2">
        <v>27086210</v>
      </c>
      <c r="H1039" s="2" t="s">
        <v>404</v>
      </c>
      <c r="I1039" s="2" t="s">
        <v>4700</v>
      </c>
      <c r="J1039" s="2" t="s">
        <v>4696</v>
      </c>
      <c r="K1039" s="2" t="s">
        <v>4696</v>
      </c>
      <c r="L1039" s="2" t="s">
        <v>4696</v>
      </c>
      <c r="M1039" s="2" t="s">
        <v>2</v>
      </c>
      <c r="N1039" s="2"/>
      <c r="O1039" s="2"/>
      <c r="P1039" s="2"/>
      <c r="Q1039" s="2"/>
    </row>
    <row r="1040" spans="1:17" x14ac:dyDescent="0.3">
      <c r="A1040" s="2">
        <v>3339</v>
      </c>
      <c r="B1040" s="2" t="s">
        <v>2796</v>
      </c>
      <c r="C1040" s="2" t="s">
        <v>2797</v>
      </c>
      <c r="D1040" s="2" t="s">
        <v>6010</v>
      </c>
      <c r="E1040" s="2" t="s">
        <v>2798</v>
      </c>
      <c r="F1040" s="2" t="s">
        <v>2</v>
      </c>
      <c r="G1040" s="2" t="s">
        <v>4893</v>
      </c>
      <c r="H1040" s="2" t="s">
        <v>640</v>
      </c>
      <c r="I1040" s="2" t="s">
        <v>6450</v>
      </c>
      <c r="J1040" s="2" t="s">
        <v>4696</v>
      </c>
      <c r="K1040" s="2" t="s">
        <v>4696</v>
      </c>
      <c r="L1040" s="2" t="s">
        <v>4696</v>
      </c>
      <c r="M1040" s="2" t="s">
        <v>4696</v>
      </c>
      <c r="N1040" s="2"/>
      <c r="O1040" s="2"/>
      <c r="P1040" s="2"/>
      <c r="Q1040" s="2"/>
    </row>
    <row r="1041" spans="1:17" x14ac:dyDescent="0.3">
      <c r="A1041" s="2">
        <v>3354</v>
      </c>
      <c r="B1041" s="2" t="s">
        <v>2799</v>
      </c>
      <c r="C1041" s="2" t="s">
        <v>2800</v>
      </c>
      <c r="D1041" s="2" t="s">
        <v>6015</v>
      </c>
      <c r="E1041" s="2" t="s">
        <v>2801</v>
      </c>
      <c r="F1041" s="2" t="s">
        <v>2</v>
      </c>
      <c r="G1041" s="2" t="s">
        <v>4894</v>
      </c>
      <c r="H1041" s="2" t="s">
        <v>456</v>
      </c>
      <c r="I1041" s="2" t="s">
        <v>4723</v>
      </c>
      <c r="J1041" s="2" t="s">
        <v>4696</v>
      </c>
      <c r="K1041" s="2" t="s">
        <v>4696</v>
      </c>
      <c r="L1041" s="2" t="s">
        <v>4696</v>
      </c>
      <c r="M1041" s="2" t="s">
        <v>4696</v>
      </c>
      <c r="N1041" s="2"/>
      <c r="O1041" s="2"/>
      <c r="P1041" s="2"/>
      <c r="Q1041" s="2"/>
    </row>
    <row r="1042" spans="1:17" x14ac:dyDescent="0.3">
      <c r="A1042" s="2">
        <v>3360</v>
      </c>
      <c r="B1042" s="2" t="s">
        <v>366</v>
      </c>
      <c r="C1042" s="2" t="s">
        <v>2802</v>
      </c>
      <c r="D1042" s="2" t="s">
        <v>6004</v>
      </c>
      <c r="E1042" s="2" t="s">
        <v>6533</v>
      </c>
      <c r="F1042" s="2" t="s">
        <v>41</v>
      </c>
      <c r="G1042" s="2" t="s">
        <v>4895</v>
      </c>
      <c r="H1042" s="2" t="s">
        <v>431</v>
      </c>
      <c r="I1042" s="2">
        <v>27023999</v>
      </c>
      <c r="J1042" s="2" t="s">
        <v>4696</v>
      </c>
      <c r="K1042" s="2" t="s">
        <v>4696</v>
      </c>
      <c r="L1042" s="2" t="s">
        <v>4696</v>
      </c>
      <c r="M1042" s="2" t="s">
        <v>4696</v>
      </c>
      <c r="N1042" s="2"/>
      <c r="O1042" s="2"/>
      <c r="P1042" s="2"/>
      <c r="Q1042" s="2"/>
    </row>
    <row r="1043" spans="1:17" x14ac:dyDescent="0.3">
      <c r="A1043" s="2">
        <v>3362</v>
      </c>
      <c r="B1043" s="2" t="s">
        <v>2803</v>
      </c>
      <c r="C1043" s="2" t="s">
        <v>2804</v>
      </c>
      <c r="D1043" s="2" t="s">
        <v>6014</v>
      </c>
      <c r="E1043" s="2" t="s">
        <v>2805</v>
      </c>
      <c r="F1043" s="2" t="s">
        <v>41</v>
      </c>
      <c r="G1043" s="2" t="s">
        <v>4896</v>
      </c>
      <c r="H1043" s="2" t="s">
        <v>653</v>
      </c>
      <c r="I1043" s="2" t="s">
        <v>4736</v>
      </c>
      <c r="J1043" s="2" t="s">
        <v>4696</v>
      </c>
      <c r="K1043" s="2" t="s">
        <v>4696</v>
      </c>
      <c r="L1043" s="2" t="s">
        <v>4696</v>
      </c>
      <c r="M1043" s="2" t="s">
        <v>2</v>
      </c>
      <c r="N1043" s="2"/>
      <c r="O1043" s="2"/>
      <c r="P1043" s="2"/>
      <c r="Q1043" s="2"/>
    </row>
    <row r="1044" spans="1:17" x14ac:dyDescent="0.3">
      <c r="A1044" s="2">
        <v>3363</v>
      </c>
      <c r="B1044" s="2" t="s">
        <v>2806</v>
      </c>
      <c r="C1044" s="2" t="s">
        <v>2807</v>
      </c>
      <c r="D1044" s="2" t="s">
        <v>6037</v>
      </c>
      <c r="E1044" s="2" t="s">
        <v>6534</v>
      </c>
      <c r="F1044" s="2" t="s">
        <v>2</v>
      </c>
      <c r="G1044" s="2" t="s">
        <v>4897</v>
      </c>
      <c r="H1044" s="2" t="s">
        <v>2808</v>
      </c>
      <c r="I1044" s="2" t="s">
        <v>4723</v>
      </c>
      <c r="J1044" s="2" t="s">
        <v>4696</v>
      </c>
      <c r="K1044" s="2" t="s">
        <v>4696</v>
      </c>
      <c r="L1044" s="2" t="s">
        <v>4696</v>
      </c>
      <c r="M1044" s="2" t="s">
        <v>2</v>
      </c>
      <c r="N1044" s="2"/>
      <c r="O1044" s="2"/>
      <c r="P1044" s="2"/>
      <c r="Q1044" s="2"/>
    </row>
    <row r="1045" spans="1:17" x14ac:dyDescent="0.3">
      <c r="A1045" s="2">
        <v>3372</v>
      </c>
      <c r="B1045" s="2" t="s">
        <v>64</v>
      </c>
      <c r="C1045" s="2" t="s">
        <v>2809</v>
      </c>
      <c r="D1045" s="2" t="s">
        <v>6051</v>
      </c>
      <c r="E1045" s="2" t="s">
        <v>6535</v>
      </c>
      <c r="F1045" s="2" t="s">
        <v>41</v>
      </c>
      <c r="G1045" s="2" t="s">
        <v>4898</v>
      </c>
      <c r="H1045" s="2" t="s">
        <v>2810</v>
      </c>
      <c r="I1045" s="2" t="s">
        <v>4726</v>
      </c>
      <c r="J1045" s="2" t="s">
        <v>6536</v>
      </c>
      <c r="K1045" s="2" t="s">
        <v>4690</v>
      </c>
      <c r="L1045" s="2" t="s">
        <v>4691</v>
      </c>
      <c r="M1045" s="2" t="s">
        <v>4692</v>
      </c>
      <c r="N1045" s="2"/>
      <c r="O1045" s="2"/>
      <c r="P1045" s="2"/>
      <c r="Q1045" s="2"/>
    </row>
    <row r="1046" spans="1:17" x14ac:dyDescent="0.3">
      <c r="A1046" s="2">
        <v>3373</v>
      </c>
      <c r="B1046" s="2" t="s">
        <v>2811</v>
      </c>
      <c r="C1046" s="2" t="s">
        <v>2812</v>
      </c>
      <c r="D1046" s="2" t="s">
        <v>6001</v>
      </c>
      <c r="E1046" s="2" t="s">
        <v>2813</v>
      </c>
      <c r="F1046" s="2" t="s">
        <v>41</v>
      </c>
      <c r="G1046" s="2" t="s">
        <v>4899</v>
      </c>
      <c r="H1046" s="2" t="s">
        <v>541</v>
      </c>
      <c r="I1046" s="2" t="s">
        <v>4710</v>
      </c>
      <c r="J1046" s="2" t="s">
        <v>4696</v>
      </c>
      <c r="K1046" s="2" t="s">
        <v>4696</v>
      </c>
      <c r="L1046" s="2" t="s">
        <v>4696</v>
      </c>
      <c r="M1046" s="2" t="s">
        <v>4696</v>
      </c>
      <c r="N1046" s="2"/>
      <c r="O1046" s="2"/>
      <c r="P1046" s="2"/>
      <c r="Q1046" s="2"/>
    </row>
    <row r="1047" spans="1:17" x14ac:dyDescent="0.3">
      <c r="A1047" s="2">
        <v>3374</v>
      </c>
      <c r="B1047" s="2" t="s">
        <v>2814</v>
      </c>
      <c r="C1047" s="2" t="s">
        <v>2815</v>
      </c>
      <c r="D1047" s="2" t="s">
        <v>6016</v>
      </c>
      <c r="E1047" s="2" t="s">
        <v>2816</v>
      </c>
      <c r="F1047" s="2" t="s">
        <v>41</v>
      </c>
      <c r="G1047" s="2" t="s">
        <v>4900</v>
      </c>
      <c r="H1047" s="2" t="s">
        <v>2817</v>
      </c>
      <c r="I1047" s="2" t="s">
        <v>4741</v>
      </c>
      <c r="J1047" s="2" t="s">
        <v>6485</v>
      </c>
      <c r="K1047" s="2" t="s">
        <v>4690</v>
      </c>
      <c r="L1047" s="2" t="s">
        <v>4691</v>
      </c>
      <c r="M1047" s="2" t="s">
        <v>4696</v>
      </c>
      <c r="N1047" s="2"/>
      <c r="O1047" s="2"/>
      <c r="P1047" s="2"/>
      <c r="Q1047" s="2"/>
    </row>
    <row r="1048" spans="1:17" x14ac:dyDescent="0.3">
      <c r="A1048" s="2">
        <v>3379</v>
      </c>
      <c r="B1048" s="2" t="s">
        <v>2818</v>
      </c>
      <c r="C1048" s="2" t="s">
        <v>2819</v>
      </c>
      <c r="D1048" s="2" t="s">
        <v>6000</v>
      </c>
      <c r="E1048" s="2" t="s">
        <v>2820</v>
      </c>
      <c r="F1048" s="2" t="s">
        <v>41</v>
      </c>
      <c r="G1048" s="2" t="s">
        <v>4901</v>
      </c>
      <c r="H1048" s="2" t="s">
        <v>404</v>
      </c>
      <c r="I1048" s="2" t="s">
        <v>4697</v>
      </c>
      <c r="J1048" s="2" t="s">
        <v>4696</v>
      </c>
      <c r="K1048" s="2" t="s">
        <v>4696</v>
      </c>
      <c r="L1048" s="2" t="s">
        <v>4696</v>
      </c>
      <c r="M1048" s="2" t="s">
        <v>4696</v>
      </c>
      <c r="N1048" s="2"/>
      <c r="O1048" s="2"/>
      <c r="P1048" s="2"/>
      <c r="Q1048" s="2"/>
    </row>
    <row r="1049" spans="1:17" x14ac:dyDescent="0.3">
      <c r="A1049" s="2">
        <v>3388</v>
      </c>
      <c r="B1049" s="2" t="s">
        <v>2821</v>
      </c>
      <c r="C1049" s="2" t="s">
        <v>2822</v>
      </c>
      <c r="D1049" s="2" t="s">
        <v>6004</v>
      </c>
      <c r="E1049" s="2" t="s">
        <v>2823</v>
      </c>
      <c r="F1049" s="2" t="s">
        <v>41</v>
      </c>
      <c r="G1049" s="2" t="s">
        <v>4902</v>
      </c>
      <c r="H1049" s="2" t="s">
        <v>456</v>
      </c>
      <c r="I1049" s="2" t="s">
        <v>4723</v>
      </c>
      <c r="J1049" s="2" t="s">
        <v>6537</v>
      </c>
      <c r="K1049" s="2" t="s">
        <v>4690</v>
      </c>
      <c r="L1049" s="2" t="s">
        <v>4691</v>
      </c>
      <c r="M1049" s="2" t="s">
        <v>4696</v>
      </c>
      <c r="N1049" s="2"/>
      <c r="O1049" s="2"/>
      <c r="P1049" s="2"/>
      <c r="Q1049" s="2"/>
    </row>
    <row r="1050" spans="1:17" x14ac:dyDescent="0.3">
      <c r="A1050" s="2">
        <v>3390</v>
      </c>
      <c r="B1050" s="2" t="s">
        <v>345</v>
      </c>
      <c r="C1050" s="2" t="s">
        <v>2824</v>
      </c>
      <c r="D1050" s="2" t="s">
        <v>6021</v>
      </c>
      <c r="E1050" s="2" t="s">
        <v>6538</v>
      </c>
      <c r="F1050" s="2" t="s">
        <v>2</v>
      </c>
      <c r="G1050" s="2" t="s">
        <v>4903</v>
      </c>
      <c r="H1050" s="2" t="s">
        <v>1418</v>
      </c>
      <c r="I1050" s="2" t="s">
        <v>4694</v>
      </c>
      <c r="J1050" s="2" t="s">
        <v>4696</v>
      </c>
      <c r="K1050" s="2" t="s">
        <v>4696</v>
      </c>
      <c r="L1050" s="2" t="s">
        <v>4696</v>
      </c>
      <c r="M1050" s="2" t="s">
        <v>4696</v>
      </c>
      <c r="N1050" s="2"/>
      <c r="O1050" s="2"/>
      <c r="P1050" s="2"/>
      <c r="Q1050" s="2"/>
    </row>
    <row r="1051" spans="1:17" x14ac:dyDescent="0.3">
      <c r="A1051" s="2">
        <v>3402</v>
      </c>
      <c r="B1051" s="2" t="s">
        <v>2825</v>
      </c>
      <c r="C1051" s="2" t="s">
        <v>2826</v>
      </c>
      <c r="D1051" s="2" t="s">
        <v>6001</v>
      </c>
      <c r="E1051" s="2" t="s">
        <v>2827</v>
      </c>
      <c r="F1051" s="2" t="s">
        <v>41</v>
      </c>
      <c r="G1051" s="2" t="s">
        <v>4904</v>
      </c>
      <c r="H1051" s="2" t="s">
        <v>431</v>
      </c>
      <c r="I1051" s="2" t="s">
        <v>4728</v>
      </c>
      <c r="J1051" s="2" t="s">
        <v>4696</v>
      </c>
      <c r="K1051" s="2" t="s">
        <v>4696</v>
      </c>
      <c r="L1051" s="2" t="s">
        <v>4696</v>
      </c>
      <c r="M1051" s="2" t="s">
        <v>2</v>
      </c>
      <c r="N1051" s="2"/>
      <c r="O1051" s="2"/>
      <c r="P1051" s="2"/>
      <c r="Q1051" s="2"/>
    </row>
    <row r="1052" spans="1:17" x14ac:dyDescent="0.3">
      <c r="A1052" s="2">
        <v>3428</v>
      </c>
      <c r="B1052" s="2" t="s">
        <v>2828</v>
      </c>
      <c r="C1052" s="2" t="s">
        <v>6539</v>
      </c>
      <c r="D1052" s="2" t="s">
        <v>6004</v>
      </c>
      <c r="E1052" s="2" t="s">
        <v>2829</v>
      </c>
      <c r="F1052" s="2" t="s">
        <v>2</v>
      </c>
      <c r="G1052" s="2" t="s">
        <v>4905</v>
      </c>
      <c r="H1052" s="2" t="s">
        <v>2774</v>
      </c>
      <c r="I1052" s="2" t="s">
        <v>5471</v>
      </c>
      <c r="J1052" s="2" t="s">
        <v>4696</v>
      </c>
      <c r="K1052" s="2" t="s">
        <v>4696</v>
      </c>
      <c r="L1052" s="2" t="s">
        <v>4696</v>
      </c>
      <c r="M1052" s="2" t="s">
        <v>2</v>
      </c>
      <c r="N1052" s="2"/>
      <c r="O1052" s="2"/>
      <c r="P1052" s="2"/>
      <c r="Q1052" s="2"/>
    </row>
    <row r="1053" spans="1:17" x14ac:dyDescent="0.3">
      <c r="A1053" s="2">
        <v>3431</v>
      </c>
      <c r="B1053" s="2" t="s">
        <v>2830</v>
      </c>
      <c r="C1053" s="2" t="s">
        <v>2831</v>
      </c>
      <c r="D1053" s="2" t="s">
        <v>6002</v>
      </c>
      <c r="E1053" s="2" t="s">
        <v>2832</v>
      </c>
      <c r="F1053" s="2" t="s">
        <v>2</v>
      </c>
      <c r="G1053" s="2" t="s">
        <v>4906</v>
      </c>
      <c r="H1053" s="2" t="s">
        <v>475</v>
      </c>
      <c r="I1053" s="2" t="s">
        <v>4768</v>
      </c>
      <c r="J1053" s="2" t="s">
        <v>4696</v>
      </c>
      <c r="K1053" s="2" t="s">
        <v>4696</v>
      </c>
      <c r="L1053" s="2" t="s">
        <v>4696</v>
      </c>
      <c r="M1053" s="2" t="s">
        <v>2</v>
      </c>
      <c r="N1053" s="2"/>
      <c r="O1053" s="2"/>
      <c r="P1053" s="2"/>
      <c r="Q1053" s="2"/>
    </row>
    <row r="1054" spans="1:17" x14ac:dyDescent="0.3">
      <c r="A1054" s="2">
        <v>3434</v>
      </c>
      <c r="B1054" s="2" t="s">
        <v>2833</v>
      </c>
      <c r="C1054" s="2" t="s">
        <v>6540</v>
      </c>
      <c r="D1054" s="2" t="s">
        <v>6002</v>
      </c>
      <c r="E1054" s="2" t="s">
        <v>2834</v>
      </c>
      <c r="F1054" s="2" t="s">
        <v>2</v>
      </c>
      <c r="G1054" s="2" t="s">
        <v>4907</v>
      </c>
      <c r="H1054" s="2" t="s">
        <v>2625</v>
      </c>
      <c r="I1054" s="2" t="s">
        <v>4728</v>
      </c>
      <c r="J1054" s="2" t="s">
        <v>4696</v>
      </c>
      <c r="K1054" s="2" t="s">
        <v>4696</v>
      </c>
      <c r="L1054" s="2" t="s">
        <v>4696</v>
      </c>
      <c r="M1054" s="2" t="s">
        <v>4696</v>
      </c>
      <c r="N1054" s="2"/>
      <c r="O1054" s="2"/>
      <c r="P1054" s="2"/>
      <c r="Q1054" s="2"/>
    </row>
    <row r="1055" spans="1:17" x14ac:dyDescent="0.3">
      <c r="A1055" s="2">
        <v>3438</v>
      </c>
      <c r="B1055" s="2" t="s">
        <v>2835</v>
      </c>
      <c r="C1055" s="2" t="s">
        <v>6541</v>
      </c>
      <c r="D1055" s="2" t="s">
        <v>6528</v>
      </c>
      <c r="E1055" s="2" t="s">
        <v>6542</v>
      </c>
      <c r="F1055" s="2" t="s">
        <v>41</v>
      </c>
      <c r="G1055" s="2" t="s">
        <v>6543</v>
      </c>
      <c r="H1055" s="2" t="s">
        <v>631</v>
      </c>
      <c r="I1055" s="2" t="s">
        <v>4762</v>
      </c>
      <c r="J1055" s="2" t="s">
        <v>4696</v>
      </c>
      <c r="K1055" s="2" t="s">
        <v>4696</v>
      </c>
      <c r="L1055" s="2" t="s">
        <v>4696</v>
      </c>
      <c r="M1055" s="2" t="s">
        <v>2</v>
      </c>
      <c r="N1055" s="2"/>
      <c r="O1055" s="2"/>
      <c r="P1055" s="2"/>
      <c r="Q1055" s="2"/>
    </row>
    <row r="1056" spans="1:17" x14ac:dyDescent="0.3">
      <c r="A1056" s="2">
        <v>3441</v>
      </c>
      <c r="B1056" s="2" t="s">
        <v>2836</v>
      </c>
      <c r="C1056" s="2" t="s">
        <v>2837</v>
      </c>
      <c r="D1056" s="2" t="s">
        <v>6002</v>
      </c>
      <c r="E1056" s="2" t="s">
        <v>6544</v>
      </c>
      <c r="F1056" s="2" t="s">
        <v>2</v>
      </c>
      <c r="G1056" s="2" t="s">
        <v>4908</v>
      </c>
      <c r="H1056" s="2" t="s">
        <v>640</v>
      </c>
      <c r="I1056" s="2" t="s">
        <v>6450</v>
      </c>
      <c r="J1056" s="2" t="s">
        <v>4696</v>
      </c>
      <c r="K1056" s="2" t="s">
        <v>4696</v>
      </c>
      <c r="L1056" s="2" t="s">
        <v>4696</v>
      </c>
      <c r="M1056" s="2" t="s">
        <v>4696</v>
      </c>
      <c r="N1056" s="2"/>
      <c r="O1056" s="2"/>
      <c r="P1056" s="2"/>
      <c r="Q1056" s="2"/>
    </row>
    <row r="1057" spans="1:17" x14ac:dyDescent="0.3">
      <c r="A1057" s="2">
        <v>3444</v>
      </c>
      <c r="B1057" s="2" t="s">
        <v>2838</v>
      </c>
      <c r="C1057" s="2" t="s">
        <v>2839</v>
      </c>
      <c r="D1057" s="2" t="s">
        <v>6000</v>
      </c>
      <c r="E1057" s="2" t="s">
        <v>2840</v>
      </c>
      <c r="F1057" s="2" t="s">
        <v>41</v>
      </c>
      <c r="G1057" s="2" t="s">
        <v>4909</v>
      </c>
      <c r="H1057" s="2" t="s">
        <v>465</v>
      </c>
      <c r="I1057" s="2" t="s">
        <v>6</v>
      </c>
      <c r="J1057" s="2" t="s">
        <v>4696</v>
      </c>
      <c r="K1057" s="2" t="s">
        <v>4696</v>
      </c>
      <c r="L1057" s="2" t="s">
        <v>4696</v>
      </c>
      <c r="M1057" s="2" t="s">
        <v>2</v>
      </c>
      <c r="N1057" s="2"/>
      <c r="O1057" s="2"/>
      <c r="P1057" s="2"/>
      <c r="Q1057" s="2"/>
    </row>
    <row r="1058" spans="1:17" x14ac:dyDescent="0.3">
      <c r="A1058" s="2">
        <v>3452</v>
      </c>
      <c r="B1058" s="2" t="s">
        <v>2841</v>
      </c>
      <c r="C1058" s="2" t="s">
        <v>2842</v>
      </c>
      <c r="D1058" s="2" t="s">
        <v>6010</v>
      </c>
      <c r="E1058" s="2" t="s">
        <v>6545</v>
      </c>
      <c r="F1058" s="2" t="s">
        <v>2</v>
      </c>
      <c r="G1058" s="2" t="s">
        <v>4910</v>
      </c>
      <c r="H1058" s="2" t="s">
        <v>996</v>
      </c>
      <c r="I1058" s="2" t="s">
        <v>37</v>
      </c>
      <c r="J1058" s="2" t="s">
        <v>6490</v>
      </c>
      <c r="K1058" s="2" t="s">
        <v>4690</v>
      </c>
      <c r="L1058" s="2" t="s">
        <v>4691</v>
      </c>
      <c r="M1058" s="2" t="s">
        <v>4692</v>
      </c>
      <c r="N1058" s="2"/>
      <c r="O1058" s="2"/>
      <c r="P1058" s="2"/>
      <c r="Q1058" s="2"/>
    </row>
    <row r="1059" spans="1:17" x14ac:dyDescent="0.3">
      <c r="A1059" s="2">
        <v>3455</v>
      </c>
      <c r="B1059" s="2" t="s">
        <v>346</v>
      </c>
      <c r="C1059" s="2" t="s">
        <v>2843</v>
      </c>
      <c r="D1059" s="2" t="s">
        <v>6024</v>
      </c>
      <c r="E1059" s="2" t="s">
        <v>6546</v>
      </c>
      <c r="F1059" s="2" t="s">
        <v>2</v>
      </c>
      <c r="G1059" s="2" t="s">
        <v>4911</v>
      </c>
      <c r="H1059" s="2" t="s">
        <v>1587</v>
      </c>
      <c r="I1059" s="2" t="s">
        <v>4736</v>
      </c>
      <c r="J1059" s="2" t="s">
        <v>4696</v>
      </c>
      <c r="K1059" s="2" t="s">
        <v>4696</v>
      </c>
      <c r="L1059" s="2" t="s">
        <v>4696</v>
      </c>
      <c r="M1059" s="2" t="s">
        <v>2</v>
      </c>
      <c r="N1059" s="2"/>
      <c r="O1059" s="2"/>
      <c r="P1059" s="2"/>
      <c r="Q1059" s="2"/>
    </row>
    <row r="1060" spans="1:17" x14ac:dyDescent="0.3">
      <c r="A1060" s="2">
        <v>3465</v>
      </c>
      <c r="B1060" s="2" t="s">
        <v>2844</v>
      </c>
      <c r="C1060" s="2" t="s">
        <v>2845</v>
      </c>
      <c r="D1060" s="2" t="s">
        <v>6007</v>
      </c>
      <c r="E1060" s="2" t="s">
        <v>2845</v>
      </c>
      <c r="F1060" s="2" t="s">
        <v>41</v>
      </c>
      <c r="G1060" s="2" t="s">
        <v>4912</v>
      </c>
      <c r="H1060" s="2" t="s">
        <v>1926</v>
      </c>
      <c r="I1060" s="2" t="s">
        <v>4702</v>
      </c>
      <c r="J1060" s="2" t="s">
        <v>4696</v>
      </c>
      <c r="K1060" s="2" t="s">
        <v>4696</v>
      </c>
      <c r="L1060" s="2" t="s">
        <v>4696</v>
      </c>
      <c r="M1060" s="2" t="s">
        <v>2</v>
      </c>
      <c r="N1060" s="2"/>
      <c r="O1060" s="2"/>
      <c r="P1060" s="2"/>
      <c r="Q1060" s="2"/>
    </row>
    <row r="1061" spans="1:17" x14ac:dyDescent="0.3">
      <c r="A1061" s="2">
        <v>3466</v>
      </c>
      <c r="B1061" s="2" t="s">
        <v>2846</v>
      </c>
      <c r="C1061" s="2" t="s">
        <v>2847</v>
      </c>
      <c r="D1061" s="2" t="s">
        <v>6001</v>
      </c>
      <c r="E1061" s="2" t="s">
        <v>2848</v>
      </c>
      <c r="F1061" s="2" t="s">
        <v>2</v>
      </c>
      <c r="G1061" s="2" t="s">
        <v>4913</v>
      </c>
      <c r="H1061" s="2" t="s">
        <v>653</v>
      </c>
      <c r="I1061" s="2" t="s">
        <v>4733</v>
      </c>
      <c r="J1061" s="2" t="s">
        <v>4696</v>
      </c>
      <c r="K1061" s="2" t="s">
        <v>4696</v>
      </c>
      <c r="L1061" s="2" t="s">
        <v>4696</v>
      </c>
      <c r="M1061" s="2" t="s">
        <v>2</v>
      </c>
      <c r="N1061" s="2"/>
      <c r="O1061" s="2"/>
      <c r="P1061" s="2"/>
      <c r="Q1061" s="2"/>
    </row>
    <row r="1062" spans="1:17" x14ac:dyDescent="0.3">
      <c r="A1062" s="2">
        <v>3479</v>
      </c>
      <c r="B1062" s="2" t="s">
        <v>2849</v>
      </c>
      <c r="C1062" s="2" t="s">
        <v>2850</v>
      </c>
      <c r="D1062" s="2" t="s">
        <v>6024</v>
      </c>
      <c r="E1062" s="2" t="s">
        <v>2851</v>
      </c>
      <c r="F1062" s="2" t="s">
        <v>2</v>
      </c>
      <c r="G1062" s="2" t="s">
        <v>4914</v>
      </c>
      <c r="H1062" s="2" t="s">
        <v>456</v>
      </c>
      <c r="I1062" s="2" t="s">
        <v>26</v>
      </c>
      <c r="J1062" s="2" t="s">
        <v>4696</v>
      </c>
      <c r="K1062" s="2" t="s">
        <v>4696</v>
      </c>
      <c r="L1062" s="2" t="s">
        <v>4696</v>
      </c>
      <c r="M1062" s="2" t="s">
        <v>2</v>
      </c>
      <c r="N1062" s="2"/>
      <c r="O1062" s="2"/>
      <c r="P1062" s="2"/>
      <c r="Q1062" s="2"/>
    </row>
    <row r="1063" spans="1:17" x14ac:dyDescent="0.3">
      <c r="A1063" s="2">
        <v>3483</v>
      </c>
      <c r="B1063" s="2" t="s">
        <v>80</v>
      </c>
      <c r="C1063" s="2" t="s">
        <v>2852</v>
      </c>
      <c r="D1063" s="2" t="s">
        <v>6021</v>
      </c>
      <c r="E1063" s="2" t="s">
        <v>2853</v>
      </c>
      <c r="F1063" s="2" t="s">
        <v>41</v>
      </c>
      <c r="G1063" s="2" t="s">
        <v>4915</v>
      </c>
      <c r="H1063" s="2" t="s">
        <v>404</v>
      </c>
      <c r="I1063" s="2" t="s">
        <v>4700</v>
      </c>
      <c r="J1063" s="2" t="s">
        <v>4696</v>
      </c>
      <c r="K1063" s="2" t="s">
        <v>4696</v>
      </c>
      <c r="L1063" s="2" t="s">
        <v>4696</v>
      </c>
      <c r="M1063" s="2" t="s">
        <v>2</v>
      </c>
      <c r="N1063" s="2"/>
      <c r="O1063" s="2"/>
      <c r="P1063" s="2"/>
      <c r="Q1063" s="2"/>
    </row>
    <row r="1064" spans="1:17" x14ac:dyDescent="0.3">
      <c r="A1064" s="2">
        <v>3484</v>
      </c>
      <c r="B1064" s="2" t="s">
        <v>332</v>
      </c>
      <c r="C1064" s="2" t="s">
        <v>2854</v>
      </c>
      <c r="D1064" s="2" t="s">
        <v>6028</v>
      </c>
      <c r="E1064" s="2" t="s">
        <v>6547</v>
      </c>
      <c r="F1064" s="2" t="s">
        <v>2</v>
      </c>
      <c r="G1064" s="2" t="s">
        <v>4916</v>
      </c>
      <c r="H1064" s="2" t="s">
        <v>404</v>
      </c>
      <c r="I1064" s="2" t="s">
        <v>4700</v>
      </c>
      <c r="J1064" s="2" t="s">
        <v>4696</v>
      </c>
      <c r="K1064" s="2" t="s">
        <v>4696</v>
      </c>
      <c r="L1064" s="2" t="s">
        <v>4696</v>
      </c>
      <c r="M1064" s="2" t="s">
        <v>2</v>
      </c>
      <c r="N1064" s="2"/>
      <c r="O1064" s="2"/>
      <c r="P1064" s="2"/>
      <c r="Q1064" s="2"/>
    </row>
    <row r="1065" spans="1:17" x14ac:dyDescent="0.3">
      <c r="A1065" s="2">
        <v>3489</v>
      </c>
      <c r="B1065" s="2" t="s">
        <v>2855</v>
      </c>
      <c r="C1065" s="2" t="s">
        <v>6548</v>
      </c>
      <c r="D1065" s="2" t="s">
        <v>6037</v>
      </c>
      <c r="E1065" s="2" t="s">
        <v>6549</v>
      </c>
      <c r="F1065" s="2" t="s">
        <v>2</v>
      </c>
      <c r="G1065" s="2" t="s">
        <v>4917</v>
      </c>
      <c r="H1065" s="2" t="s">
        <v>411</v>
      </c>
      <c r="I1065" s="2" t="s">
        <v>4811</v>
      </c>
      <c r="J1065" s="2" t="s">
        <v>4696</v>
      </c>
      <c r="K1065" s="2" t="s">
        <v>4696</v>
      </c>
      <c r="L1065" s="2" t="s">
        <v>4696</v>
      </c>
      <c r="M1065" s="2" t="s">
        <v>2</v>
      </c>
      <c r="N1065" s="2"/>
      <c r="O1065" s="2"/>
      <c r="P1065" s="2"/>
      <c r="Q1065" s="2"/>
    </row>
    <row r="1066" spans="1:17" x14ac:dyDescent="0.3">
      <c r="A1066" s="2">
        <v>3490</v>
      </c>
      <c r="B1066" s="2" t="s">
        <v>270</v>
      </c>
      <c r="C1066" s="2" t="s">
        <v>2856</v>
      </c>
      <c r="D1066" s="2" t="s">
        <v>6080</v>
      </c>
      <c r="E1066" s="2" t="s">
        <v>2857</v>
      </c>
      <c r="F1066" s="2" t="s">
        <v>2</v>
      </c>
      <c r="G1066" s="2" t="s">
        <v>4918</v>
      </c>
      <c r="H1066" s="2" t="s">
        <v>465</v>
      </c>
      <c r="I1066" s="2" t="s">
        <v>4712</v>
      </c>
      <c r="J1066" s="2" t="s">
        <v>4696</v>
      </c>
      <c r="K1066" s="2" t="s">
        <v>4696</v>
      </c>
      <c r="L1066" s="2" t="s">
        <v>4696</v>
      </c>
      <c r="M1066" s="2" t="s">
        <v>2</v>
      </c>
      <c r="N1066" s="2"/>
      <c r="O1066" s="2"/>
      <c r="P1066" s="2"/>
      <c r="Q1066" s="2"/>
    </row>
    <row r="1067" spans="1:17" x14ac:dyDescent="0.3">
      <c r="A1067" s="2">
        <v>3491</v>
      </c>
      <c r="B1067" s="2" t="s">
        <v>2858</v>
      </c>
      <c r="C1067" s="2" t="s">
        <v>2859</v>
      </c>
      <c r="D1067" s="2" t="s">
        <v>6016</v>
      </c>
      <c r="E1067" s="2" t="s">
        <v>6550</v>
      </c>
      <c r="F1067" s="2" t="s">
        <v>41</v>
      </c>
      <c r="G1067" s="2" t="s">
        <v>4919</v>
      </c>
      <c r="H1067" s="2" t="s">
        <v>431</v>
      </c>
      <c r="I1067" s="2" t="s">
        <v>4693</v>
      </c>
      <c r="J1067" s="2" t="s">
        <v>4696</v>
      </c>
      <c r="K1067" s="2" t="s">
        <v>4696</v>
      </c>
      <c r="L1067" s="2" t="s">
        <v>4696</v>
      </c>
      <c r="M1067" s="2" t="s">
        <v>4696</v>
      </c>
      <c r="N1067" s="2"/>
      <c r="O1067" s="2"/>
      <c r="P1067" s="2"/>
      <c r="Q1067" s="2"/>
    </row>
    <row r="1068" spans="1:17" x14ac:dyDescent="0.3">
      <c r="A1068" s="2">
        <v>3492</v>
      </c>
      <c r="B1068" s="2" t="s">
        <v>4207</v>
      </c>
      <c r="C1068" s="2" t="s">
        <v>4208</v>
      </c>
      <c r="D1068" s="2" t="s">
        <v>6020</v>
      </c>
      <c r="E1068" s="2" t="s">
        <v>4209</v>
      </c>
      <c r="F1068" s="2" t="s">
        <v>41</v>
      </c>
      <c r="G1068" s="2" t="s">
        <v>5414</v>
      </c>
      <c r="H1068" s="2" t="s">
        <v>408</v>
      </c>
      <c r="I1068" s="2" t="s">
        <v>4757</v>
      </c>
      <c r="J1068" s="2" t="s">
        <v>4696</v>
      </c>
      <c r="K1068" s="2" t="s">
        <v>4696</v>
      </c>
      <c r="L1068" s="2" t="s">
        <v>4696</v>
      </c>
      <c r="M1068" s="2" t="s">
        <v>2</v>
      </c>
      <c r="N1068" s="2"/>
      <c r="O1068" s="2"/>
      <c r="P1068" s="2"/>
      <c r="Q1068" s="2"/>
    </row>
    <row r="1069" spans="1:17" x14ac:dyDescent="0.3">
      <c r="A1069" s="2">
        <v>3498</v>
      </c>
      <c r="B1069" s="2" t="s">
        <v>2860</v>
      </c>
      <c r="C1069" s="2" t="s">
        <v>2861</v>
      </c>
      <c r="D1069" s="2" t="s">
        <v>6020</v>
      </c>
      <c r="E1069" s="2" t="s">
        <v>2862</v>
      </c>
      <c r="F1069" s="2" t="s">
        <v>41</v>
      </c>
      <c r="G1069" s="2" t="s">
        <v>4920</v>
      </c>
      <c r="H1069" s="2" t="s">
        <v>2863</v>
      </c>
      <c r="I1069" s="2" t="s">
        <v>4726</v>
      </c>
      <c r="J1069" s="2" t="s">
        <v>4696</v>
      </c>
      <c r="K1069" s="2" t="s">
        <v>4696</v>
      </c>
      <c r="L1069" s="2" t="s">
        <v>4696</v>
      </c>
      <c r="M1069" s="2" t="s">
        <v>4696</v>
      </c>
      <c r="N1069" s="2"/>
      <c r="O1069" s="2"/>
      <c r="P1069" s="2"/>
      <c r="Q1069" s="2"/>
    </row>
    <row r="1070" spans="1:17" x14ac:dyDescent="0.3">
      <c r="A1070" s="2">
        <v>3499</v>
      </c>
      <c r="B1070" s="2" t="s">
        <v>2864</v>
      </c>
      <c r="C1070" s="2" t="s">
        <v>2865</v>
      </c>
      <c r="D1070" s="2" t="s">
        <v>6025</v>
      </c>
      <c r="E1070" s="2" t="s">
        <v>2866</v>
      </c>
      <c r="F1070" s="2" t="s">
        <v>2</v>
      </c>
      <c r="G1070" s="2" t="s">
        <v>4921</v>
      </c>
      <c r="H1070" s="2" t="s">
        <v>6009</v>
      </c>
      <c r="I1070" s="2">
        <v>25865859</v>
      </c>
      <c r="J1070" s="2" t="s">
        <v>4696</v>
      </c>
      <c r="K1070" s="2" t="s">
        <v>4696</v>
      </c>
      <c r="L1070" s="2" t="s">
        <v>4696</v>
      </c>
      <c r="M1070" s="2" t="s">
        <v>2</v>
      </c>
      <c r="N1070" s="2"/>
      <c r="O1070" s="2"/>
      <c r="P1070" s="2"/>
      <c r="Q1070" s="2"/>
    </row>
    <row r="1071" spans="1:17" x14ac:dyDescent="0.3">
      <c r="A1071" s="2">
        <v>3508</v>
      </c>
      <c r="B1071" s="2" t="s">
        <v>292</v>
      </c>
      <c r="C1071" s="2" t="s">
        <v>2867</v>
      </c>
      <c r="D1071" s="2" t="s">
        <v>6007</v>
      </c>
      <c r="E1071" s="2" t="s">
        <v>2868</v>
      </c>
      <c r="F1071" s="2" t="s">
        <v>41</v>
      </c>
      <c r="G1071" s="2" t="s">
        <v>4922</v>
      </c>
      <c r="H1071" s="2" t="s">
        <v>6006</v>
      </c>
      <c r="I1071" s="2" t="s">
        <v>4698</v>
      </c>
      <c r="J1071" s="2" t="s">
        <v>4696</v>
      </c>
      <c r="K1071" s="2" t="s">
        <v>4696</v>
      </c>
      <c r="L1071" s="2" t="s">
        <v>4696</v>
      </c>
      <c r="M1071" s="2" t="s">
        <v>4696</v>
      </c>
      <c r="N1071" s="2"/>
      <c r="O1071" s="2"/>
      <c r="P1071" s="2"/>
      <c r="Q1071" s="2"/>
    </row>
    <row r="1072" spans="1:17" x14ac:dyDescent="0.3">
      <c r="A1072" s="2">
        <v>3511</v>
      </c>
      <c r="B1072" s="2" t="s">
        <v>2869</v>
      </c>
      <c r="C1072" s="2" t="s">
        <v>6551</v>
      </c>
      <c r="D1072" s="2" t="s">
        <v>6001</v>
      </c>
      <c r="E1072" s="2" t="s">
        <v>6552</v>
      </c>
      <c r="F1072" s="2" t="s">
        <v>41</v>
      </c>
      <c r="G1072" s="2" t="s">
        <v>4923</v>
      </c>
      <c r="H1072" s="2" t="s">
        <v>556</v>
      </c>
      <c r="I1072" s="2" t="s">
        <v>5471</v>
      </c>
      <c r="J1072" s="2" t="s">
        <v>4696</v>
      </c>
      <c r="K1072" s="2" t="s">
        <v>4696</v>
      </c>
      <c r="L1072" s="2" t="s">
        <v>4696</v>
      </c>
      <c r="M1072" s="2" t="s">
        <v>4696</v>
      </c>
      <c r="N1072" s="2"/>
      <c r="O1072" s="2"/>
      <c r="P1072" s="2"/>
      <c r="Q1072" s="2"/>
    </row>
    <row r="1073" spans="1:17" x14ac:dyDescent="0.3">
      <c r="A1073" s="2">
        <v>3512</v>
      </c>
      <c r="B1073" s="2" t="s">
        <v>2870</v>
      </c>
      <c r="C1073" s="2" t="s">
        <v>6553</v>
      </c>
      <c r="D1073" s="2" t="s">
        <v>6002</v>
      </c>
      <c r="E1073" s="2" t="s">
        <v>2871</v>
      </c>
      <c r="F1073" s="2" t="s">
        <v>2</v>
      </c>
      <c r="G1073" s="2" t="s">
        <v>6554</v>
      </c>
      <c r="H1073" s="2" t="s">
        <v>456</v>
      </c>
      <c r="I1073" s="2" t="s">
        <v>4717</v>
      </c>
      <c r="J1073" s="2" t="s">
        <v>4696</v>
      </c>
      <c r="K1073" s="2" t="s">
        <v>4696</v>
      </c>
      <c r="L1073" s="2" t="s">
        <v>4696</v>
      </c>
      <c r="M1073" s="2" t="s">
        <v>4696</v>
      </c>
      <c r="N1073" s="2"/>
      <c r="O1073" s="2"/>
      <c r="P1073" s="2"/>
      <c r="Q1073" s="2"/>
    </row>
    <row r="1074" spans="1:17" x14ac:dyDescent="0.3">
      <c r="A1074" s="2">
        <v>3516</v>
      </c>
      <c r="B1074" s="2" t="s">
        <v>2872</v>
      </c>
      <c r="C1074" s="2" t="s">
        <v>2873</v>
      </c>
      <c r="D1074" s="2" t="s">
        <v>6010</v>
      </c>
      <c r="E1074" s="2" t="s">
        <v>2874</v>
      </c>
      <c r="F1074" s="2" t="s">
        <v>2</v>
      </c>
      <c r="G1074" s="2">
        <v>33768380</v>
      </c>
      <c r="H1074" s="2" t="s">
        <v>404</v>
      </c>
      <c r="I1074" s="2">
        <v>266365566</v>
      </c>
      <c r="J1074" s="2" t="s">
        <v>4696</v>
      </c>
      <c r="K1074" s="2" t="s">
        <v>4696</v>
      </c>
      <c r="L1074" s="2" t="s">
        <v>4696</v>
      </c>
      <c r="M1074" s="2" t="s">
        <v>4696</v>
      </c>
      <c r="N1074" s="2"/>
      <c r="O1074" s="2"/>
      <c r="P1074" s="2"/>
      <c r="Q1074" s="2"/>
    </row>
    <row r="1075" spans="1:17" x14ac:dyDescent="0.3">
      <c r="A1075" s="2">
        <v>3520</v>
      </c>
      <c r="B1075" s="2" t="s">
        <v>2875</v>
      </c>
      <c r="C1075" s="2" t="s">
        <v>2876</v>
      </c>
      <c r="D1075" s="2" t="s">
        <v>6000</v>
      </c>
      <c r="E1075" s="2" t="s">
        <v>2356</v>
      </c>
      <c r="F1075" s="2" t="s">
        <v>41</v>
      </c>
      <c r="G1075" s="2" t="s">
        <v>4924</v>
      </c>
      <c r="H1075" s="2" t="s">
        <v>456</v>
      </c>
      <c r="I1075" s="2" t="s">
        <v>4717</v>
      </c>
      <c r="J1075" s="2" t="s">
        <v>4696</v>
      </c>
      <c r="K1075" s="2" t="s">
        <v>4696</v>
      </c>
      <c r="L1075" s="2" t="s">
        <v>4696</v>
      </c>
      <c r="M1075" s="2" t="s">
        <v>4696</v>
      </c>
      <c r="N1075" s="2"/>
      <c r="O1075" s="2"/>
      <c r="P1075" s="2"/>
      <c r="Q1075" s="2"/>
    </row>
    <row r="1076" spans="1:17" x14ac:dyDescent="0.3">
      <c r="A1076" s="2">
        <v>3521</v>
      </c>
      <c r="B1076" s="2" t="s">
        <v>2877</v>
      </c>
      <c r="C1076" s="2" t="s">
        <v>2878</v>
      </c>
      <c r="D1076" s="2" t="s">
        <v>6007</v>
      </c>
      <c r="E1076" s="2" t="s">
        <v>2879</v>
      </c>
      <c r="F1076" s="2" t="s">
        <v>2</v>
      </c>
      <c r="G1076" s="2">
        <v>82272556</v>
      </c>
      <c r="H1076" s="2" t="s">
        <v>465</v>
      </c>
      <c r="I1076" s="2">
        <v>23816288</v>
      </c>
      <c r="J1076" s="2" t="s">
        <v>4696</v>
      </c>
      <c r="K1076" s="2" t="s">
        <v>4696</v>
      </c>
      <c r="L1076" s="2" t="s">
        <v>4696</v>
      </c>
      <c r="M1076" s="2" t="s">
        <v>2</v>
      </c>
      <c r="N1076" s="2"/>
      <c r="O1076" s="2"/>
      <c r="P1076" s="2"/>
      <c r="Q1076" s="2"/>
    </row>
    <row r="1077" spans="1:17" x14ac:dyDescent="0.3">
      <c r="A1077" s="2">
        <v>3522</v>
      </c>
      <c r="B1077" s="2" t="s">
        <v>138</v>
      </c>
      <c r="C1077" s="2" t="s">
        <v>2880</v>
      </c>
      <c r="D1077" s="2" t="s">
        <v>6025</v>
      </c>
      <c r="E1077" s="2" t="s">
        <v>6555</v>
      </c>
      <c r="F1077" s="2" t="s">
        <v>41</v>
      </c>
      <c r="G1077" s="2" t="s">
        <v>4925</v>
      </c>
      <c r="H1077" s="2" t="s">
        <v>431</v>
      </c>
      <c r="I1077" s="2" t="s">
        <v>4702</v>
      </c>
      <c r="J1077" s="2" t="s">
        <v>4696</v>
      </c>
      <c r="K1077" s="2" t="s">
        <v>4696</v>
      </c>
      <c r="L1077" s="2" t="s">
        <v>4696</v>
      </c>
      <c r="M1077" s="2" t="s">
        <v>2</v>
      </c>
      <c r="N1077" s="2"/>
      <c r="O1077" s="2"/>
      <c r="P1077" s="2"/>
      <c r="Q1077" s="2"/>
    </row>
    <row r="1078" spans="1:17" x14ac:dyDescent="0.3">
      <c r="A1078" s="2">
        <v>3523</v>
      </c>
      <c r="B1078" s="2" t="s">
        <v>2881</v>
      </c>
      <c r="C1078" s="2" t="s">
        <v>2882</v>
      </c>
      <c r="D1078" s="2" t="s">
        <v>6042</v>
      </c>
      <c r="E1078" s="2" t="s">
        <v>2883</v>
      </c>
      <c r="F1078" s="2" t="s">
        <v>2</v>
      </c>
      <c r="G1078" s="2" t="s">
        <v>4926</v>
      </c>
      <c r="H1078" s="2" t="s">
        <v>456</v>
      </c>
      <c r="I1078" s="2" t="s">
        <v>26</v>
      </c>
      <c r="J1078" s="2" t="s">
        <v>4696</v>
      </c>
      <c r="K1078" s="2" t="s">
        <v>4696</v>
      </c>
      <c r="L1078" s="2" t="s">
        <v>4696</v>
      </c>
      <c r="M1078" s="2" t="s">
        <v>4696</v>
      </c>
      <c r="N1078" s="2"/>
      <c r="O1078" s="2"/>
      <c r="P1078" s="2"/>
      <c r="Q1078" s="2"/>
    </row>
    <row r="1079" spans="1:17" x14ac:dyDescent="0.3">
      <c r="A1079" s="2">
        <v>3526</v>
      </c>
      <c r="B1079" s="2" t="s">
        <v>2884</v>
      </c>
      <c r="C1079" s="2" t="s">
        <v>2885</v>
      </c>
      <c r="D1079" s="2" t="s">
        <v>6028</v>
      </c>
      <c r="E1079" s="2" t="s">
        <v>6556</v>
      </c>
      <c r="F1079" s="2" t="s">
        <v>2</v>
      </c>
      <c r="G1079" s="2" t="s">
        <v>4927</v>
      </c>
      <c r="H1079" s="2" t="s">
        <v>675</v>
      </c>
      <c r="I1079" s="2" t="s">
        <v>4698</v>
      </c>
      <c r="J1079" s="2" t="s">
        <v>4696</v>
      </c>
      <c r="K1079" s="2" t="s">
        <v>4696</v>
      </c>
      <c r="L1079" s="2" t="s">
        <v>4696</v>
      </c>
      <c r="M1079" s="2" t="s">
        <v>4696</v>
      </c>
      <c r="N1079" s="2"/>
      <c r="O1079" s="2"/>
      <c r="P1079" s="2"/>
      <c r="Q1079" s="2"/>
    </row>
    <row r="1080" spans="1:17" x14ac:dyDescent="0.3">
      <c r="A1080" s="2">
        <v>3527</v>
      </c>
      <c r="B1080" s="2" t="s">
        <v>71</v>
      </c>
      <c r="C1080" s="2" t="s">
        <v>2886</v>
      </c>
      <c r="D1080" s="2" t="s">
        <v>6051</v>
      </c>
      <c r="E1080" s="2" t="s">
        <v>2887</v>
      </c>
      <c r="F1080" s="2" t="s">
        <v>2</v>
      </c>
      <c r="G1080" s="2" t="s">
        <v>4928</v>
      </c>
      <c r="H1080" s="2" t="s">
        <v>6006</v>
      </c>
      <c r="I1080" s="2" t="s">
        <v>4725</v>
      </c>
      <c r="J1080" s="2" t="s">
        <v>6557</v>
      </c>
      <c r="K1080" s="2" t="s">
        <v>4690</v>
      </c>
      <c r="L1080" s="2" t="s">
        <v>4691</v>
      </c>
      <c r="M1080" s="2" t="s">
        <v>4699</v>
      </c>
      <c r="N1080" s="2"/>
      <c r="O1080" s="2"/>
      <c r="P1080" s="2"/>
      <c r="Q1080" s="2"/>
    </row>
    <row r="1081" spans="1:17" x14ac:dyDescent="0.3">
      <c r="A1081" s="2">
        <v>3528</v>
      </c>
      <c r="B1081" s="2" t="s">
        <v>2888</v>
      </c>
      <c r="C1081" s="2" t="s">
        <v>2889</v>
      </c>
      <c r="D1081" s="2" t="s">
        <v>6141</v>
      </c>
      <c r="E1081" s="2" t="s">
        <v>6558</v>
      </c>
      <c r="F1081" s="2" t="s">
        <v>41</v>
      </c>
      <c r="G1081" s="2">
        <v>26982526</v>
      </c>
      <c r="H1081" s="2" t="s">
        <v>631</v>
      </c>
      <c r="I1081" s="2">
        <v>25419977</v>
      </c>
      <c r="J1081" s="2" t="s">
        <v>6559</v>
      </c>
      <c r="K1081" s="2" t="s">
        <v>4690</v>
      </c>
      <c r="L1081" s="2" t="s">
        <v>4691</v>
      </c>
      <c r="M1081" s="2" t="s">
        <v>4699</v>
      </c>
      <c r="N1081" s="2"/>
      <c r="O1081" s="2"/>
      <c r="P1081" s="2"/>
      <c r="Q1081" s="2"/>
    </row>
    <row r="1082" spans="1:17" x14ac:dyDescent="0.3">
      <c r="A1082" s="2">
        <v>3529</v>
      </c>
      <c r="B1082" s="2" t="s">
        <v>2890</v>
      </c>
      <c r="C1082" s="2" t="s">
        <v>2891</v>
      </c>
      <c r="D1082" s="2" t="s">
        <v>6016</v>
      </c>
      <c r="E1082" s="2" t="s">
        <v>6560</v>
      </c>
      <c r="F1082" s="2" t="s">
        <v>41</v>
      </c>
      <c r="G1082" s="2" t="s">
        <v>4929</v>
      </c>
      <c r="H1082" s="2" t="s">
        <v>415</v>
      </c>
      <c r="I1082" s="2" t="s">
        <v>4694</v>
      </c>
      <c r="J1082" s="2" t="s">
        <v>4696</v>
      </c>
      <c r="K1082" s="2" t="s">
        <v>4696</v>
      </c>
      <c r="L1082" s="2" t="s">
        <v>4696</v>
      </c>
      <c r="M1082" s="2" t="s">
        <v>4696</v>
      </c>
      <c r="N1082" s="2"/>
      <c r="O1082" s="2"/>
      <c r="P1082" s="2"/>
      <c r="Q1082" s="2"/>
    </row>
    <row r="1083" spans="1:17" x14ac:dyDescent="0.3">
      <c r="A1083" s="2">
        <v>3531</v>
      </c>
      <c r="B1083" s="2" t="s">
        <v>2892</v>
      </c>
      <c r="C1083" s="2" t="s">
        <v>2893</v>
      </c>
      <c r="D1083" s="2" t="s">
        <v>6021</v>
      </c>
      <c r="E1083" s="2" t="s">
        <v>2894</v>
      </c>
      <c r="F1083" s="2" t="s">
        <v>41</v>
      </c>
      <c r="G1083" s="2" t="s">
        <v>4930</v>
      </c>
      <c r="H1083" s="2" t="s">
        <v>465</v>
      </c>
      <c r="I1083" s="2" t="s">
        <v>4707</v>
      </c>
      <c r="J1083" s="2" t="s">
        <v>4696</v>
      </c>
      <c r="K1083" s="2" t="s">
        <v>4696</v>
      </c>
      <c r="L1083" s="2" t="s">
        <v>4696</v>
      </c>
      <c r="M1083" s="2" t="s">
        <v>2</v>
      </c>
      <c r="N1083" s="2"/>
      <c r="O1083" s="2"/>
      <c r="P1083" s="2"/>
      <c r="Q1083" s="2"/>
    </row>
    <row r="1084" spans="1:17" x14ac:dyDescent="0.3">
      <c r="A1084" s="2">
        <v>3537</v>
      </c>
      <c r="B1084" s="2" t="s">
        <v>354</v>
      </c>
      <c r="C1084" s="2" t="s">
        <v>2895</v>
      </c>
      <c r="D1084" s="2" t="s">
        <v>6001</v>
      </c>
      <c r="E1084" s="2" t="s">
        <v>2896</v>
      </c>
      <c r="F1084" s="2" t="s">
        <v>41</v>
      </c>
      <c r="G1084" s="2" t="s">
        <v>4931</v>
      </c>
      <c r="H1084" s="2" t="s">
        <v>2897</v>
      </c>
      <c r="I1084" s="2" t="s">
        <v>4715</v>
      </c>
      <c r="J1084" s="2" t="s">
        <v>4696</v>
      </c>
      <c r="K1084" s="2" t="s">
        <v>4696</v>
      </c>
      <c r="L1084" s="2" t="s">
        <v>4696</v>
      </c>
      <c r="M1084" s="2" t="s">
        <v>4696</v>
      </c>
      <c r="N1084" s="2"/>
      <c r="O1084" s="2"/>
      <c r="P1084" s="2"/>
      <c r="Q1084" s="2"/>
    </row>
    <row r="1085" spans="1:17" x14ac:dyDescent="0.3">
      <c r="A1085" s="2">
        <v>3540</v>
      </c>
      <c r="B1085" s="2" t="s">
        <v>2898</v>
      </c>
      <c r="C1085" s="2" t="s">
        <v>2899</v>
      </c>
      <c r="D1085" s="2" t="s">
        <v>6004</v>
      </c>
      <c r="E1085" s="2" t="s">
        <v>2900</v>
      </c>
      <c r="F1085" s="2" t="s">
        <v>41</v>
      </c>
      <c r="G1085" s="2" t="s">
        <v>4932</v>
      </c>
      <c r="H1085" s="2" t="s">
        <v>465</v>
      </c>
      <c r="I1085" s="2" t="s">
        <v>4744</v>
      </c>
      <c r="J1085" s="2" t="s">
        <v>4696</v>
      </c>
      <c r="K1085" s="2" t="s">
        <v>4696</v>
      </c>
      <c r="L1085" s="2" t="s">
        <v>4696</v>
      </c>
      <c r="M1085" s="2" t="s">
        <v>2</v>
      </c>
      <c r="N1085" s="2"/>
      <c r="O1085" s="2"/>
      <c r="P1085" s="2"/>
      <c r="Q1085" s="2"/>
    </row>
    <row r="1086" spans="1:17" x14ac:dyDescent="0.3">
      <c r="A1086" s="2">
        <v>3541</v>
      </c>
      <c r="B1086" s="2" t="s">
        <v>2901</v>
      </c>
      <c r="C1086" s="2" t="s">
        <v>2902</v>
      </c>
      <c r="D1086" s="2" t="s">
        <v>6016</v>
      </c>
      <c r="E1086" s="2" t="s">
        <v>6561</v>
      </c>
      <c r="F1086" s="2" t="s">
        <v>41</v>
      </c>
      <c r="G1086" s="2" t="s">
        <v>4933</v>
      </c>
      <c r="H1086" s="2" t="s">
        <v>631</v>
      </c>
      <c r="I1086" s="2">
        <v>25419977</v>
      </c>
      <c r="J1086" s="2" t="s">
        <v>4696</v>
      </c>
      <c r="K1086" s="2" t="s">
        <v>4696</v>
      </c>
      <c r="L1086" s="2" t="s">
        <v>4696</v>
      </c>
      <c r="M1086" s="2" t="s">
        <v>4696</v>
      </c>
      <c r="N1086" s="2"/>
      <c r="O1086" s="2"/>
      <c r="P1086" s="2"/>
      <c r="Q1086" s="2"/>
    </row>
    <row r="1087" spans="1:17" x14ac:dyDescent="0.3">
      <c r="A1087" s="2">
        <v>3546</v>
      </c>
      <c r="B1087" s="2" t="s">
        <v>2903</v>
      </c>
      <c r="C1087" s="2" t="s">
        <v>2904</v>
      </c>
      <c r="D1087" s="2" t="s">
        <v>6007</v>
      </c>
      <c r="E1087" s="2" t="s">
        <v>2905</v>
      </c>
      <c r="F1087" s="2" t="s">
        <v>41</v>
      </c>
      <c r="G1087" s="2" t="s">
        <v>4934</v>
      </c>
      <c r="H1087" s="2" t="s">
        <v>431</v>
      </c>
      <c r="I1087" s="2" t="s">
        <v>4719</v>
      </c>
      <c r="J1087" s="2" t="s">
        <v>4696</v>
      </c>
      <c r="K1087" s="2" t="s">
        <v>4696</v>
      </c>
      <c r="L1087" s="2" t="s">
        <v>4696</v>
      </c>
      <c r="M1087" s="2" t="s">
        <v>4696</v>
      </c>
      <c r="N1087" s="2"/>
      <c r="O1087" s="2"/>
      <c r="P1087" s="2"/>
      <c r="Q1087" s="2"/>
    </row>
    <row r="1088" spans="1:17" x14ac:dyDescent="0.3">
      <c r="A1088" s="2">
        <v>3548</v>
      </c>
      <c r="B1088" s="2" t="s">
        <v>319</v>
      </c>
      <c r="C1088" s="2" t="s">
        <v>2906</v>
      </c>
      <c r="D1088" s="2" t="s">
        <v>6000</v>
      </c>
      <c r="E1088" s="2" t="s">
        <v>6562</v>
      </c>
      <c r="F1088" s="2" t="s">
        <v>2</v>
      </c>
      <c r="G1088" s="2" t="s">
        <v>4935</v>
      </c>
      <c r="H1088" s="2" t="s">
        <v>505</v>
      </c>
      <c r="I1088" s="2" t="s">
        <v>4936</v>
      </c>
      <c r="J1088" s="2" t="s">
        <v>4696</v>
      </c>
      <c r="K1088" s="2" t="s">
        <v>4696</v>
      </c>
      <c r="L1088" s="2" t="s">
        <v>4696</v>
      </c>
      <c r="M1088" s="2" t="s">
        <v>4696</v>
      </c>
      <c r="N1088" s="2"/>
      <c r="O1088" s="2"/>
      <c r="P1088" s="2"/>
      <c r="Q1088" s="2"/>
    </row>
    <row r="1089" spans="1:17" x14ac:dyDescent="0.3">
      <c r="A1089" s="2">
        <v>3551</v>
      </c>
      <c r="B1089" s="2" t="s">
        <v>2907</v>
      </c>
      <c r="C1089" s="2" t="s">
        <v>2908</v>
      </c>
      <c r="D1089" s="2" t="s">
        <v>5999</v>
      </c>
      <c r="E1089" s="2" t="s">
        <v>2909</v>
      </c>
      <c r="F1089" s="2" t="s">
        <v>41</v>
      </c>
      <c r="G1089" s="2">
        <v>35981100</v>
      </c>
      <c r="H1089" s="2" t="s">
        <v>456</v>
      </c>
      <c r="I1089" s="2" t="s">
        <v>4723</v>
      </c>
      <c r="J1089" s="2" t="s">
        <v>4696</v>
      </c>
      <c r="K1089" s="2" t="s">
        <v>4696</v>
      </c>
      <c r="L1089" s="2" t="s">
        <v>4696</v>
      </c>
      <c r="M1089" s="2" t="s">
        <v>2</v>
      </c>
      <c r="N1089" s="2"/>
      <c r="O1089" s="2"/>
      <c r="P1089" s="2"/>
      <c r="Q1089" s="2"/>
    </row>
    <row r="1090" spans="1:17" x14ac:dyDescent="0.3">
      <c r="A1090" s="2">
        <v>3552</v>
      </c>
      <c r="B1090" s="2" t="s">
        <v>2910</v>
      </c>
      <c r="C1090" s="2" t="s">
        <v>2911</v>
      </c>
      <c r="D1090" s="2" t="s">
        <v>6010</v>
      </c>
      <c r="E1090" s="2" t="s">
        <v>2912</v>
      </c>
      <c r="F1090" s="2" t="s">
        <v>2</v>
      </c>
      <c r="G1090" s="2" t="s">
        <v>4937</v>
      </c>
      <c r="H1090" s="2" t="s">
        <v>1291</v>
      </c>
      <c r="I1090" s="2" t="s">
        <v>4697</v>
      </c>
      <c r="J1090" s="2" t="s">
        <v>6490</v>
      </c>
      <c r="K1090" s="2" t="s">
        <v>4690</v>
      </c>
      <c r="L1090" s="2" t="s">
        <v>4691</v>
      </c>
      <c r="M1090" s="2" t="s">
        <v>4699</v>
      </c>
      <c r="N1090" s="2"/>
      <c r="O1090" s="2"/>
      <c r="P1090" s="2"/>
      <c r="Q1090" s="2"/>
    </row>
    <row r="1091" spans="1:17" x14ac:dyDescent="0.3">
      <c r="A1091" s="2">
        <v>3553</v>
      </c>
      <c r="B1091" s="2" t="s">
        <v>225</v>
      </c>
      <c r="C1091" s="2" t="s">
        <v>6563</v>
      </c>
      <c r="D1091" s="2" t="s">
        <v>6016</v>
      </c>
      <c r="E1091" s="2" t="s">
        <v>2913</v>
      </c>
      <c r="F1091" s="2" t="s">
        <v>41</v>
      </c>
      <c r="G1091" s="2" t="s">
        <v>4938</v>
      </c>
      <c r="H1091" s="2" t="s">
        <v>451</v>
      </c>
      <c r="I1091" s="2" t="s">
        <v>4751</v>
      </c>
      <c r="J1091" s="2" t="s">
        <v>4696</v>
      </c>
      <c r="K1091" s="2" t="s">
        <v>4696</v>
      </c>
      <c r="L1091" s="2" t="s">
        <v>4696</v>
      </c>
      <c r="M1091" s="2" t="s">
        <v>4696</v>
      </c>
      <c r="N1091" s="2"/>
      <c r="O1091" s="2"/>
      <c r="P1091" s="2"/>
      <c r="Q1091" s="2"/>
    </row>
    <row r="1092" spans="1:17" x14ac:dyDescent="0.3">
      <c r="A1092" s="2">
        <v>3555</v>
      </c>
      <c r="B1092" s="2" t="s">
        <v>6564</v>
      </c>
      <c r="C1092" s="2" t="s">
        <v>6565</v>
      </c>
      <c r="D1092" s="2" t="s">
        <v>6024</v>
      </c>
      <c r="E1092" s="2" t="s">
        <v>2736</v>
      </c>
      <c r="F1092" s="2" t="s">
        <v>2</v>
      </c>
      <c r="G1092" s="2" t="s">
        <v>6566</v>
      </c>
      <c r="H1092" s="2" t="s">
        <v>806</v>
      </c>
      <c r="I1092" s="2" t="s">
        <v>4858</v>
      </c>
      <c r="J1092" s="2" t="s">
        <v>4696</v>
      </c>
      <c r="K1092" s="2" t="s">
        <v>4696</v>
      </c>
      <c r="L1092" s="2" t="s">
        <v>4696</v>
      </c>
      <c r="M1092" s="2" t="s">
        <v>2</v>
      </c>
      <c r="N1092" s="2"/>
      <c r="O1092" s="2"/>
      <c r="P1092" s="2"/>
      <c r="Q1092" s="2"/>
    </row>
    <row r="1093" spans="1:17" x14ac:dyDescent="0.3">
      <c r="A1093" s="2"/>
      <c r="B1093" s="2"/>
      <c r="C1093" s="2"/>
      <c r="D1093" s="2"/>
      <c r="E1093" s="2"/>
      <c r="F1093" s="2"/>
      <c r="G1093" s="2"/>
      <c r="H1093" s="2"/>
      <c r="I1093" s="2"/>
      <c r="J1093" s="2"/>
      <c r="K1093" s="2"/>
      <c r="L1093" s="2"/>
      <c r="M1093" s="2"/>
      <c r="N1093" s="2"/>
      <c r="O1093" s="2"/>
      <c r="P1093" s="2"/>
      <c r="Q1093" s="2"/>
    </row>
    <row r="1094" spans="1:17" x14ac:dyDescent="0.3">
      <c r="A1094" s="2">
        <v>3556</v>
      </c>
      <c r="B1094" s="2" t="s">
        <v>83</v>
      </c>
      <c r="C1094" s="2" t="s">
        <v>2914</v>
      </c>
      <c r="D1094" s="2" t="s">
        <v>6002</v>
      </c>
      <c r="E1094" s="2" t="s">
        <v>2915</v>
      </c>
      <c r="F1094" s="2" t="s">
        <v>2</v>
      </c>
      <c r="G1094" s="2" t="s">
        <v>4939</v>
      </c>
      <c r="H1094" s="2" t="s">
        <v>404</v>
      </c>
      <c r="I1094" s="2" t="s">
        <v>4697</v>
      </c>
      <c r="J1094" s="2" t="s">
        <v>4696</v>
      </c>
      <c r="K1094" s="2" t="s">
        <v>4696</v>
      </c>
      <c r="L1094" s="2" t="s">
        <v>4696</v>
      </c>
      <c r="M1094" s="2" t="s">
        <v>2</v>
      </c>
      <c r="N1094" s="2"/>
      <c r="O1094" s="2"/>
      <c r="P1094" s="2"/>
      <c r="Q1094" s="2"/>
    </row>
    <row r="1095" spans="1:17" x14ac:dyDescent="0.3">
      <c r="A1095" s="2">
        <v>3558</v>
      </c>
      <c r="B1095" s="2" t="s">
        <v>2916</v>
      </c>
      <c r="C1095" s="2" t="s">
        <v>1304</v>
      </c>
      <c r="D1095" s="2" t="s">
        <v>6016</v>
      </c>
      <c r="E1095" s="2" t="s">
        <v>2917</v>
      </c>
      <c r="F1095" s="2" t="s">
        <v>41</v>
      </c>
      <c r="G1095" s="2" t="s">
        <v>4940</v>
      </c>
      <c r="H1095" s="2" t="s">
        <v>667</v>
      </c>
      <c r="I1095" s="2" t="s">
        <v>4726</v>
      </c>
      <c r="J1095" s="2" t="s">
        <v>4696</v>
      </c>
      <c r="K1095" s="2" t="s">
        <v>4696</v>
      </c>
      <c r="L1095" s="2" t="s">
        <v>4696</v>
      </c>
      <c r="M1095" s="2" t="s">
        <v>4696</v>
      </c>
      <c r="N1095" s="2"/>
      <c r="O1095" s="2"/>
      <c r="P1095" s="2"/>
      <c r="Q1095" s="2"/>
    </row>
    <row r="1096" spans="1:17" x14ac:dyDescent="0.3">
      <c r="A1096" s="2">
        <v>3562</v>
      </c>
      <c r="B1096" s="2" t="s">
        <v>2918</v>
      </c>
      <c r="C1096" s="2" t="s">
        <v>2919</v>
      </c>
      <c r="D1096" s="2" t="s">
        <v>6021</v>
      </c>
      <c r="E1096" s="2" t="s">
        <v>2920</v>
      </c>
      <c r="F1096" s="2" t="s">
        <v>41</v>
      </c>
      <c r="G1096" s="2" t="s">
        <v>4941</v>
      </c>
      <c r="H1096" s="2" t="s">
        <v>2921</v>
      </c>
      <c r="I1096" s="2" t="s">
        <v>4726</v>
      </c>
      <c r="J1096" s="2" t="s">
        <v>4696</v>
      </c>
      <c r="K1096" s="2" t="s">
        <v>4696</v>
      </c>
      <c r="L1096" s="2" t="s">
        <v>4696</v>
      </c>
      <c r="M1096" s="2" t="s">
        <v>2</v>
      </c>
      <c r="N1096" s="2"/>
      <c r="O1096" s="2"/>
      <c r="P1096" s="2"/>
      <c r="Q1096" s="2"/>
    </row>
    <row r="1097" spans="1:17" x14ac:dyDescent="0.3">
      <c r="A1097" s="2">
        <v>3563</v>
      </c>
      <c r="B1097" s="2" t="s">
        <v>275</v>
      </c>
      <c r="C1097" s="2" t="s">
        <v>2922</v>
      </c>
      <c r="D1097" s="2" t="s">
        <v>6034</v>
      </c>
      <c r="E1097" s="2" t="s">
        <v>6567</v>
      </c>
      <c r="F1097" s="2" t="s">
        <v>41</v>
      </c>
      <c r="G1097" s="2" t="s">
        <v>4942</v>
      </c>
      <c r="H1097" s="2" t="s">
        <v>1291</v>
      </c>
      <c r="I1097" s="2" t="s">
        <v>4700</v>
      </c>
      <c r="J1097" s="2" t="s">
        <v>4696</v>
      </c>
      <c r="K1097" s="2" t="s">
        <v>4696</v>
      </c>
      <c r="L1097" s="2" t="s">
        <v>4696</v>
      </c>
      <c r="M1097" s="2" t="s">
        <v>2</v>
      </c>
      <c r="N1097" s="2"/>
      <c r="O1097" s="2"/>
      <c r="P1097" s="2"/>
      <c r="Q1097" s="2"/>
    </row>
    <row r="1098" spans="1:17" x14ac:dyDescent="0.3">
      <c r="A1098" s="2">
        <v>3564</v>
      </c>
      <c r="B1098" s="2" t="s">
        <v>2923</v>
      </c>
      <c r="C1098" s="2" t="s">
        <v>2924</v>
      </c>
      <c r="D1098" s="2" t="s">
        <v>6015</v>
      </c>
      <c r="E1098" s="2" t="s">
        <v>6568</v>
      </c>
      <c r="F1098" s="2" t="s">
        <v>41</v>
      </c>
      <c r="G1098" s="2" t="s">
        <v>4943</v>
      </c>
      <c r="H1098" s="2" t="s">
        <v>431</v>
      </c>
      <c r="I1098" s="2" t="s">
        <v>14</v>
      </c>
      <c r="J1098" s="2" t="s">
        <v>4696</v>
      </c>
      <c r="K1098" s="2" t="s">
        <v>4696</v>
      </c>
      <c r="L1098" s="2" t="s">
        <v>4696</v>
      </c>
      <c r="M1098" s="2" t="s">
        <v>4696</v>
      </c>
      <c r="N1098" s="2"/>
      <c r="O1098" s="2"/>
      <c r="P1098" s="2"/>
      <c r="Q1098" s="2"/>
    </row>
    <row r="1099" spans="1:17" x14ac:dyDescent="0.3">
      <c r="A1099" s="2">
        <v>3567</v>
      </c>
      <c r="B1099" s="2" t="s">
        <v>2925</v>
      </c>
      <c r="C1099" s="2" t="s">
        <v>2926</v>
      </c>
      <c r="D1099" s="2" t="s">
        <v>6015</v>
      </c>
      <c r="E1099" s="2" t="s">
        <v>2927</v>
      </c>
      <c r="F1099" s="2" t="s">
        <v>2</v>
      </c>
      <c r="G1099" s="2" t="s">
        <v>4944</v>
      </c>
      <c r="H1099" s="2" t="s">
        <v>2059</v>
      </c>
      <c r="I1099" s="2" t="s">
        <v>4718</v>
      </c>
      <c r="J1099" s="2" t="s">
        <v>4696</v>
      </c>
      <c r="K1099" s="2" t="s">
        <v>4696</v>
      </c>
      <c r="L1099" s="2" t="s">
        <v>4696</v>
      </c>
      <c r="M1099" s="2" t="s">
        <v>2</v>
      </c>
      <c r="N1099" s="2"/>
      <c r="O1099" s="2"/>
      <c r="P1099" s="2"/>
      <c r="Q1099" s="2"/>
    </row>
    <row r="1100" spans="1:17" x14ac:dyDescent="0.3">
      <c r="A1100" s="2">
        <v>3570</v>
      </c>
      <c r="B1100" s="2" t="s">
        <v>2928</v>
      </c>
      <c r="C1100" s="2" t="s">
        <v>2929</v>
      </c>
      <c r="D1100" s="2" t="s">
        <v>6014</v>
      </c>
      <c r="E1100" s="2" t="s">
        <v>2930</v>
      </c>
      <c r="F1100" s="2" t="s">
        <v>41</v>
      </c>
      <c r="G1100" s="2" t="s">
        <v>4945</v>
      </c>
      <c r="H1100" s="2" t="s">
        <v>465</v>
      </c>
      <c r="I1100" s="2" t="s">
        <v>4707</v>
      </c>
      <c r="J1100" s="2" t="s">
        <v>4696</v>
      </c>
      <c r="K1100" s="2" t="s">
        <v>4696</v>
      </c>
      <c r="L1100" s="2" t="s">
        <v>4696</v>
      </c>
      <c r="M1100" s="2" t="s">
        <v>4696</v>
      </c>
      <c r="N1100" s="2"/>
      <c r="O1100" s="2"/>
      <c r="P1100" s="2"/>
      <c r="Q1100" s="2"/>
    </row>
    <row r="1101" spans="1:17" x14ac:dyDescent="0.3">
      <c r="A1101" s="2">
        <v>3577</v>
      </c>
      <c r="B1101" s="2" t="s">
        <v>2931</v>
      </c>
      <c r="C1101" s="2" t="s">
        <v>2932</v>
      </c>
      <c r="D1101" s="2" t="s">
        <v>6021</v>
      </c>
      <c r="E1101" s="2" t="s">
        <v>6569</v>
      </c>
      <c r="F1101" s="2" t="s">
        <v>41</v>
      </c>
      <c r="G1101" s="2" t="s">
        <v>4946</v>
      </c>
      <c r="H1101" s="2" t="s">
        <v>456</v>
      </c>
      <c r="I1101" s="2" t="s">
        <v>4723</v>
      </c>
      <c r="J1101" s="2" t="s">
        <v>4696</v>
      </c>
      <c r="K1101" s="2" t="s">
        <v>4696</v>
      </c>
      <c r="L1101" s="2" t="s">
        <v>4696</v>
      </c>
      <c r="M1101" s="2" t="s">
        <v>2</v>
      </c>
      <c r="N1101" s="2"/>
      <c r="O1101" s="2"/>
      <c r="P1101" s="2"/>
      <c r="Q1101" s="2"/>
    </row>
    <row r="1102" spans="1:17" x14ac:dyDescent="0.3">
      <c r="A1102" s="2">
        <v>3580</v>
      </c>
      <c r="B1102" s="2" t="s">
        <v>2933</v>
      </c>
      <c r="C1102" s="2" t="s">
        <v>6570</v>
      </c>
      <c r="D1102" s="2" t="s">
        <v>6010</v>
      </c>
      <c r="E1102" s="2" t="s">
        <v>2934</v>
      </c>
      <c r="F1102" s="2" t="s">
        <v>41</v>
      </c>
      <c r="G1102" s="2" t="s">
        <v>4947</v>
      </c>
      <c r="H1102" s="2" t="s">
        <v>404</v>
      </c>
      <c r="I1102" s="2" t="s">
        <v>1</v>
      </c>
      <c r="J1102" s="2" t="s">
        <v>4696</v>
      </c>
      <c r="K1102" s="2" t="s">
        <v>4696</v>
      </c>
      <c r="L1102" s="2" t="s">
        <v>4696</v>
      </c>
      <c r="M1102" s="2" t="s">
        <v>4696</v>
      </c>
      <c r="N1102" s="2"/>
      <c r="O1102" s="2"/>
      <c r="P1102" s="2"/>
      <c r="Q1102" s="2"/>
    </row>
    <row r="1103" spans="1:17" x14ac:dyDescent="0.3">
      <c r="A1103" s="2">
        <v>3581</v>
      </c>
      <c r="B1103" s="2" t="s">
        <v>2935</v>
      </c>
      <c r="C1103" s="2" t="s">
        <v>2936</v>
      </c>
      <c r="D1103" s="2" t="s">
        <v>6004</v>
      </c>
      <c r="E1103" s="2" t="s">
        <v>2937</v>
      </c>
      <c r="F1103" s="2" t="s">
        <v>2</v>
      </c>
      <c r="G1103" s="2" t="s">
        <v>4948</v>
      </c>
      <c r="H1103" s="2" t="s">
        <v>667</v>
      </c>
      <c r="I1103" s="2" t="s">
        <v>4726</v>
      </c>
      <c r="J1103" s="2" t="s">
        <v>4696</v>
      </c>
      <c r="K1103" s="2" t="s">
        <v>4696</v>
      </c>
      <c r="L1103" s="2" t="s">
        <v>4696</v>
      </c>
      <c r="M1103" s="2" t="s">
        <v>4696</v>
      </c>
      <c r="N1103" s="2"/>
      <c r="O1103" s="2"/>
      <c r="P1103" s="2"/>
      <c r="Q1103" s="2"/>
    </row>
    <row r="1104" spans="1:17" x14ac:dyDescent="0.3">
      <c r="A1104" s="2">
        <v>3587</v>
      </c>
      <c r="B1104" s="2" t="s">
        <v>2938</v>
      </c>
      <c r="C1104" s="2" t="s">
        <v>2939</v>
      </c>
      <c r="D1104" s="2" t="s">
        <v>6002</v>
      </c>
      <c r="E1104" s="2" t="s">
        <v>6571</v>
      </c>
      <c r="F1104" s="2" t="s">
        <v>2</v>
      </c>
      <c r="G1104" s="2" t="s">
        <v>4949</v>
      </c>
      <c r="H1104" s="2" t="s">
        <v>667</v>
      </c>
      <c r="I1104" s="2" t="s">
        <v>4726</v>
      </c>
      <c r="J1104" s="2" t="s">
        <v>4696</v>
      </c>
      <c r="K1104" s="2" t="s">
        <v>4696</v>
      </c>
      <c r="L1104" s="2" t="s">
        <v>4696</v>
      </c>
      <c r="M1104" s="2" t="s">
        <v>4696</v>
      </c>
      <c r="N1104" s="2"/>
      <c r="O1104" s="2"/>
      <c r="P1104" s="2"/>
      <c r="Q1104" s="2"/>
    </row>
    <row r="1105" spans="1:17" x14ac:dyDescent="0.3">
      <c r="A1105" s="2">
        <v>3594</v>
      </c>
      <c r="B1105" s="2" t="s">
        <v>136</v>
      </c>
      <c r="C1105" s="2" t="s">
        <v>2940</v>
      </c>
      <c r="D1105" s="2" t="s">
        <v>6014</v>
      </c>
      <c r="E1105" s="2" t="s">
        <v>2941</v>
      </c>
      <c r="F1105" s="2" t="s">
        <v>2</v>
      </c>
      <c r="G1105" s="2" t="s">
        <v>4950</v>
      </c>
      <c r="H1105" s="2" t="s">
        <v>456</v>
      </c>
      <c r="I1105" s="2" t="s">
        <v>4741</v>
      </c>
      <c r="J1105" s="2" t="s">
        <v>4696</v>
      </c>
      <c r="K1105" s="2" t="s">
        <v>4696</v>
      </c>
      <c r="L1105" s="2" t="s">
        <v>4696</v>
      </c>
      <c r="M1105" s="2" t="s">
        <v>4696</v>
      </c>
      <c r="N1105" s="2"/>
      <c r="O1105" s="2"/>
      <c r="P1105" s="2"/>
      <c r="Q1105" s="2"/>
    </row>
    <row r="1106" spans="1:17" x14ac:dyDescent="0.3">
      <c r="A1106" s="2">
        <v>3609</v>
      </c>
      <c r="B1106" s="2" t="s">
        <v>2942</v>
      </c>
      <c r="C1106" s="2" t="s">
        <v>2943</v>
      </c>
      <c r="D1106" s="2" t="s">
        <v>6015</v>
      </c>
      <c r="E1106" s="2" t="s">
        <v>6572</v>
      </c>
      <c r="F1106" s="2" t="s">
        <v>2</v>
      </c>
      <c r="G1106" s="2" t="s">
        <v>4951</v>
      </c>
      <c r="H1106" s="2" t="s">
        <v>1063</v>
      </c>
      <c r="I1106" s="2" t="s">
        <v>4759</v>
      </c>
      <c r="J1106" s="2" t="s">
        <v>4696</v>
      </c>
      <c r="K1106" s="2" t="s">
        <v>4696</v>
      </c>
      <c r="L1106" s="2" t="s">
        <v>4696</v>
      </c>
      <c r="M1106" s="2" t="s">
        <v>4696</v>
      </c>
      <c r="N1106" s="2"/>
      <c r="O1106" s="2"/>
      <c r="P1106" s="2"/>
      <c r="Q1106" s="2"/>
    </row>
    <row r="1107" spans="1:17" x14ac:dyDescent="0.3">
      <c r="A1107" s="2">
        <v>3611</v>
      </c>
      <c r="B1107" s="2" t="s">
        <v>2944</v>
      </c>
      <c r="C1107" s="2" t="s">
        <v>2945</v>
      </c>
      <c r="D1107" s="2" t="s">
        <v>6024</v>
      </c>
      <c r="E1107" s="2" t="s">
        <v>6573</v>
      </c>
      <c r="F1107" s="2" t="s">
        <v>41</v>
      </c>
      <c r="G1107" s="2" t="s">
        <v>4952</v>
      </c>
      <c r="H1107" s="2" t="s">
        <v>404</v>
      </c>
      <c r="I1107" s="2" t="s">
        <v>4700</v>
      </c>
      <c r="J1107" s="2" t="s">
        <v>4696</v>
      </c>
      <c r="K1107" s="2" t="s">
        <v>4696</v>
      </c>
      <c r="L1107" s="2" t="s">
        <v>4696</v>
      </c>
      <c r="M1107" s="2" t="s">
        <v>2</v>
      </c>
      <c r="N1107" s="2"/>
      <c r="O1107" s="2"/>
      <c r="P1107" s="2"/>
      <c r="Q1107" s="2"/>
    </row>
    <row r="1108" spans="1:17" x14ac:dyDescent="0.3">
      <c r="A1108" s="2">
        <v>3615</v>
      </c>
      <c r="B1108" s="2" t="s">
        <v>2946</v>
      </c>
      <c r="C1108" s="2" t="s">
        <v>2947</v>
      </c>
      <c r="D1108" s="2" t="s">
        <v>6021</v>
      </c>
      <c r="E1108" s="2" t="s">
        <v>2948</v>
      </c>
      <c r="F1108" s="2" t="s">
        <v>2</v>
      </c>
      <c r="G1108" s="2" t="s">
        <v>4953</v>
      </c>
      <c r="H1108" s="2" t="s">
        <v>456</v>
      </c>
      <c r="I1108" s="2" t="s">
        <v>4723</v>
      </c>
      <c r="J1108" s="2" t="s">
        <v>4696</v>
      </c>
      <c r="K1108" s="2" t="s">
        <v>4696</v>
      </c>
      <c r="L1108" s="2" t="s">
        <v>4696</v>
      </c>
      <c r="M1108" s="2" t="s">
        <v>4696</v>
      </c>
      <c r="N1108" s="2"/>
      <c r="O1108" s="2"/>
      <c r="P1108" s="2"/>
      <c r="Q1108" s="2"/>
    </row>
    <row r="1109" spans="1:17" x14ac:dyDescent="0.3">
      <c r="A1109" s="2">
        <v>3623</v>
      </c>
      <c r="B1109" s="2" t="s">
        <v>2949</v>
      </c>
      <c r="C1109" s="2" t="s">
        <v>6574</v>
      </c>
      <c r="D1109" s="2" t="s">
        <v>6020</v>
      </c>
      <c r="E1109" s="2" t="s">
        <v>2950</v>
      </c>
      <c r="F1109" s="2" t="s">
        <v>2</v>
      </c>
      <c r="G1109" s="2" t="s">
        <v>4954</v>
      </c>
      <c r="H1109" s="2" t="s">
        <v>451</v>
      </c>
      <c r="I1109" s="2" t="s">
        <v>4751</v>
      </c>
      <c r="J1109" s="2" t="s">
        <v>4696</v>
      </c>
      <c r="K1109" s="2" t="s">
        <v>4696</v>
      </c>
      <c r="L1109" s="2" t="s">
        <v>4696</v>
      </c>
      <c r="M1109" s="2" t="s">
        <v>4696</v>
      </c>
      <c r="N1109" s="2"/>
      <c r="O1109" s="2"/>
      <c r="P1109" s="2"/>
      <c r="Q1109" s="2"/>
    </row>
    <row r="1110" spans="1:17" x14ac:dyDescent="0.3">
      <c r="A1110" s="2">
        <v>3624</v>
      </c>
      <c r="B1110" s="2" t="s">
        <v>110</v>
      </c>
      <c r="C1110" s="2" t="s">
        <v>2951</v>
      </c>
      <c r="D1110" s="2" t="s">
        <v>6042</v>
      </c>
      <c r="E1110" s="2" t="s">
        <v>2952</v>
      </c>
      <c r="F1110" s="2" t="s">
        <v>2</v>
      </c>
      <c r="G1110" s="2">
        <v>35972931</v>
      </c>
      <c r="H1110" s="2" t="s">
        <v>1063</v>
      </c>
      <c r="I1110" s="2">
        <v>277198899</v>
      </c>
      <c r="J1110" s="2" t="s">
        <v>4696</v>
      </c>
      <c r="K1110" s="2" t="s">
        <v>4696</v>
      </c>
      <c r="L1110" s="2" t="s">
        <v>4696</v>
      </c>
      <c r="M1110" s="2" t="s">
        <v>2</v>
      </c>
      <c r="N1110" s="2"/>
      <c r="O1110" s="2"/>
      <c r="P1110" s="2"/>
      <c r="Q1110" s="2"/>
    </row>
    <row r="1111" spans="1:17" x14ac:dyDescent="0.3">
      <c r="A1111" s="2">
        <v>3625</v>
      </c>
      <c r="B1111" s="2" t="s">
        <v>348</v>
      </c>
      <c r="C1111" s="2" t="s">
        <v>2953</v>
      </c>
      <c r="D1111" s="2" t="s">
        <v>5999</v>
      </c>
      <c r="E1111" s="2" t="s">
        <v>2954</v>
      </c>
      <c r="F1111" s="2" t="s">
        <v>2</v>
      </c>
      <c r="G1111" s="2" t="s">
        <v>4955</v>
      </c>
      <c r="H1111" s="2" t="s">
        <v>541</v>
      </c>
      <c r="I1111" s="2" t="s">
        <v>37</v>
      </c>
      <c r="J1111" s="2" t="s">
        <v>4696</v>
      </c>
      <c r="K1111" s="2" t="s">
        <v>4696</v>
      </c>
      <c r="L1111" s="2" t="s">
        <v>4696</v>
      </c>
      <c r="M1111" s="2" t="s">
        <v>4696</v>
      </c>
      <c r="N1111" s="2"/>
      <c r="O1111" s="2"/>
      <c r="P1111" s="2"/>
      <c r="Q1111" s="2"/>
    </row>
    <row r="1112" spans="1:17" x14ac:dyDescent="0.3">
      <c r="A1112" s="2">
        <v>3628</v>
      </c>
      <c r="B1112" s="2" t="s">
        <v>2955</v>
      </c>
      <c r="C1112" s="2" t="s">
        <v>2956</v>
      </c>
      <c r="D1112" s="2" t="s">
        <v>6000</v>
      </c>
      <c r="E1112" s="2" t="s">
        <v>2957</v>
      </c>
      <c r="F1112" s="2" t="s">
        <v>2</v>
      </c>
      <c r="G1112" s="2" t="s">
        <v>4956</v>
      </c>
      <c r="H1112" s="2" t="s">
        <v>565</v>
      </c>
      <c r="I1112" s="2" t="s">
        <v>4726</v>
      </c>
      <c r="J1112" s="2" t="s">
        <v>4696</v>
      </c>
      <c r="K1112" s="2" t="s">
        <v>4766</v>
      </c>
      <c r="L1112" s="2" t="s">
        <v>4766</v>
      </c>
      <c r="M1112" s="2" t="s">
        <v>4696</v>
      </c>
      <c r="N1112" s="2"/>
      <c r="O1112" s="2"/>
      <c r="P1112" s="2"/>
      <c r="Q1112" s="2"/>
    </row>
    <row r="1113" spans="1:17" x14ac:dyDescent="0.3">
      <c r="A1113" s="2">
        <v>3629</v>
      </c>
      <c r="B1113" s="2" t="s">
        <v>2958</v>
      </c>
      <c r="C1113" s="2" t="s">
        <v>2959</v>
      </c>
      <c r="D1113" s="2" t="s">
        <v>6002</v>
      </c>
      <c r="E1113" s="2" t="s">
        <v>2960</v>
      </c>
      <c r="F1113" s="2" t="s">
        <v>2</v>
      </c>
      <c r="G1113" s="2" t="s">
        <v>4957</v>
      </c>
      <c r="H1113" s="2" t="s">
        <v>2961</v>
      </c>
      <c r="I1113" s="2" t="s">
        <v>4861</v>
      </c>
      <c r="J1113" s="2" t="s">
        <v>4696</v>
      </c>
      <c r="K1113" s="2" t="s">
        <v>4696</v>
      </c>
      <c r="L1113" s="2" t="s">
        <v>4696</v>
      </c>
      <c r="M1113" s="2" t="s">
        <v>4696</v>
      </c>
      <c r="N1113" s="2"/>
      <c r="O1113" s="2"/>
      <c r="P1113" s="2"/>
      <c r="Q1113" s="2"/>
    </row>
    <row r="1114" spans="1:17" x14ac:dyDescent="0.3">
      <c r="A1114" s="2">
        <v>3630</v>
      </c>
      <c r="B1114" s="2" t="s">
        <v>139</v>
      </c>
      <c r="C1114" s="2" t="s">
        <v>2962</v>
      </c>
      <c r="D1114" s="2" t="s">
        <v>6024</v>
      </c>
      <c r="E1114" s="2" t="s">
        <v>6575</v>
      </c>
      <c r="F1114" s="2" t="s">
        <v>41</v>
      </c>
      <c r="G1114" s="2" t="s">
        <v>4958</v>
      </c>
      <c r="H1114" s="2" t="s">
        <v>896</v>
      </c>
      <c r="I1114" s="2" t="s">
        <v>4742</v>
      </c>
      <c r="J1114" s="2" t="s">
        <v>4696</v>
      </c>
      <c r="K1114" s="2" t="s">
        <v>4696</v>
      </c>
      <c r="L1114" s="2" t="s">
        <v>4696</v>
      </c>
      <c r="M1114" s="2" t="s">
        <v>2</v>
      </c>
      <c r="N1114" s="2"/>
      <c r="O1114" s="2"/>
      <c r="P1114" s="2"/>
      <c r="Q1114" s="2"/>
    </row>
    <row r="1115" spans="1:17" x14ac:dyDescent="0.3">
      <c r="A1115" s="2">
        <v>3631</v>
      </c>
      <c r="B1115" s="2" t="s">
        <v>2963</v>
      </c>
      <c r="C1115" s="2" t="s">
        <v>6576</v>
      </c>
      <c r="D1115" s="2" t="s">
        <v>6004</v>
      </c>
      <c r="E1115" s="2" t="s">
        <v>6577</v>
      </c>
      <c r="F1115" s="2" t="s">
        <v>2</v>
      </c>
      <c r="G1115" s="2" t="s">
        <v>4959</v>
      </c>
      <c r="H1115" s="2" t="s">
        <v>505</v>
      </c>
      <c r="I1115" s="2" t="s">
        <v>4960</v>
      </c>
      <c r="J1115" s="2" t="s">
        <v>4696</v>
      </c>
      <c r="K1115" s="2" t="s">
        <v>4696</v>
      </c>
      <c r="L1115" s="2" t="s">
        <v>4696</v>
      </c>
      <c r="M1115" s="2" t="s">
        <v>4696</v>
      </c>
      <c r="N1115" s="2"/>
      <c r="O1115" s="2"/>
      <c r="P1115" s="2"/>
      <c r="Q1115" s="2"/>
    </row>
    <row r="1116" spans="1:17" x14ac:dyDescent="0.3">
      <c r="A1116" s="2">
        <v>3632</v>
      </c>
      <c r="B1116" s="2" t="s">
        <v>46</v>
      </c>
      <c r="C1116" s="2" t="s">
        <v>2964</v>
      </c>
      <c r="D1116" s="2" t="s">
        <v>6037</v>
      </c>
      <c r="E1116" s="2" t="s">
        <v>2965</v>
      </c>
      <c r="F1116" s="2" t="s">
        <v>2</v>
      </c>
      <c r="G1116" s="2" t="s">
        <v>4961</v>
      </c>
      <c r="H1116" s="2" t="s">
        <v>456</v>
      </c>
      <c r="I1116" s="2" t="s">
        <v>4723</v>
      </c>
      <c r="J1116" s="2" t="s">
        <v>4696</v>
      </c>
      <c r="K1116" s="2" t="s">
        <v>4696</v>
      </c>
      <c r="L1116" s="2" t="s">
        <v>4696</v>
      </c>
      <c r="M1116" s="2" t="s">
        <v>2</v>
      </c>
      <c r="N1116" s="2"/>
      <c r="O1116" s="2"/>
      <c r="P1116" s="2"/>
      <c r="Q1116" s="2"/>
    </row>
    <row r="1117" spans="1:17" x14ac:dyDescent="0.3">
      <c r="A1117" s="2">
        <v>3642</v>
      </c>
      <c r="B1117" s="2" t="s">
        <v>2966</v>
      </c>
      <c r="C1117" s="2" t="s">
        <v>2967</v>
      </c>
      <c r="D1117" s="2" t="s">
        <v>6004</v>
      </c>
      <c r="E1117" s="2" t="s">
        <v>2968</v>
      </c>
      <c r="F1117" s="2" t="s">
        <v>2</v>
      </c>
      <c r="G1117" s="2" t="s">
        <v>4962</v>
      </c>
      <c r="H1117" s="2" t="s">
        <v>1553</v>
      </c>
      <c r="I1117" s="2" t="s">
        <v>4706</v>
      </c>
      <c r="J1117" s="2" t="s">
        <v>4696</v>
      </c>
      <c r="K1117" s="2" t="s">
        <v>4696</v>
      </c>
      <c r="L1117" s="2" t="s">
        <v>4696</v>
      </c>
      <c r="M1117" s="2" t="s">
        <v>2</v>
      </c>
      <c r="N1117" s="2"/>
      <c r="O1117" s="2"/>
      <c r="P1117" s="2"/>
      <c r="Q1117" s="2"/>
    </row>
    <row r="1118" spans="1:17" x14ac:dyDescent="0.3">
      <c r="A1118" s="2"/>
      <c r="B1118" s="2"/>
      <c r="C1118" s="2"/>
      <c r="D1118" s="2"/>
      <c r="E1118" s="2"/>
      <c r="F1118" s="2"/>
      <c r="G1118" s="2"/>
      <c r="H1118" s="2"/>
      <c r="I1118" s="2"/>
      <c r="J1118" s="2"/>
      <c r="K1118" s="2"/>
      <c r="L1118" s="2"/>
      <c r="M1118" s="2"/>
      <c r="N1118" s="2"/>
      <c r="O1118" s="2"/>
      <c r="P1118" s="2"/>
      <c r="Q1118" s="2"/>
    </row>
    <row r="1119" spans="1:17" x14ac:dyDescent="0.3">
      <c r="A1119" s="2">
        <v>3646</v>
      </c>
      <c r="B1119" s="2" t="s">
        <v>130</v>
      </c>
      <c r="C1119" s="2" t="s">
        <v>2969</v>
      </c>
      <c r="D1119" s="2" t="s">
        <v>6000</v>
      </c>
      <c r="E1119" s="2" t="s">
        <v>2970</v>
      </c>
      <c r="F1119" s="2" t="s">
        <v>2</v>
      </c>
      <c r="G1119" s="2" t="s">
        <v>4963</v>
      </c>
      <c r="H1119" s="2" t="s">
        <v>465</v>
      </c>
      <c r="I1119" s="2" t="s">
        <v>4712</v>
      </c>
      <c r="J1119" s="2" t="s">
        <v>4696</v>
      </c>
      <c r="K1119" s="2" t="s">
        <v>4696</v>
      </c>
      <c r="L1119" s="2" t="s">
        <v>4696</v>
      </c>
      <c r="M1119" s="2" t="s">
        <v>4696</v>
      </c>
      <c r="N1119" s="2"/>
      <c r="O1119" s="2"/>
      <c r="P1119" s="2"/>
      <c r="Q1119" s="2"/>
    </row>
    <row r="1120" spans="1:17" x14ac:dyDescent="0.3">
      <c r="A1120" s="2">
        <v>3652</v>
      </c>
      <c r="B1120" s="2" t="s">
        <v>2971</v>
      </c>
      <c r="C1120" s="2" t="s">
        <v>2972</v>
      </c>
      <c r="D1120" s="2" t="s">
        <v>6020</v>
      </c>
      <c r="E1120" s="2" t="s">
        <v>1239</v>
      </c>
      <c r="F1120" s="2" t="s">
        <v>41</v>
      </c>
      <c r="G1120" s="2" t="s">
        <v>4964</v>
      </c>
      <c r="H1120" s="2" t="s">
        <v>456</v>
      </c>
      <c r="I1120" s="2" t="s">
        <v>4717</v>
      </c>
      <c r="J1120" s="2" t="s">
        <v>4696</v>
      </c>
      <c r="K1120" s="2" t="s">
        <v>4696</v>
      </c>
      <c r="L1120" s="2" t="s">
        <v>4696</v>
      </c>
      <c r="M1120" s="2" t="s">
        <v>4696</v>
      </c>
      <c r="N1120" s="2"/>
      <c r="O1120" s="2"/>
      <c r="P1120" s="2"/>
      <c r="Q1120" s="2"/>
    </row>
    <row r="1121" spans="1:17" x14ac:dyDescent="0.3">
      <c r="A1121" s="2">
        <v>3658</v>
      </c>
      <c r="B1121" s="2" t="s">
        <v>2973</v>
      </c>
      <c r="C1121" s="2" t="s">
        <v>2974</v>
      </c>
      <c r="D1121" s="2" t="s">
        <v>6025</v>
      </c>
      <c r="E1121" s="2" t="s">
        <v>2975</v>
      </c>
      <c r="F1121" s="2" t="s">
        <v>2</v>
      </c>
      <c r="G1121" s="2" t="s">
        <v>4965</v>
      </c>
      <c r="H1121" s="2" t="s">
        <v>404</v>
      </c>
      <c r="I1121" s="2" t="s">
        <v>4727</v>
      </c>
      <c r="J1121" s="2" t="s">
        <v>4696</v>
      </c>
      <c r="K1121" s="2" t="s">
        <v>4696</v>
      </c>
      <c r="L1121" s="2" t="s">
        <v>4696</v>
      </c>
      <c r="M1121" s="2" t="s">
        <v>2</v>
      </c>
      <c r="N1121" s="2"/>
      <c r="O1121" s="2"/>
      <c r="P1121" s="2"/>
      <c r="Q1121" s="2"/>
    </row>
    <row r="1122" spans="1:17" x14ac:dyDescent="0.3">
      <c r="A1122" s="2">
        <v>3662</v>
      </c>
      <c r="B1122" s="2" t="s">
        <v>2976</v>
      </c>
      <c r="C1122" s="2" t="s">
        <v>2977</v>
      </c>
      <c r="D1122" s="2" t="s">
        <v>6037</v>
      </c>
      <c r="E1122" s="2" t="s">
        <v>2978</v>
      </c>
      <c r="F1122" s="2" t="s">
        <v>2</v>
      </c>
      <c r="G1122" s="2" t="s">
        <v>4966</v>
      </c>
      <c r="H1122" s="2" t="s">
        <v>456</v>
      </c>
      <c r="I1122" s="2" t="s">
        <v>26</v>
      </c>
      <c r="J1122" s="2" t="s">
        <v>4696</v>
      </c>
      <c r="K1122" s="2" t="s">
        <v>4696</v>
      </c>
      <c r="L1122" s="2" t="s">
        <v>4696</v>
      </c>
      <c r="M1122" s="2" t="s">
        <v>4696</v>
      </c>
      <c r="N1122" s="2"/>
      <c r="O1122" s="2"/>
      <c r="P1122" s="2"/>
      <c r="Q1122" s="2"/>
    </row>
    <row r="1123" spans="1:17" x14ac:dyDescent="0.3">
      <c r="A1123" s="2">
        <v>3663</v>
      </c>
      <c r="B1123" s="2" t="s">
        <v>2979</v>
      </c>
      <c r="C1123" s="2" t="s">
        <v>2980</v>
      </c>
      <c r="D1123" s="2" t="s">
        <v>6007</v>
      </c>
      <c r="E1123" s="2" t="s">
        <v>2981</v>
      </c>
      <c r="F1123" s="2" t="s">
        <v>2</v>
      </c>
      <c r="G1123" s="2" t="s">
        <v>4967</v>
      </c>
      <c r="H1123" s="2" t="s">
        <v>415</v>
      </c>
      <c r="I1123" s="2" t="s">
        <v>4694</v>
      </c>
      <c r="J1123" s="2" t="s">
        <v>4696</v>
      </c>
      <c r="K1123" s="2" t="s">
        <v>4696</v>
      </c>
      <c r="L1123" s="2" t="s">
        <v>4696</v>
      </c>
      <c r="M1123" s="2" t="s">
        <v>4696</v>
      </c>
      <c r="N1123" s="2"/>
      <c r="O1123" s="2"/>
      <c r="P1123" s="2"/>
      <c r="Q1123" s="2"/>
    </row>
    <row r="1124" spans="1:17" x14ac:dyDescent="0.3">
      <c r="A1124" s="2">
        <v>3664</v>
      </c>
      <c r="B1124" s="2" t="s">
        <v>2982</v>
      </c>
      <c r="C1124" s="2" t="s">
        <v>6578</v>
      </c>
      <c r="D1124" s="2" t="s">
        <v>6025</v>
      </c>
      <c r="E1124" s="2" t="s">
        <v>6579</v>
      </c>
      <c r="F1124" s="2" t="s">
        <v>2</v>
      </c>
      <c r="G1124" s="2" t="s">
        <v>4968</v>
      </c>
      <c r="H1124" s="2" t="s">
        <v>404</v>
      </c>
      <c r="I1124" s="2" t="s">
        <v>4727</v>
      </c>
      <c r="J1124" s="2" t="s">
        <v>4696</v>
      </c>
      <c r="K1124" s="2" t="s">
        <v>4696</v>
      </c>
      <c r="L1124" s="2" t="s">
        <v>4696</v>
      </c>
      <c r="M1124" s="2" t="s">
        <v>2</v>
      </c>
      <c r="N1124" s="2"/>
      <c r="O1124" s="2"/>
      <c r="P1124" s="2"/>
      <c r="Q1124" s="2"/>
    </row>
    <row r="1125" spans="1:17" x14ac:dyDescent="0.3">
      <c r="A1125" s="2">
        <v>3666</v>
      </c>
      <c r="B1125" s="2" t="s">
        <v>2983</v>
      </c>
      <c r="C1125" s="2" t="s">
        <v>2984</v>
      </c>
      <c r="D1125" s="2" t="s">
        <v>6007</v>
      </c>
      <c r="E1125" s="2" t="s">
        <v>6580</v>
      </c>
      <c r="F1125" s="2" t="s">
        <v>41</v>
      </c>
      <c r="G1125" s="2" t="s">
        <v>4969</v>
      </c>
      <c r="H1125" s="2" t="s">
        <v>1063</v>
      </c>
      <c r="I1125" s="2" t="s">
        <v>4749</v>
      </c>
      <c r="J1125" s="2" t="s">
        <v>4696</v>
      </c>
      <c r="K1125" s="2" t="s">
        <v>4696</v>
      </c>
      <c r="L1125" s="2" t="s">
        <v>4696</v>
      </c>
      <c r="M1125" s="2" t="s">
        <v>4696</v>
      </c>
      <c r="N1125" s="2"/>
      <c r="O1125" s="2"/>
      <c r="P1125" s="2"/>
      <c r="Q1125" s="2"/>
    </row>
    <row r="1126" spans="1:17" x14ac:dyDescent="0.3">
      <c r="A1126" s="2">
        <v>3672</v>
      </c>
      <c r="B1126" s="2" t="s">
        <v>76</v>
      </c>
      <c r="C1126" s="2" t="s">
        <v>2985</v>
      </c>
      <c r="D1126" s="2" t="s">
        <v>6051</v>
      </c>
      <c r="E1126" s="2" t="s">
        <v>6581</v>
      </c>
      <c r="F1126" s="2" t="s">
        <v>41</v>
      </c>
      <c r="G1126" s="2" t="s">
        <v>4970</v>
      </c>
      <c r="H1126" s="2" t="s">
        <v>431</v>
      </c>
      <c r="I1126" s="2" t="s">
        <v>4811</v>
      </c>
      <c r="J1126" s="2" t="s">
        <v>4696</v>
      </c>
      <c r="K1126" s="2" t="s">
        <v>4696</v>
      </c>
      <c r="L1126" s="2" t="s">
        <v>4696</v>
      </c>
      <c r="M1126" s="2" t="s">
        <v>4696</v>
      </c>
      <c r="N1126" s="2"/>
      <c r="O1126" s="2"/>
      <c r="P1126" s="2"/>
      <c r="Q1126" s="2"/>
    </row>
    <row r="1127" spans="1:17" x14ac:dyDescent="0.3">
      <c r="A1127" s="2">
        <v>3675</v>
      </c>
      <c r="B1127" s="2" t="s">
        <v>2986</v>
      </c>
      <c r="C1127" s="2" t="s">
        <v>2987</v>
      </c>
      <c r="D1127" s="2" t="s">
        <v>6051</v>
      </c>
      <c r="E1127" s="2" t="s">
        <v>2988</v>
      </c>
      <c r="F1127" s="2" t="s">
        <v>2</v>
      </c>
      <c r="G1127" s="2" t="s">
        <v>4971</v>
      </c>
      <c r="H1127" s="2" t="s">
        <v>451</v>
      </c>
      <c r="I1127" s="2" t="s">
        <v>10</v>
      </c>
      <c r="J1127" s="2" t="s">
        <v>4696</v>
      </c>
      <c r="K1127" s="2" t="s">
        <v>4696</v>
      </c>
      <c r="L1127" s="2" t="s">
        <v>4696</v>
      </c>
      <c r="M1127" s="2" t="s">
        <v>2</v>
      </c>
      <c r="N1127" s="2"/>
      <c r="O1127" s="2"/>
      <c r="P1127" s="2"/>
      <c r="Q1127" s="2"/>
    </row>
    <row r="1128" spans="1:17" x14ac:dyDescent="0.3">
      <c r="A1128" s="2"/>
      <c r="B1128" s="2"/>
      <c r="C1128" s="2"/>
      <c r="D1128" s="2"/>
      <c r="E1128" s="2"/>
      <c r="F1128" s="2"/>
      <c r="G1128" s="2"/>
      <c r="H1128" s="2"/>
      <c r="I1128" s="2"/>
      <c r="J1128" s="2"/>
      <c r="K1128" s="2"/>
      <c r="L1128" s="2"/>
      <c r="M1128" s="2"/>
      <c r="N1128" s="2"/>
      <c r="O1128" s="2"/>
      <c r="P1128" s="2"/>
      <c r="Q1128" s="2"/>
    </row>
    <row r="1129" spans="1:17" x14ac:dyDescent="0.3">
      <c r="A1129" s="2">
        <v>3680</v>
      </c>
      <c r="B1129" s="2" t="s">
        <v>2989</v>
      </c>
      <c r="C1129" s="2" t="s">
        <v>2990</v>
      </c>
      <c r="D1129" s="2" t="s">
        <v>6034</v>
      </c>
      <c r="E1129" s="2" t="s">
        <v>2991</v>
      </c>
      <c r="F1129" s="2" t="s">
        <v>2</v>
      </c>
      <c r="G1129" s="2" t="s">
        <v>4972</v>
      </c>
      <c r="H1129" s="2" t="s">
        <v>451</v>
      </c>
      <c r="I1129" s="2">
        <v>223892999</v>
      </c>
      <c r="J1129" s="2" t="s">
        <v>4696</v>
      </c>
      <c r="K1129" s="2" t="s">
        <v>4696</v>
      </c>
      <c r="L1129" s="2" t="s">
        <v>4696</v>
      </c>
      <c r="M1129" s="2" t="s">
        <v>2</v>
      </c>
      <c r="N1129" s="2"/>
      <c r="O1129" s="2"/>
      <c r="P1129" s="2"/>
      <c r="Q1129" s="2"/>
    </row>
    <row r="1130" spans="1:17" x14ac:dyDescent="0.3">
      <c r="A1130" s="2">
        <v>3684</v>
      </c>
      <c r="B1130" s="2" t="s">
        <v>2992</v>
      </c>
      <c r="C1130" s="2" t="s">
        <v>2993</v>
      </c>
      <c r="D1130" s="2" t="s">
        <v>6031</v>
      </c>
      <c r="E1130" s="2" t="s">
        <v>6582</v>
      </c>
      <c r="F1130" s="2" t="s">
        <v>41</v>
      </c>
      <c r="G1130" s="2" t="s">
        <v>4973</v>
      </c>
      <c r="H1130" s="2" t="s">
        <v>2994</v>
      </c>
      <c r="I1130" s="2" t="s">
        <v>4717</v>
      </c>
      <c r="J1130" s="2" t="s">
        <v>4696</v>
      </c>
      <c r="K1130" s="2" t="s">
        <v>4696</v>
      </c>
      <c r="L1130" s="2" t="s">
        <v>4696</v>
      </c>
      <c r="M1130" s="2" t="s">
        <v>2</v>
      </c>
      <c r="N1130" s="2"/>
      <c r="O1130" s="2"/>
      <c r="P1130" s="2"/>
      <c r="Q1130" s="2"/>
    </row>
    <row r="1131" spans="1:17" x14ac:dyDescent="0.3">
      <c r="A1131" s="2">
        <v>3685</v>
      </c>
      <c r="B1131" s="2" t="s">
        <v>2995</v>
      </c>
      <c r="C1131" s="2" t="s">
        <v>6583</v>
      </c>
      <c r="D1131" s="2" t="s">
        <v>6584</v>
      </c>
      <c r="E1131" s="2" t="s">
        <v>6585</v>
      </c>
      <c r="F1131" s="2" t="s">
        <v>41</v>
      </c>
      <c r="G1131" s="2" t="s">
        <v>6586</v>
      </c>
      <c r="H1131" s="2" t="s">
        <v>1063</v>
      </c>
      <c r="I1131" s="2" t="s">
        <v>4759</v>
      </c>
      <c r="J1131" s="2" t="s">
        <v>4696</v>
      </c>
      <c r="K1131" s="2" t="s">
        <v>4696</v>
      </c>
      <c r="L1131" s="2" t="s">
        <v>4696</v>
      </c>
      <c r="M1131" s="2" t="s">
        <v>2</v>
      </c>
      <c r="N1131" s="2"/>
      <c r="O1131" s="2"/>
      <c r="P1131" s="2"/>
      <c r="Q1131" s="2"/>
    </row>
    <row r="1132" spans="1:17" x14ac:dyDescent="0.3">
      <c r="A1132" s="2">
        <v>3687</v>
      </c>
      <c r="B1132" s="2" t="s">
        <v>210</v>
      </c>
      <c r="C1132" s="2" t="s">
        <v>6587</v>
      </c>
      <c r="D1132" s="2" t="s">
        <v>6020</v>
      </c>
      <c r="E1132" s="2" t="s">
        <v>6588</v>
      </c>
      <c r="F1132" s="2" t="s">
        <v>41</v>
      </c>
      <c r="G1132" s="2" t="s">
        <v>6589</v>
      </c>
      <c r="H1132" s="2" t="s">
        <v>456</v>
      </c>
      <c r="I1132" s="2" t="s">
        <v>4723</v>
      </c>
      <c r="J1132" s="2" t="s">
        <v>4696</v>
      </c>
      <c r="K1132" s="2" t="s">
        <v>4696</v>
      </c>
      <c r="L1132" s="2" t="s">
        <v>4696</v>
      </c>
      <c r="M1132" s="2" t="s">
        <v>4696</v>
      </c>
      <c r="N1132" s="2"/>
      <c r="O1132" s="2"/>
      <c r="P1132" s="2"/>
      <c r="Q1132" s="2"/>
    </row>
    <row r="1133" spans="1:17" x14ac:dyDescent="0.3">
      <c r="A1133" s="2">
        <v>3689</v>
      </c>
      <c r="B1133" s="2" t="s">
        <v>2996</v>
      </c>
      <c r="C1133" s="2" t="s">
        <v>2997</v>
      </c>
      <c r="D1133" s="2" t="s">
        <v>6028</v>
      </c>
      <c r="E1133" s="2" t="s">
        <v>6590</v>
      </c>
      <c r="F1133" s="2" t="s">
        <v>2</v>
      </c>
      <c r="G1133" s="2" t="s">
        <v>4974</v>
      </c>
      <c r="H1133" s="2" t="s">
        <v>456</v>
      </c>
      <c r="I1133" s="2" t="s">
        <v>4723</v>
      </c>
      <c r="J1133" s="2" t="s">
        <v>4696</v>
      </c>
      <c r="K1133" s="2" t="s">
        <v>4696</v>
      </c>
      <c r="L1133" s="2" t="s">
        <v>4696</v>
      </c>
      <c r="M1133" s="2" t="s">
        <v>4696</v>
      </c>
      <c r="N1133" s="2"/>
      <c r="O1133" s="2"/>
      <c r="P1133" s="2"/>
      <c r="Q1133" s="2"/>
    </row>
    <row r="1134" spans="1:17" x14ac:dyDescent="0.3">
      <c r="A1134" s="2">
        <v>3691</v>
      </c>
      <c r="B1134" s="2" t="s">
        <v>277</v>
      </c>
      <c r="C1134" s="2" t="s">
        <v>2998</v>
      </c>
      <c r="D1134" s="2" t="s">
        <v>6031</v>
      </c>
      <c r="E1134" s="2" t="s">
        <v>6591</v>
      </c>
      <c r="F1134" s="2" t="s">
        <v>2</v>
      </c>
      <c r="G1134" s="2" t="s">
        <v>4975</v>
      </c>
      <c r="H1134" s="2" t="s">
        <v>456</v>
      </c>
      <c r="I1134" s="2" t="s">
        <v>4723</v>
      </c>
      <c r="J1134" s="2" t="s">
        <v>4696</v>
      </c>
      <c r="K1134" s="2" t="s">
        <v>4696</v>
      </c>
      <c r="L1134" s="2" t="s">
        <v>4696</v>
      </c>
      <c r="M1134" s="2" t="s">
        <v>2</v>
      </c>
      <c r="N1134" s="2"/>
      <c r="O1134" s="2"/>
      <c r="P1134" s="2"/>
      <c r="Q1134" s="2"/>
    </row>
    <row r="1135" spans="1:17" x14ac:dyDescent="0.3">
      <c r="A1135" s="2">
        <v>3693</v>
      </c>
      <c r="B1135" s="2" t="s">
        <v>2999</v>
      </c>
      <c r="C1135" s="2" t="s">
        <v>6592</v>
      </c>
      <c r="D1135" s="2" t="s">
        <v>6014</v>
      </c>
      <c r="E1135" s="2" t="s">
        <v>6593</v>
      </c>
      <c r="F1135" s="2" t="s">
        <v>2</v>
      </c>
      <c r="G1135" s="2" t="s">
        <v>4976</v>
      </c>
      <c r="H1135" s="2" t="s">
        <v>6006</v>
      </c>
      <c r="I1135" s="2" t="s">
        <v>4708</v>
      </c>
      <c r="J1135" s="2" t="s">
        <v>4696</v>
      </c>
      <c r="K1135" s="2" t="s">
        <v>4696</v>
      </c>
      <c r="L1135" s="2" t="s">
        <v>4696</v>
      </c>
      <c r="M1135" s="2" t="s">
        <v>2</v>
      </c>
      <c r="N1135" s="2"/>
      <c r="O1135" s="2"/>
      <c r="P1135" s="2"/>
      <c r="Q1135" s="2"/>
    </row>
    <row r="1136" spans="1:17" x14ac:dyDescent="0.3">
      <c r="A1136" s="2">
        <v>3707</v>
      </c>
      <c r="B1136" s="2" t="s">
        <v>114</v>
      </c>
      <c r="C1136" s="2" t="s">
        <v>3000</v>
      </c>
      <c r="D1136" s="2" t="s">
        <v>6025</v>
      </c>
      <c r="E1136" s="2" t="s">
        <v>3001</v>
      </c>
      <c r="F1136" s="2" t="s">
        <v>2</v>
      </c>
      <c r="G1136" s="2">
        <v>35779245</v>
      </c>
      <c r="H1136" s="2" t="s">
        <v>451</v>
      </c>
      <c r="I1136" s="2"/>
      <c r="J1136" s="2" t="s">
        <v>4696</v>
      </c>
      <c r="K1136" s="2" t="s">
        <v>4696</v>
      </c>
      <c r="L1136" s="2" t="s">
        <v>4696</v>
      </c>
      <c r="M1136" s="2" t="s">
        <v>2</v>
      </c>
      <c r="N1136" s="2"/>
      <c r="O1136" s="2"/>
      <c r="P1136" s="2"/>
      <c r="Q1136" s="2"/>
    </row>
    <row r="1137" spans="1:17" x14ac:dyDescent="0.3">
      <c r="A1137" s="2">
        <v>4102</v>
      </c>
      <c r="B1137" s="2" t="s">
        <v>3002</v>
      </c>
      <c r="C1137" s="2" t="s">
        <v>3003</v>
      </c>
      <c r="D1137" s="2" t="s">
        <v>6002</v>
      </c>
      <c r="E1137" s="2" t="s">
        <v>3004</v>
      </c>
      <c r="F1137" s="2" t="s">
        <v>41</v>
      </c>
      <c r="G1137" s="2" t="s">
        <v>4977</v>
      </c>
      <c r="H1137" s="2" t="s">
        <v>6006</v>
      </c>
      <c r="I1137" s="2" t="s">
        <v>4698</v>
      </c>
      <c r="J1137" s="2" t="s">
        <v>4696</v>
      </c>
      <c r="K1137" s="2" t="s">
        <v>4696</v>
      </c>
      <c r="L1137" s="2" t="s">
        <v>4696</v>
      </c>
      <c r="M1137" s="2" t="s">
        <v>2</v>
      </c>
      <c r="N1137" s="2"/>
      <c r="O1137" s="2"/>
      <c r="P1137" s="2"/>
      <c r="Q1137" s="2"/>
    </row>
    <row r="1138" spans="1:17" x14ac:dyDescent="0.3">
      <c r="A1138" s="2">
        <v>4103</v>
      </c>
      <c r="B1138" s="2" t="s">
        <v>3005</v>
      </c>
      <c r="C1138" s="2" t="s">
        <v>3006</v>
      </c>
      <c r="D1138" s="2" t="s">
        <v>6014</v>
      </c>
      <c r="E1138" s="2" t="s">
        <v>3911</v>
      </c>
      <c r="F1138" s="2" t="s">
        <v>2</v>
      </c>
      <c r="G1138" s="2" t="s">
        <v>4978</v>
      </c>
      <c r="H1138" s="2" t="s">
        <v>404</v>
      </c>
      <c r="I1138" s="2" t="s">
        <v>4697</v>
      </c>
      <c r="J1138" s="2" t="s">
        <v>4696</v>
      </c>
      <c r="K1138" s="2" t="s">
        <v>4696</v>
      </c>
      <c r="L1138" s="2" t="s">
        <v>4696</v>
      </c>
      <c r="M1138" s="2" t="s">
        <v>4696</v>
      </c>
      <c r="N1138" s="2"/>
      <c r="O1138" s="2"/>
      <c r="P1138" s="2"/>
      <c r="Q1138" s="2"/>
    </row>
    <row r="1139" spans="1:17" x14ac:dyDescent="0.3">
      <c r="A1139" s="2">
        <v>4105</v>
      </c>
      <c r="B1139" s="2" t="s">
        <v>3007</v>
      </c>
      <c r="C1139" s="2" t="s">
        <v>3008</v>
      </c>
      <c r="D1139" s="2" t="s">
        <v>6010</v>
      </c>
      <c r="E1139" s="2" t="s">
        <v>3009</v>
      </c>
      <c r="F1139" s="2" t="s">
        <v>41</v>
      </c>
      <c r="G1139" s="2" t="s">
        <v>4979</v>
      </c>
      <c r="H1139" s="2" t="s">
        <v>431</v>
      </c>
      <c r="I1139" s="2" t="s">
        <v>4693</v>
      </c>
      <c r="J1139" s="2" t="s">
        <v>6490</v>
      </c>
      <c r="K1139" s="2" t="s">
        <v>4690</v>
      </c>
      <c r="L1139" s="2" t="s">
        <v>4691</v>
      </c>
      <c r="M1139" s="2" t="s">
        <v>4696</v>
      </c>
      <c r="N1139" s="2"/>
      <c r="O1139" s="2"/>
      <c r="P1139" s="2"/>
      <c r="Q1139" s="2"/>
    </row>
    <row r="1140" spans="1:17" x14ac:dyDescent="0.3">
      <c r="A1140" s="2">
        <v>4107</v>
      </c>
      <c r="B1140" s="2" t="s">
        <v>3010</v>
      </c>
      <c r="C1140" s="2" t="s">
        <v>3011</v>
      </c>
      <c r="D1140" s="2" t="s">
        <v>6594</v>
      </c>
      <c r="E1140" s="2" t="s">
        <v>3012</v>
      </c>
      <c r="F1140" s="2" t="s">
        <v>41</v>
      </c>
      <c r="G1140" s="2" t="s">
        <v>4980</v>
      </c>
      <c r="H1140" s="2" t="s">
        <v>469</v>
      </c>
      <c r="I1140" s="2" t="s">
        <v>4809</v>
      </c>
      <c r="J1140" s="2" t="s">
        <v>4696</v>
      </c>
      <c r="K1140" s="2" t="s">
        <v>4696</v>
      </c>
      <c r="L1140" s="2" t="s">
        <v>4696</v>
      </c>
      <c r="M1140" s="2" t="s">
        <v>2</v>
      </c>
      <c r="N1140" s="2"/>
      <c r="O1140" s="2"/>
      <c r="P1140" s="2"/>
      <c r="Q1140" s="2"/>
    </row>
    <row r="1141" spans="1:17" x14ac:dyDescent="0.3">
      <c r="A1141" s="2">
        <v>4109</v>
      </c>
      <c r="B1141" s="2" t="s">
        <v>233</v>
      </c>
      <c r="C1141" s="2" t="s">
        <v>3013</v>
      </c>
      <c r="D1141" s="2" t="s">
        <v>6010</v>
      </c>
      <c r="E1141" s="2" t="s">
        <v>3014</v>
      </c>
      <c r="F1141" s="2" t="s">
        <v>41</v>
      </c>
      <c r="G1141" s="2" t="s">
        <v>4981</v>
      </c>
      <c r="H1141" s="2" t="s">
        <v>6006</v>
      </c>
      <c r="I1141" s="2" t="s">
        <v>4698</v>
      </c>
      <c r="J1141" s="2" t="s">
        <v>4696</v>
      </c>
      <c r="K1141" s="2" t="s">
        <v>4696</v>
      </c>
      <c r="L1141" s="2" t="s">
        <v>4696</v>
      </c>
      <c r="M1141" s="2" t="s">
        <v>4696</v>
      </c>
      <c r="N1141" s="2"/>
      <c r="O1141" s="2"/>
      <c r="P1141" s="2"/>
      <c r="Q1141" s="2"/>
    </row>
    <row r="1142" spans="1:17" x14ac:dyDescent="0.3">
      <c r="A1142" s="2">
        <v>4111</v>
      </c>
      <c r="B1142" s="2" t="s">
        <v>3015</v>
      </c>
      <c r="C1142" s="2" t="s">
        <v>3016</v>
      </c>
      <c r="D1142" s="2" t="s">
        <v>6016</v>
      </c>
      <c r="E1142" s="2" t="s">
        <v>6595</v>
      </c>
      <c r="F1142" s="2" t="s">
        <v>2</v>
      </c>
      <c r="G1142" s="2" t="s">
        <v>4982</v>
      </c>
      <c r="H1142" s="2" t="s">
        <v>6006</v>
      </c>
      <c r="I1142" s="2" t="s">
        <v>4698</v>
      </c>
      <c r="J1142" s="2" t="s">
        <v>4696</v>
      </c>
      <c r="K1142" s="2" t="s">
        <v>4696</v>
      </c>
      <c r="L1142" s="2" t="s">
        <v>4696</v>
      </c>
      <c r="M1142" s="2" t="s">
        <v>2</v>
      </c>
      <c r="N1142" s="2"/>
      <c r="O1142" s="2"/>
      <c r="P1142" s="2"/>
      <c r="Q1142" s="2"/>
    </row>
    <row r="1143" spans="1:17" x14ac:dyDescent="0.3">
      <c r="A1143" s="2">
        <v>4113</v>
      </c>
      <c r="B1143" s="2" t="s">
        <v>340</v>
      </c>
      <c r="C1143" s="2" t="s">
        <v>3017</v>
      </c>
      <c r="D1143" s="2" t="s">
        <v>6028</v>
      </c>
      <c r="E1143" s="2" t="s">
        <v>3018</v>
      </c>
      <c r="F1143" s="2" t="s">
        <v>2</v>
      </c>
      <c r="G1143" s="2" t="s">
        <v>4983</v>
      </c>
      <c r="H1143" s="2" t="s">
        <v>6006</v>
      </c>
      <c r="I1143" s="2" t="s">
        <v>4698</v>
      </c>
      <c r="J1143" s="2" t="s">
        <v>4696</v>
      </c>
      <c r="K1143" s="2" t="s">
        <v>4696</v>
      </c>
      <c r="L1143" s="2" t="s">
        <v>4696</v>
      </c>
      <c r="M1143" s="2" t="s">
        <v>4696</v>
      </c>
      <c r="N1143" s="2"/>
      <c r="O1143" s="2"/>
      <c r="P1143" s="2"/>
      <c r="Q1143" s="2"/>
    </row>
    <row r="1144" spans="1:17" x14ac:dyDescent="0.3">
      <c r="A1144" s="2">
        <v>4114</v>
      </c>
      <c r="B1144" s="2" t="s">
        <v>3019</v>
      </c>
      <c r="C1144" s="2" t="s">
        <v>3020</v>
      </c>
      <c r="D1144" s="2" t="s">
        <v>6173</v>
      </c>
      <c r="E1144" s="2" t="s">
        <v>3021</v>
      </c>
      <c r="F1144" s="2" t="s">
        <v>41</v>
      </c>
      <c r="G1144" s="2" t="s">
        <v>4984</v>
      </c>
      <c r="H1144" s="2" t="s">
        <v>6006</v>
      </c>
      <c r="I1144" s="2" t="s">
        <v>4708</v>
      </c>
      <c r="J1144" s="2" t="s">
        <v>4696</v>
      </c>
      <c r="K1144" s="2" t="s">
        <v>4696</v>
      </c>
      <c r="L1144" s="2" t="s">
        <v>4696</v>
      </c>
      <c r="M1144" s="2" t="s">
        <v>2</v>
      </c>
      <c r="N1144" s="2"/>
      <c r="O1144" s="2"/>
      <c r="P1144" s="2"/>
      <c r="Q1144" s="2"/>
    </row>
    <row r="1145" spans="1:17" x14ac:dyDescent="0.3">
      <c r="A1145" s="2">
        <v>4116</v>
      </c>
      <c r="B1145" s="2" t="s">
        <v>4261</v>
      </c>
      <c r="C1145" s="2" t="s">
        <v>4262</v>
      </c>
      <c r="D1145" s="2" t="s">
        <v>6024</v>
      </c>
      <c r="E1145" s="2" t="s">
        <v>6596</v>
      </c>
      <c r="F1145" s="2" t="s">
        <v>2</v>
      </c>
      <c r="G1145" s="2" t="s">
        <v>5415</v>
      </c>
      <c r="H1145" s="2" t="s">
        <v>1291</v>
      </c>
      <c r="I1145" s="2" t="s">
        <v>1</v>
      </c>
      <c r="J1145" s="2" t="s">
        <v>6597</v>
      </c>
      <c r="K1145" s="2" t="s">
        <v>4690</v>
      </c>
      <c r="L1145" s="2" t="s">
        <v>4691</v>
      </c>
      <c r="M1145" s="2" t="s">
        <v>4699</v>
      </c>
      <c r="N1145" s="2"/>
      <c r="O1145" s="2"/>
      <c r="P1145" s="2"/>
      <c r="Q1145" s="2"/>
    </row>
    <row r="1146" spans="1:17" x14ac:dyDescent="0.3">
      <c r="A1146" s="2">
        <v>4120</v>
      </c>
      <c r="B1146" s="2" t="s">
        <v>3022</v>
      </c>
      <c r="C1146" s="2" t="s">
        <v>3023</v>
      </c>
      <c r="D1146" s="2" t="s">
        <v>6051</v>
      </c>
      <c r="E1146" s="2" t="s">
        <v>6598</v>
      </c>
      <c r="F1146" s="2" t="s">
        <v>41</v>
      </c>
      <c r="G1146" s="2">
        <v>27554881</v>
      </c>
      <c r="H1146" s="2" t="s">
        <v>806</v>
      </c>
      <c r="I1146" s="2" t="s">
        <v>4737</v>
      </c>
      <c r="J1146" s="2" t="s">
        <v>4696</v>
      </c>
      <c r="K1146" s="2" t="s">
        <v>4696</v>
      </c>
      <c r="L1146" s="2" t="s">
        <v>4696</v>
      </c>
      <c r="M1146" s="2" t="s">
        <v>2</v>
      </c>
      <c r="N1146" s="2"/>
      <c r="O1146" s="2"/>
      <c r="P1146" s="2"/>
      <c r="Q1146" s="2"/>
    </row>
    <row r="1147" spans="1:17" x14ac:dyDescent="0.3">
      <c r="A1147" s="2">
        <v>4121</v>
      </c>
      <c r="B1147" s="2" t="s">
        <v>3024</v>
      </c>
      <c r="C1147" s="2" t="s">
        <v>3025</v>
      </c>
      <c r="D1147" s="2" t="s">
        <v>6037</v>
      </c>
      <c r="E1147" s="2" t="s">
        <v>3026</v>
      </c>
      <c r="F1147" s="2" t="s">
        <v>2</v>
      </c>
      <c r="G1147" s="2">
        <v>26597888</v>
      </c>
      <c r="H1147" s="2" t="s">
        <v>539</v>
      </c>
      <c r="I1147" s="2" t="s">
        <v>4698</v>
      </c>
      <c r="J1147" s="2" t="s">
        <v>4696</v>
      </c>
      <c r="K1147" s="2" t="s">
        <v>4696</v>
      </c>
      <c r="L1147" s="2" t="s">
        <v>4696</v>
      </c>
      <c r="M1147" s="2" t="s">
        <v>2</v>
      </c>
      <c r="N1147" s="2"/>
      <c r="O1147" s="2"/>
      <c r="P1147" s="2"/>
      <c r="Q1147" s="2"/>
    </row>
    <row r="1148" spans="1:17" x14ac:dyDescent="0.3">
      <c r="A1148" s="2">
        <v>4123</v>
      </c>
      <c r="B1148" s="2" t="s">
        <v>3027</v>
      </c>
      <c r="C1148" s="2" t="s">
        <v>3028</v>
      </c>
      <c r="D1148" s="2" t="s">
        <v>6020</v>
      </c>
      <c r="E1148" s="2" t="s">
        <v>6599</v>
      </c>
      <c r="F1148" s="2" t="s">
        <v>41</v>
      </c>
      <c r="G1148" s="2">
        <v>26558680</v>
      </c>
      <c r="H1148" s="2" t="s">
        <v>1926</v>
      </c>
      <c r="I1148" s="2" t="s">
        <v>4764</v>
      </c>
      <c r="J1148" s="2" t="s">
        <v>6600</v>
      </c>
      <c r="K1148" s="2" t="s">
        <v>4690</v>
      </c>
      <c r="L1148" s="2" t="s">
        <v>4691</v>
      </c>
      <c r="M1148" s="2" t="s">
        <v>4696</v>
      </c>
      <c r="N1148" s="2"/>
      <c r="O1148" s="2"/>
      <c r="P1148" s="2"/>
      <c r="Q1148" s="2"/>
    </row>
    <row r="1149" spans="1:17" x14ac:dyDescent="0.3">
      <c r="A1149" s="2"/>
      <c r="B1149" s="2"/>
      <c r="C1149" s="2"/>
      <c r="D1149" s="2"/>
      <c r="E1149" s="2"/>
      <c r="F1149" s="2"/>
      <c r="G1149" s="2"/>
      <c r="H1149" s="2"/>
      <c r="I1149" s="2"/>
      <c r="J1149" s="2"/>
      <c r="K1149" s="2"/>
      <c r="L1149" s="2"/>
      <c r="M1149" s="2"/>
      <c r="N1149" s="2"/>
      <c r="O1149" s="2"/>
      <c r="P1149" s="2"/>
      <c r="Q1149" s="2"/>
    </row>
    <row r="1150" spans="1:17" x14ac:dyDescent="0.3">
      <c r="A1150" s="2">
        <v>4126</v>
      </c>
      <c r="B1150" s="2" t="s">
        <v>300</v>
      </c>
      <c r="C1150" s="2" t="s">
        <v>3030</v>
      </c>
      <c r="D1150" s="2" t="s">
        <v>6002</v>
      </c>
      <c r="E1150" s="2" t="s">
        <v>3031</v>
      </c>
      <c r="F1150" s="2" t="s">
        <v>41</v>
      </c>
      <c r="G1150" s="2" t="s">
        <v>4985</v>
      </c>
      <c r="H1150" s="2" t="s">
        <v>667</v>
      </c>
      <c r="I1150" s="2" t="s">
        <v>4726</v>
      </c>
      <c r="J1150" s="2" t="s">
        <v>6519</v>
      </c>
      <c r="K1150" s="2" t="s">
        <v>4690</v>
      </c>
      <c r="L1150" s="2" t="s">
        <v>4691</v>
      </c>
      <c r="M1150" s="2" t="s">
        <v>4696</v>
      </c>
      <c r="N1150" s="2"/>
      <c r="O1150" s="2"/>
      <c r="P1150" s="2"/>
      <c r="Q1150" s="2"/>
    </row>
    <row r="1151" spans="1:17" x14ac:dyDescent="0.3">
      <c r="A1151" s="2">
        <v>4127</v>
      </c>
      <c r="B1151" s="2" t="s">
        <v>3032</v>
      </c>
      <c r="C1151" s="2" t="s">
        <v>3033</v>
      </c>
      <c r="D1151" s="2" t="s">
        <v>6001</v>
      </c>
      <c r="E1151" s="2" t="s">
        <v>3034</v>
      </c>
      <c r="F1151" s="2" t="s">
        <v>2</v>
      </c>
      <c r="G1151" s="2" t="s">
        <v>4986</v>
      </c>
      <c r="H1151" s="2" t="s">
        <v>456</v>
      </c>
      <c r="I1151" s="2" t="s">
        <v>4723</v>
      </c>
      <c r="J1151" s="2" t="s">
        <v>4696</v>
      </c>
      <c r="K1151" s="2" t="s">
        <v>4696</v>
      </c>
      <c r="L1151" s="2" t="s">
        <v>4696</v>
      </c>
      <c r="M1151" s="2" t="s">
        <v>4696</v>
      </c>
      <c r="N1151" s="2"/>
      <c r="O1151" s="2"/>
      <c r="P1151" s="2"/>
      <c r="Q1151" s="2"/>
    </row>
    <row r="1152" spans="1:17" x14ac:dyDescent="0.3">
      <c r="A1152" s="2">
        <v>4128</v>
      </c>
      <c r="B1152" s="2" t="s">
        <v>3035</v>
      </c>
      <c r="C1152" s="2" t="s">
        <v>3036</v>
      </c>
      <c r="D1152" s="2" t="s">
        <v>6001</v>
      </c>
      <c r="E1152" s="2" t="s">
        <v>3037</v>
      </c>
      <c r="F1152" s="2" t="s">
        <v>2</v>
      </c>
      <c r="G1152" s="2" t="s">
        <v>4987</v>
      </c>
      <c r="H1152" s="2" t="s">
        <v>996</v>
      </c>
      <c r="I1152" s="2" t="s">
        <v>4765</v>
      </c>
      <c r="J1152" s="2" t="s">
        <v>6442</v>
      </c>
      <c r="K1152" s="2" t="s">
        <v>4690</v>
      </c>
      <c r="L1152" s="2" t="s">
        <v>4691</v>
      </c>
      <c r="M1152" s="2" t="s">
        <v>4696</v>
      </c>
      <c r="N1152" s="2"/>
      <c r="O1152" s="2"/>
      <c r="P1152" s="2"/>
      <c r="Q1152" s="2"/>
    </row>
    <row r="1153" spans="1:17" x14ac:dyDescent="0.3">
      <c r="A1153" s="2">
        <v>4129</v>
      </c>
      <c r="B1153" s="2" t="s">
        <v>3038</v>
      </c>
      <c r="C1153" s="2" t="s">
        <v>3039</v>
      </c>
      <c r="D1153" s="2" t="s">
        <v>5999</v>
      </c>
      <c r="E1153" s="2" t="s">
        <v>3040</v>
      </c>
      <c r="F1153" s="2" t="s">
        <v>2</v>
      </c>
      <c r="G1153" s="2" t="s">
        <v>4988</v>
      </c>
      <c r="H1153" s="2" t="s">
        <v>631</v>
      </c>
      <c r="I1153" s="2" t="s">
        <v>4730</v>
      </c>
      <c r="J1153" s="2" t="s">
        <v>4696</v>
      </c>
      <c r="K1153" s="2" t="s">
        <v>4696</v>
      </c>
      <c r="L1153" s="2" t="s">
        <v>4696</v>
      </c>
      <c r="M1153" s="2" t="s">
        <v>4696</v>
      </c>
      <c r="N1153" s="2"/>
      <c r="O1153" s="2"/>
      <c r="P1153" s="2"/>
      <c r="Q1153" s="2"/>
    </row>
    <row r="1154" spans="1:17" x14ac:dyDescent="0.3">
      <c r="A1154" s="2">
        <v>4130</v>
      </c>
      <c r="B1154" s="2" t="s">
        <v>3041</v>
      </c>
      <c r="C1154" s="2" t="s">
        <v>3042</v>
      </c>
      <c r="D1154" s="2" t="s">
        <v>6037</v>
      </c>
      <c r="E1154" s="2" t="s">
        <v>3042</v>
      </c>
      <c r="F1154" s="2" t="s">
        <v>2</v>
      </c>
      <c r="G1154" s="2" t="s">
        <v>4989</v>
      </c>
      <c r="H1154" s="2" t="s">
        <v>431</v>
      </c>
      <c r="I1154" s="2" t="s">
        <v>4702</v>
      </c>
      <c r="J1154" s="2" t="s">
        <v>4696</v>
      </c>
      <c r="K1154" s="2" t="s">
        <v>4696</v>
      </c>
      <c r="L1154" s="2" t="s">
        <v>4696</v>
      </c>
      <c r="M1154" s="2" t="s">
        <v>2</v>
      </c>
      <c r="N1154" s="2"/>
      <c r="O1154" s="2"/>
      <c r="P1154" s="2"/>
      <c r="Q1154" s="2"/>
    </row>
    <row r="1155" spans="1:17" x14ac:dyDescent="0.3">
      <c r="A1155" s="2">
        <v>4131</v>
      </c>
      <c r="B1155" s="2" t="s">
        <v>3043</v>
      </c>
      <c r="C1155" s="2" t="s">
        <v>3044</v>
      </c>
      <c r="D1155" s="2" t="s">
        <v>6034</v>
      </c>
      <c r="E1155" s="2" t="s">
        <v>3045</v>
      </c>
      <c r="F1155" s="2" t="s">
        <v>2</v>
      </c>
      <c r="G1155" s="2" t="s">
        <v>4990</v>
      </c>
      <c r="H1155" s="2" t="s">
        <v>2921</v>
      </c>
      <c r="I1155" s="2" t="s">
        <v>4726</v>
      </c>
      <c r="J1155" s="2" t="s">
        <v>4696</v>
      </c>
      <c r="K1155" s="2" t="s">
        <v>4696</v>
      </c>
      <c r="L1155" s="2" t="s">
        <v>4696</v>
      </c>
      <c r="M1155" s="2" t="s">
        <v>2</v>
      </c>
      <c r="N1155" s="2"/>
      <c r="O1155" s="2"/>
      <c r="P1155" s="2"/>
      <c r="Q1155" s="2"/>
    </row>
    <row r="1156" spans="1:17" x14ac:dyDescent="0.3">
      <c r="A1156" s="2">
        <v>4138</v>
      </c>
      <c r="B1156" s="2" t="s">
        <v>3046</v>
      </c>
      <c r="C1156" s="2" t="s">
        <v>3047</v>
      </c>
      <c r="D1156" s="2" t="s">
        <v>6024</v>
      </c>
      <c r="E1156" s="2" t="s">
        <v>6601</v>
      </c>
      <c r="F1156" s="2" t="s">
        <v>2</v>
      </c>
      <c r="G1156" s="2" t="s">
        <v>4991</v>
      </c>
      <c r="H1156" s="2" t="s">
        <v>1072</v>
      </c>
      <c r="I1156" s="2" t="s">
        <v>4</v>
      </c>
      <c r="J1156" s="2" t="s">
        <v>4696</v>
      </c>
      <c r="K1156" s="2" t="s">
        <v>4696</v>
      </c>
      <c r="L1156" s="2" t="s">
        <v>4696</v>
      </c>
      <c r="M1156" s="2" t="s">
        <v>2</v>
      </c>
      <c r="N1156" s="2"/>
      <c r="O1156" s="2"/>
      <c r="P1156" s="2"/>
      <c r="Q1156" s="2"/>
    </row>
    <row r="1157" spans="1:17" x14ac:dyDescent="0.3">
      <c r="A1157" s="2">
        <v>4139</v>
      </c>
      <c r="B1157" s="2" t="s">
        <v>3048</v>
      </c>
      <c r="C1157" s="2" t="s">
        <v>6602</v>
      </c>
      <c r="D1157" s="2" t="s">
        <v>6000</v>
      </c>
      <c r="E1157" s="2" t="s">
        <v>6603</v>
      </c>
      <c r="F1157" s="2" t="s">
        <v>41</v>
      </c>
      <c r="G1157" s="2" t="s">
        <v>4992</v>
      </c>
      <c r="H1157" s="2" t="s">
        <v>631</v>
      </c>
      <c r="I1157" s="2" t="s">
        <v>4993</v>
      </c>
      <c r="J1157" s="2" t="s">
        <v>4696</v>
      </c>
      <c r="K1157" s="2" t="s">
        <v>4696</v>
      </c>
      <c r="L1157" s="2" t="s">
        <v>4696</v>
      </c>
      <c r="M1157" s="2" t="s">
        <v>2</v>
      </c>
      <c r="N1157" s="2"/>
      <c r="O1157" s="2"/>
      <c r="P1157" s="2"/>
      <c r="Q1157" s="2"/>
    </row>
    <row r="1158" spans="1:17" x14ac:dyDescent="0.3">
      <c r="A1158" s="2">
        <v>4147</v>
      </c>
      <c r="B1158" s="2" t="s">
        <v>4275</v>
      </c>
      <c r="C1158" s="2" t="s">
        <v>4276</v>
      </c>
      <c r="D1158" s="2" t="s">
        <v>6141</v>
      </c>
      <c r="E1158" s="2" t="s">
        <v>4277</v>
      </c>
      <c r="F1158" s="2" t="s">
        <v>41</v>
      </c>
      <c r="G1158" s="2" t="s">
        <v>5416</v>
      </c>
      <c r="H1158" s="2" t="s">
        <v>653</v>
      </c>
      <c r="I1158" s="2" t="s">
        <v>34</v>
      </c>
      <c r="J1158" s="2" t="s">
        <v>6604</v>
      </c>
      <c r="K1158" s="2" t="s">
        <v>4690</v>
      </c>
      <c r="L1158" s="2" t="s">
        <v>4691</v>
      </c>
      <c r="M1158" s="2" t="s">
        <v>4692</v>
      </c>
      <c r="N1158" s="2"/>
      <c r="O1158" s="2"/>
      <c r="P1158" s="2"/>
      <c r="Q1158" s="2"/>
    </row>
    <row r="1159" spans="1:17" x14ac:dyDescent="0.3">
      <c r="A1159" s="2">
        <v>4152</v>
      </c>
      <c r="B1159" s="2" t="s">
        <v>3049</v>
      </c>
      <c r="C1159" s="2" t="s">
        <v>3050</v>
      </c>
      <c r="D1159" s="2" t="s">
        <v>6000</v>
      </c>
      <c r="E1159" s="2" t="s">
        <v>3051</v>
      </c>
      <c r="F1159" s="2" t="s">
        <v>2</v>
      </c>
      <c r="G1159" s="2">
        <v>26557377</v>
      </c>
      <c r="H1159" s="2" t="s">
        <v>465</v>
      </c>
      <c r="I1159" s="2">
        <v>23816288</v>
      </c>
      <c r="J1159" s="2" t="s">
        <v>6605</v>
      </c>
      <c r="K1159" s="2" t="s">
        <v>4690</v>
      </c>
      <c r="L1159" s="2" t="s">
        <v>4691</v>
      </c>
      <c r="M1159" s="2" t="s">
        <v>4699</v>
      </c>
      <c r="N1159" s="2"/>
      <c r="O1159" s="2"/>
      <c r="P1159" s="2"/>
      <c r="Q1159" s="2"/>
    </row>
    <row r="1160" spans="1:17" x14ac:dyDescent="0.3">
      <c r="A1160" s="2">
        <v>4153</v>
      </c>
      <c r="B1160" s="2" t="s">
        <v>3052</v>
      </c>
      <c r="C1160" s="2" t="s">
        <v>3053</v>
      </c>
      <c r="D1160" s="2" t="s">
        <v>6020</v>
      </c>
      <c r="E1160" s="2" t="s">
        <v>3054</v>
      </c>
      <c r="F1160" s="2" t="s">
        <v>41</v>
      </c>
      <c r="G1160" s="2" t="s">
        <v>4994</v>
      </c>
      <c r="H1160" s="2" t="s">
        <v>667</v>
      </c>
      <c r="I1160" s="2" t="s">
        <v>51</v>
      </c>
      <c r="J1160" s="2" t="s">
        <v>4696</v>
      </c>
      <c r="K1160" s="2" t="s">
        <v>4696</v>
      </c>
      <c r="L1160" s="2" t="s">
        <v>4696</v>
      </c>
      <c r="M1160" s="2" t="s">
        <v>4696</v>
      </c>
      <c r="N1160" s="2"/>
      <c r="O1160" s="2"/>
      <c r="P1160" s="2"/>
      <c r="Q1160" s="2"/>
    </row>
    <row r="1161" spans="1:17" x14ac:dyDescent="0.3">
      <c r="A1161" s="2">
        <v>4154</v>
      </c>
      <c r="B1161" s="2" t="s">
        <v>3055</v>
      </c>
      <c r="C1161" s="2" t="s">
        <v>6606</v>
      </c>
      <c r="D1161" s="2" t="s">
        <v>5999</v>
      </c>
      <c r="E1161" s="2" t="s">
        <v>3056</v>
      </c>
      <c r="F1161" s="2" t="s">
        <v>41</v>
      </c>
      <c r="G1161" s="2" t="s">
        <v>4995</v>
      </c>
      <c r="H1161" s="2" t="s">
        <v>404</v>
      </c>
      <c r="I1161" s="2" t="s">
        <v>4727</v>
      </c>
      <c r="J1161" s="2" t="s">
        <v>4696</v>
      </c>
      <c r="K1161" s="2" t="s">
        <v>4696</v>
      </c>
      <c r="L1161" s="2" t="s">
        <v>4696</v>
      </c>
      <c r="M1161" s="2" t="s">
        <v>2</v>
      </c>
      <c r="N1161" s="2"/>
      <c r="O1161" s="2"/>
      <c r="P1161" s="2"/>
      <c r="Q1161" s="2"/>
    </row>
    <row r="1162" spans="1:17" x14ac:dyDescent="0.3">
      <c r="A1162" s="2">
        <v>4157</v>
      </c>
      <c r="B1162" s="2" t="s">
        <v>3057</v>
      </c>
      <c r="C1162" s="2" t="s">
        <v>3058</v>
      </c>
      <c r="D1162" s="2" t="s">
        <v>6004</v>
      </c>
      <c r="E1162" s="2" t="s">
        <v>6607</v>
      </c>
      <c r="F1162" s="2" t="s">
        <v>41</v>
      </c>
      <c r="G1162" s="2">
        <v>227901861</v>
      </c>
      <c r="H1162" s="2" t="s">
        <v>465</v>
      </c>
      <c r="I1162" s="2">
        <v>223816288</v>
      </c>
      <c r="J1162" s="2" t="s">
        <v>4696</v>
      </c>
      <c r="K1162" s="2" t="s">
        <v>4696</v>
      </c>
      <c r="L1162" s="2" t="s">
        <v>4696</v>
      </c>
      <c r="M1162" s="2" t="s">
        <v>4696</v>
      </c>
      <c r="N1162" s="2"/>
      <c r="O1162" s="2"/>
      <c r="P1162" s="2"/>
      <c r="Q1162" s="2"/>
    </row>
    <row r="1163" spans="1:17" x14ac:dyDescent="0.3">
      <c r="A1163" s="2">
        <v>4160</v>
      </c>
      <c r="B1163" s="2" t="s">
        <v>3059</v>
      </c>
      <c r="C1163" s="2" t="s">
        <v>3060</v>
      </c>
      <c r="D1163" s="2" t="s">
        <v>6024</v>
      </c>
      <c r="E1163" s="2" t="s">
        <v>2547</v>
      </c>
      <c r="F1163" s="2" t="s">
        <v>2</v>
      </c>
      <c r="G1163" s="2" t="s">
        <v>4996</v>
      </c>
      <c r="H1163" s="2" t="s">
        <v>2021</v>
      </c>
      <c r="I1163" s="2" t="s">
        <v>4697</v>
      </c>
      <c r="J1163" s="2" t="s">
        <v>4696</v>
      </c>
      <c r="K1163" s="2" t="s">
        <v>4696</v>
      </c>
      <c r="L1163" s="2" t="s">
        <v>4696</v>
      </c>
      <c r="M1163" s="2" t="s">
        <v>2</v>
      </c>
      <c r="N1163" s="2"/>
      <c r="O1163" s="2"/>
      <c r="P1163" s="2"/>
      <c r="Q1163" s="2"/>
    </row>
    <row r="1164" spans="1:17" x14ac:dyDescent="0.3">
      <c r="A1164" s="2">
        <v>4161</v>
      </c>
      <c r="B1164" s="2" t="s">
        <v>3061</v>
      </c>
      <c r="C1164" s="2" t="s">
        <v>3062</v>
      </c>
      <c r="D1164" s="2" t="s">
        <v>6010</v>
      </c>
      <c r="E1164" s="2" t="s">
        <v>3063</v>
      </c>
      <c r="F1164" s="2" t="s">
        <v>2</v>
      </c>
      <c r="G1164" s="2" t="s">
        <v>4997</v>
      </c>
      <c r="H1164" s="2" t="s">
        <v>431</v>
      </c>
      <c r="I1164" s="2" t="s">
        <v>4702</v>
      </c>
      <c r="J1164" s="2" t="s">
        <v>4696</v>
      </c>
      <c r="K1164" s="2" t="s">
        <v>4696</v>
      </c>
      <c r="L1164" s="2" t="s">
        <v>4696</v>
      </c>
      <c r="M1164" s="2" t="s">
        <v>4696</v>
      </c>
      <c r="N1164" s="2"/>
      <c r="O1164" s="2"/>
      <c r="P1164" s="2"/>
      <c r="Q1164" s="2"/>
    </row>
    <row r="1165" spans="1:17" x14ac:dyDescent="0.3">
      <c r="A1165" s="2">
        <v>4162</v>
      </c>
      <c r="B1165" s="2" t="s">
        <v>3064</v>
      </c>
      <c r="C1165" s="2" t="s">
        <v>3065</v>
      </c>
      <c r="D1165" s="2" t="s">
        <v>6002</v>
      </c>
      <c r="E1165" s="2" t="s">
        <v>3066</v>
      </c>
      <c r="F1165" s="2" t="s">
        <v>41</v>
      </c>
      <c r="G1165" s="2" t="s">
        <v>4998</v>
      </c>
      <c r="H1165" s="2" t="s">
        <v>431</v>
      </c>
      <c r="I1165" s="2" t="s">
        <v>4702</v>
      </c>
      <c r="J1165" s="2" t="s">
        <v>6519</v>
      </c>
      <c r="K1165" s="2" t="s">
        <v>4690</v>
      </c>
      <c r="L1165" s="2" t="s">
        <v>4691</v>
      </c>
      <c r="M1165" s="2" t="s">
        <v>4696</v>
      </c>
      <c r="N1165" s="2"/>
      <c r="O1165" s="2"/>
      <c r="P1165" s="2"/>
      <c r="Q1165" s="2"/>
    </row>
    <row r="1166" spans="1:17" x14ac:dyDescent="0.3">
      <c r="A1166" s="2">
        <v>4163</v>
      </c>
      <c r="B1166" s="2" t="s">
        <v>3067</v>
      </c>
      <c r="C1166" s="2" t="s">
        <v>3068</v>
      </c>
      <c r="D1166" s="2" t="s">
        <v>6000</v>
      </c>
      <c r="E1166" s="2" t="s">
        <v>3069</v>
      </c>
      <c r="F1166" s="2" t="s">
        <v>2</v>
      </c>
      <c r="G1166" s="2" t="s">
        <v>4999</v>
      </c>
      <c r="H1166" s="2" t="s">
        <v>3070</v>
      </c>
      <c r="I1166" s="2" t="s">
        <v>4723</v>
      </c>
      <c r="J1166" s="2" t="s">
        <v>4696</v>
      </c>
      <c r="K1166" s="2" t="s">
        <v>4696</v>
      </c>
      <c r="L1166" s="2" t="s">
        <v>4696</v>
      </c>
      <c r="M1166" s="2" t="s">
        <v>4696</v>
      </c>
      <c r="N1166" s="2"/>
      <c r="O1166" s="2"/>
      <c r="P1166" s="2"/>
      <c r="Q1166" s="2"/>
    </row>
    <row r="1167" spans="1:17" x14ac:dyDescent="0.3">
      <c r="A1167" s="2">
        <v>4167</v>
      </c>
      <c r="B1167" s="2" t="s">
        <v>4287</v>
      </c>
      <c r="C1167" s="2" t="s">
        <v>4288</v>
      </c>
      <c r="D1167" s="2" t="s">
        <v>6020</v>
      </c>
      <c r="E1167" s="2" t="s">
        <v>4289</v>
      </c>
      <c r="F1167" s="2" t="s">
        <v>41</v>
      </c>
      <c r="G1167" s="2" t="s">
        <v>5417</v>
      </c>
      <c r="H1167" s="2" t="s">
        <v>806</v>
      </c>
      <c r="I1167" s="2" t="s">
        <v>4858</v>
      </c>
      <c r="J1167" s="2" t="s">
        <v>4696</v>
      </c>
      <c r="K1167" s="2" t="s">
        <v>4696</v>
      </c>
      <c r="L1167" s="2" t="s">
        <v>4696</v>
      </c>
      <c r="M1167" s="2" t="s">
        <v>4696</v>
      </c>
      <c r="N1167" s="2"/>
      <c r="O1167" s="2"/>
      <c r="P1167" s="2"/>
      <c r="Q1167" s="2"/>
    </row>
    <row r="1168" spans="1:17" x14ac:dyDescent="0.3">
      <c r="A1168" s="2">
        <v>4168</v>
      </c>
      <c r="B1168" s="2" t="s">
        <v>320</v>
      </c>
      <c r="C1168" s="2" t="s">
        <v>3071</v>
      </c>
      <c r="D1168" s="2" t="s">
        <v>6014</v>
      </c>
      <c r="E1168" s="2" t="s">
        <v>6608</v>
      </c>
      <c r="F1168" s="2" t="s">
        <v>2</v>
      </c>
      <c r="G1168" s="2" t="s">
        <v>5000</v>
      </c>
      <c r="H1168" s="2" t="s">
        <v>556</v>
      </c>
      <c r="I1168" s="2" t="s">
        <v>6450</v>
      </c>
      <c r="J1168" s="2" t="s">
        <v>4696</v>
      </c>
      <c r="K1168" s="2" t="s">
        <v>4696</v>
      </c>
      <c r="L1168" s="2" t="s">
        <v>4696</v>
      </c>
      <c r="M1168" s="2" t="s">
        <v>4696</v>
      </c>
      <c r="N1168" s="2"/>
      <c r="O1168" s="2"/>
      <c r="P1168" s="2"/>
      <c r="Q1168" s="2"/>
    </row>
    <row r="1169" spans="1:17" x14ac:dyDescent="0.3">
      <c r="A1169" s="2">
        <v>4171</v>
      </c>
      <c r="B1169" s="2" t="s">
        <v>3072</v>
      </c>
      <c r="C1169" s="2" t="s">
        <v>3073</v>
      </c>
      <c r="D1169" s="2" t="s">
        <v>6031</v>
      </c>
      <c r="E1169" s="2" t="s">
        <v>3074</v>
      </c>
      <c r="F1169" s="2" t="s">
        <v>41</v>
      </c>
      <c r="G1169" s="2" t="s">
        <v>5001</v>
      </c>
      <c r="H1169" s="2" t="s">
        <v>565</v>
      </c>
      <c r="I1169" s="2" t="s">
        <v>4726</v>
      </c>
      <c r="J1169" s="2" t="s">
        <v>4696</v>
      </c>
      <c r="K1169" s="2" t="s">
        <v>4696</v>
      </c>
      <c r="L1169" s="2" t="s">
        <v>4696</v>
      </c>
      <c r="M1169" s="2" t="s">
        <v>2</v>
      </c>
      <c r="N1169" s="2"/>
      <c r="O1169" s="2"/>
      <c r="P1169" s="2"/>
      <c r="Q1169" s="2"/>
    </row>
    <row r="1170" spans="1:17" x14ac:dyDescent="0.3">
      <c r="A1170" s="2">
        <v>4173</v>
      </c>
      <c r="B1170" s="2" t="s">
        <v>222</v>
      </c>
      <c r="C1170" s="2" t="s">
        <v>3075</v>
      </c>
      <c r="D1170" s="2" t="s">
        <v>6002</v>
      </c>
      <c r="E1170" s="2" t="s">
        <v>6609</v>
      </c>
      <c r="F1170" s="2" t="s">
        <v>41</v>
      </c>
      <c r="G1170" s="2" t="s">
        <v>5002</v>
      </c>
      <c r="H1170" s="2" t="s">
        <v>1072</v>
      </c>
      <c r="I1170" s="2" t="s">
        <v>4701</v>
      </c>
      <c r="J1170" s="2" t="s">
        <v>4696</v>
      </c>
      <c r="K1170" s="2" t="s">
        <v>4696</v>
      </c>
      <c r="L1170" s="2" t="s">
        <v>4696</v>
      </c>
      <c r="M1170" s="2" t="s">
        <v>4696</v>
      </c>
      <c r="N1170" s="2"/>
      <c r="O1170" s="2"/>
      <c r="P1170" s="2"/>
      <c r="Q1170" s="2"/>
    </row>
    <row r="1171" spans="1:17" x14ac:dyDescent="0.3">
      <c r="A1171" s="2">
        <v>4174</v>
      </c>
      <c r="B1171" s="2" t="s">
        <v>3076</v>
      </c>
      <c r="C1171" s="2" t="s">
        <v>3077</v>
      </c>
      <c r="D1171" s="2" t="s">
        <v>6001</v>
      </c>
      <c r="E1171" s="2" t="s">
        <v>4277</v>
      </c>
      <c r="F1171" s="2" t="s">
        <v>41</v>
      </c>
      <c r="G1171" s="2" t="s">
        <v>5003</v>
      </c>
      <c r="H1171" s="2" t="s">
        <v>653</v>
      </c>
      <c r="I1171" s="2" t="s">
        <v>4722</v>
      </c>
      <c r="J1171" s="2" t="s">
        <v>4696</v>
      </c>
      <c r="K1171" s="2" t="s">
        <v>4696</v>
      </c>
      <c r="L1171" s="2" t="s">
        <v>4696</v>
      </c>
      <c r="M1171" s="2" t="s">
        <v>2</v>
      </c>
      <c r="N1171" s="2"/>
      <c r="O1171" s="2"/>
      <c r="P1171" s="2"/>
      <c r="Q1171" s="2"/>
    </row>
    <row r="1172" spans="1:17" x14ac:dyDescent="0.3">
      <c r="A1172" s="2">
        <v>4175</v>
      </c>
      <c r="B1172" s="2" t="s">
        <v>3078</v>
      </c>
      <c r="C1172" s="2" t="s">
        <v>6610</v>
      </c>
      <c r="D1172" s="2" t="s">
        <v>6002</v>
      </c>
      <c r="E1172" s="2" t="s">
        <v>1880</v>
      </c>
      <c r="F1172" s="2" t="s">
        <v>2</v>
      </c>
      <c r="G1172" s="2" t="s">
        <v>5004</v>
      </c>
      <c r="H1172" s="2" t="s">
        <v>667</v>
      </c>
      <c r="I1172" s="2" t="s">
        <v>4720</v>
      </c>
      <c r="J1172" s="2" t="s">
        <v>4696</v>
      </c>
      <c r="K1172" s="2" t="s">
        <v>4696</v>
      </c>
      <c r="L1172" s="2" t="s">
        <v>4696</v>
      </c>
      <c r="M1172" s="2" t="s">
        <v>2</v>
      </c>
      <c r="N1172" s="2"/>
      <c r="O1172" s="2"/>
      <c r="P1172" s="2"/>
      <c r="Q1172" s="2"/>
    </row>
    <row r="1173" spans="1:17" x14ac:dyDescent="0.3">
      <c r="A1173" s="2">
        <v>4180</v>
      </c>
      <c r="B1173" s="2" t="s">
        <v>3079</v>
      </c>
      <c r="C1173" s="2" t="s">
        <v>3080</v>
      </c>
      <c r="D1173" s="2" t="s">
        <v>6025</v>
      </c>
      <c r="E1173" s="2" t="s">
        <v>3081</v>
      </c>
      <c r="F1173" s="2" t="s">
        <v>41</v>
      </c>
      <c r="G1173" s="2" t="s">
        <v>5005</v>
      </c>
      <c r="H1173" s="2" t="s">
        <v>404</v>
      </c>
      <c r="I1173" s="2" t="s">
        <v>4727</v>
      </c>
      <c r="J1173" s="2" t="s">
        <v>4696</v>
      </c>
      <c r="K1173" s="2" t="s">
        <v>4696</v>
      </c>
      <c r="L1173" s="2" t="s">
        <v>4696</v>
      </c>
      <c r="M1173" s="2" t="s">
        <v>2</v>
      </c>
      <c r="N1173" s="2"/>
      <c r="O1173" s="2"/>
      <c r="P1173" s="2"/>
      <c r="Q1173" s="2"/>
    </row>
    <row r="1174" spans="1:17" x14ac:dyDescent="0.3">
      <c r="A1174" s="2">
        <v>4188</v>
      </c>
      <c r="B1174" s="2" t="s">
        <v>3082</v>
      </c>
      <c r="C1174" s="2" t="s">
        <v>3083</v>
      </c>
      <c r="D1174" s="2" t="s">
        <v>6091</v>
      </c>
      <c r="E1174" s="2" t="s">
        <v>871</v>
      </c>
      <c r="F1174" s="2" t="s">
        <v>2</v>
      </c>
      <c r="G1174" s="2" t="s">
        <v>5006</v>
      </c>
      <c r="H1174" s="2" t="s">
        <v>640</v>
      </c>
      <c r="I1174" s="2" t="s">
        <v>6465</v>
      </c>
      <c r="J1174" s="2" t="s">
        <v>4696</v>
      </c>
      <c r="K1174" s="2" t="s">
        <v>4696</v>
      </c>
      <c r="L1174" s="2" t="s">
        <v>4696</v>
      </c>
      <c r="M1174" s="2" t="s">
        <v>2</v>
      </c>
      <c r="N1174" s="2"/>
      <c r="O1174" s="2"/>
      <c r="P1174" s="2"/>
      <c r="Q1174" s="2"/>
    </row>
    <row r="1175" spans="1:17" x14ac:dyDescent="0.3">
      <c r="A1175" s="2">
        <v>4192</v>
      </c>
      <c r="B1175" s="2" t="s">
        <v>3084</v>
      </c>
      <c r="C1175" s="2" t="s">
        <v>3085</v>
      </c>
      <c r="D1175" s="2" t="s">
        <v>5999</v>
      </c>
      <c r="E1175" s="2" t="s">
        <v>3086</v>
      </c>
      <c r="F1175" s="2" t="s">
        <v>2</v>
      </c>
      <c r="G1175" s="2" t="s">
        <v>5007</v>
      </c>
      <c r="H1175" s="2" t="s">
        <v>1028</v>
      </c>
      <c r="I1175" s="2" t="s">
        <v>4712</v>
      </c>
      <c r="J1175" s="2" t="s">
        <v>4696</v>
      </c>
      <c r="K1175" s="2" t="s">
        <v>4696</v>
      </c>
      <c r="L1175" s="2" t="s">
        <v>4696</v>
      </c>
      <c r="M1175" s="2" t="s">
        <v>4696</v>
      </c>
      <c r="N1175" s="2"/>
      <c r="O1175" s="2"/>
      <c r="P1175" s="2"/>
      <c r="Q1175" s="2"/>
    </row>
    <row r="1176" spans="1:17" x14ac:dyDescent="0.3">
      <c r="A1176" s="2">
        <v>4198</v>
      </c>
      <c r="B1176" s="2" t="s">
        <v>3087</v>
      </c>
      <c r="C1176" s="2" t="s">
        <v>3088</v>
      </c>
      <c r="D1176" s="2" t="s">
        <v>6020</v>
      </c>
      <c r="E1176" s="2" t="s">
        <v>6611</v>
      </c>
      <c r="F1176" s="2" t="s">
        <v>41</v>
      </c>
      <c r="G1176" s="2" t="s">
        <v>5008</v>
      </c>
      <c r="H1176" s="2" t="s">
        <v>404</v>
      </c>
      <c r="I1176" s="2" t="s">
        <v>4697</v>
      </c>
      <c r="J1176" s="2" t="s">
        <v>4696</v>
      </c>
      <c r="K1176" s="2" t="s">
        <v>4696</v>
      </c>
      <c r="L1176" s="2" t="s">
        <v>4696</v>
      </c>
      <c r="M1176" s="2" t="s">
        <v>2</v>
      </c>
      <c r="N1176" s="2"/>
      <c r="O1176" s="2"/>
      <c r="P1176" s="2"/>
      <c r="Q1176" s="2"/>
    </row>
    <row r="1177" spans="1:17" x14ac:dyDescent="0.3">
      <c r="A1177" s="2">
        <v>4205</v>
      </c>
      <c r="B1177" s="2" t="s">
        <v>3089</v>
      </c>
      <c r="C1177" s="2" t="s">
        <v>3090</v>
      </c>
      <c r="D1177" s="2" t="s">
        <v>6000</v>
      </c>
      <c r="E1177" s="2" t="s">
        <v>3091</v>
      </c>
      <c r="F1177" s="2" t="s">
        <v>2</v>
      </c>
      <c r="G1177" s="2" t="s">
        <v>5009</v>
      </c>
      <c r="H1177" s="2" t="s">
        <v>469</v>
      </c>
      <c r="I1177" s="2" t="s">
        <v>4738</v>
      </c>
      <c r="J1177" s="2" t="s">
        <v>4696</v>
      </c>
      <c r="K1177" s="2" t="s">
        <v>4696</v>
      </c>
      <c r="L1177" s="2" t="s">
        <v>4696</v>
      </c>
      <c r="M1177" s="2" t="s">
        <v>2</v>
      </c>
      <c r="N1177" s="2"/>
      <c r="O1177" s="2"/>
      <c r="P1177" s="2"/>
      <c r="Q1177" s="2"/>
    </row>
    <row r="1178" spans="1:17" x14ac:dyDescent="0.3">
      <c r="A1178" s="2">
        <v>4207</v>
      </c>
      <c r="B1178" s="2" t="s">
        <v>3092</v>
      </c>
      <c r="C1178" s="2" t="s">
        <v>6612</v>
      </c>
      <c r="D1178" s="2" t="s">
        <v>6010</v>
      </c>
      <c r="E1178" s="2" t="s">
        <v>3093</v>
      </c>
      <c r="F1178" s="2" t="s">
        <v>2</v>
      </c>
      <c r="G1178" s="2" t="s">
        <v>5010</v>
      </c>
      <c r="H1178" s="2" t="s">
        <v>408</v>
      </c>
      <c r="I1178" s="2" t="s">
        <v>5011</v>
      </c>
      <c r="J1178" s="2" t="s">
        <v>4696</v>
      </c>
      <c r="K1178" s="2" t="s">
        <v>4696</v>
      </c>
      <c r="L1178" s="2" t="s">
        <v>4696</v>
      </c>
      <c r="M1178" s="2" t="s">
        <v>4696</v>
      </c>
      <c r="N1178" s="2"/>
      <c r="O1178" s="2"/>
      <c r="P1178" s="2"/>
      <c r="Q1178" s="2"/>
    </row>
    <row r="1179" spans="1:17" x14ac:dyDescent="0.3">
      <c r="A1179" s="2">
        <v>4303</v>
      </c>
      <c r="B1179" s="2" t="s">
        <v>350</v>
      </c>
      <c r="C1179" s="2" t="s">
        <v>3094</v>
      </c>
      <c r="D1179" s="2" t="s">
        <v>6020</v>
      </c>
      <c r="E1179" s="2" t="s">
        <v>6613</v>
      </c>
      <c r="F1179" s="2" t="s">
        <v>2</v>
      </c>
      <c r="G1179" s="2" t="s">
        <v>5012</v>
      </c>
      <c r="H1179" s="2" t="s">
        <v>2059</v>
      </c>
      <c r="I1179" s="2" t="s">
        <v>4718</v>
      </c>
      <c r="J1179" s="2" t="s">
        <v>4696</v>
      </c>
      <c r="K1179" s="2" t="s">
        <v>4696</v>
      </c>
      <c r="L1179" s="2" t="s">
        <v>4696</v>
      </c>
      <c r="M1179" s="2" t="s">
        <v>4696</v>
      </c>
      <c r="N1179" s="2"/>
      <c r="O1179" s="2"/>
      <c r="P1179" s="2"/>
      <c r="Q1179" s="2"/>
    </row>
    <row r="1180" spans="1:17" x14ac:dyDescent="0.3">
      <c r="A1180" s="2">
        <v>4304</v>
      </c>
      <c r="B1180" s="2" t="s">
        <v>355</v>
      </c>
      <c r="C1180" s="2" t="s">
        <v>6614</v>
      </c>
      <c r="D1180" s="2" t="s">
        <v>6007</v>
      </c>
      <c r="E1180" s="2" t="s">
        <v>3095</v>
      </c>
      <c r="F1180" s="2" t="s">
        <v>2</v>
      </c>
      <c r="G1180" s="2">
        <v>77159058</v>
      </c>
      <c r="H1180" s="2" t="s">
        <v>6006</v>
      </c>
      <c r="I1180" s="2">
        <v>25865859</v>
      </c>
      <c r="J1180" s="2" t="s">
        <v>4696</v>
      </c>
      <c r="K1180" s="2" t="s">
        <v>4696</v>
      </c>
      <c r="L1180" s="2" t="s">
        <v>4696</v>
      </c>
      <c r="M1180" s="2" t="s">
        <v>4696</v>
      </c>
      <c r="N1180" s="2"/>
      <c r="O1180" s="2"/>
      <c r="P1180" s="2"/>
      <c r="Q1180" s="2"/>
    </row>
    <row r="1181" spans="1:17" x14ac:dyDescent="0.3">
      <c r="A1181" s="2">
        <v>4305</v>
      </c>
      <c r="B1181" s="2" t="s">
        <v>3096</v>
      </c>
      <c r="C1181" s="2" t="s">
        <v>3097</v>
      </c>
      <c r="D1181" s="2" t="s">
        <v>6010</v>
      </c>
      <c r="E1181" s="2" t="s">
        <v>3098</v>
      </c>
      <c r="F1181" s="2" t="s">
        <v>41</v>
      </c>
      <c r="G1181" s="2" t="s">
        <v>5013</v>
      </c>
      <c r="H1181" s="2" t="s">
        <v>431</v>
      </c>
      <c r="I1181" s="2" t="s">
        <v>4693</v>
      </c>
      <c r="J1181" s="2" t="s">
        <v>4696</v>
      </c>
      <c r="K1181" s="2" t="s">
        <v>4696</v>
      </c>
      <c r="L1181" s="2" t="s">
        <v>4696</v>
      </c>
      <c r="M1181" s="2" t="s">
        <v>2</v>
      </c>
      <c r="N1181" s="2"/>
      <c r="O1181" s="2"/>
      <c r="P1181" s="2"/>
      <c r="Q1181" s="2"/>
    </row>
    <row r="1182" spans="1:17" x14ac:dyDescent="0.3">
      <c r="A1182" s="2">
        <v>4401</v>
      </c>
      <c r="B1182" s="2" t="s">
        <v>3099</v>
      </c>
      <c r="C1182" s="2" t="s">
        <v>3100</v>
      </c>
      <c r="D1182" s="2" t="s">
        <v>6024</v>
      </c>
      <c r="E1182" s="2" t="s">
        <v>3101</v>
      </c>
      <c r="F1182" s="2" t="s">
        <v>41</v>
      </c>
      <c r="G1182" s="2" t="s">
        <v>5014</v>
      </c>
      <c r="H1182" s="2" t="s">
        <v>404</v>
      </c>
      <c r="I1182" s="2" t="s">
        <v>4697</v>
      </c>
      <c r="J1182" s="2" t="s">
        <v>4696</v>
      </c>
      <c r="K1182" s="2" t="s">
        <v>4696</v>
      </c>
      <c r="L1182" s="2" t="s">
        <v>4696</v>
      </c>
      <c r="M1182" s="2" t="s">
        <v>2</v>
      </c>
      <c r="N1182" s="2"/>
      <c r="O1182" s="2"/>
      <c r="P1182" s="2"/>
      <c r="Q1182" s="2"/>
    </row>
    <row r="1183" spans="1:17" x14ac:dyDescent="0.3">
      <c r="A1183" s="2">
        <v>4402</v>
      </c>
      <c r="B1183" s="2" t="s">
        <v>281</v>
      </c>
      <c r="C1183" s="2" t="s">
        <v>3102</v>
      </c>
      <c r="D1183" s="2" t="s">
        <v>5999</v>
      </c>
      <c r="E1183" s="2" t="s">
        <v>3103</v>
      </c>
      <c r="F1183" s="2" t="s">
        <v>2</v>
      </c>
      <c r="G1183" s="2" t="s">
        <v>5015</v>
      </c>
      <c r="H1183" s="2" t="s">
        <v>640</v>
      </c>
      <c r="I1183" s="2" t="s">
        <v>4760</v>
      </c>
      <c r="J1183" s="2" t="s">
        <v>4696</v>
      </c>
      <c r="K1183" s="2" t="s">
        <v>4696</v>
      </c>
      <c r="L1183" s="2" t="s">
        <v>4696</v>
      </c>
      <c r="M1183" s="2" t="s">
        <v>2</v>
      </c>
      <c r="N1183" s="2"/>
      <c r="O1183" s="2"/>
      <c r="P1183" s="2"/>
      <c r="Q1183" s="2"/>
    </row>
    <row r="1184" spans="1:17" x14ac:dyDescent="0.3">
      <c r="A1184" s="2">
        <v>4406</v>
      </c>
      <c r="B1184" s="2" t="s">
        <v>3104</v>
      </c>
      <c r="C1184" s="2" t="s">
        <v>3105</v>
      </c>
      <c r="D1184" s="2" t="s">
        <v>6015</v>
      </c>
      <c r="E1184" s="2" t="s">
        <v>6615</v>
      </c>
      <c r="F1184" s="2" t="s">
        <v>2</v>
      </c>
      <c r="G1184" s="2" t="s">
        <v>5016</v>
      </c>
      <c r="H1184" s="2" t="s">
        <v>431</v>
      </c>
      <c r="I1184" s="2" t="s">
        <v>4693</v>
      </c>
      <c r="J1184" s="2" t="s">
        <v>4696</v>
      </c>
      <c r="K1184" s="2" t="s">
        <v>4696</v>
      </c>
      <c r="L1184" s="2" t="s">
        <v>4696</v>
      </c>
      <c r="M1184" s="2" t="s">
        <v>2</v>
      </c>
      <c r="N1184" s="2"/>
      <c r="O1184" s="2"/>
      <c r="P1184" s="2"/>
      <c r="Q1184" s="2"/>
    </row>
    <row r="1185" spans="1:17" x14ac:dyDescent="0.3">
      <c r="A1185" s="2">
        <v>4413</v>
      </c>
      <c r="B1185" s="2" t="s">
        <v>3106</v>
      </c>
      <c r="C1185" s="2" t="s">
        <v>6616</v>
      </c>
      <c r="D1185" s="2" t="s">
        <v>6007</v>
      </c>
      <c r="E1185" s="2" t="s">
        <v>6617</v>
      </c>
      <c r="F1185" s="2" t="s">
        <v>2</v>
      </c>
      <c r="G1185" s="2" t="s">
        <v>6618</v>
      </c>
      <c r="H1185" s="2" t="s">
        <v>456</v>
      </c>
      <c r="I1185" s="2" t="s">
        <v>26</v>
      </c>
      <c r="J1185" s="2" t="s">
        <v>4696</v>
      </c>
      <c r="K1185" s="2" t="s">
        <v>4696</v>
      </c>
      <c r="L1185" s="2" t="s">
        <v>4696</v>
      </c>
      <c r="M1185" s="2" t="s">
        <v>4696</v>
      </c>
      <c r="N1185" s="2"/>
      <c r="O1185" s="2"/>
      <c r="P1185" s="2"/>
      <c r="Q1185" s="2"/>
    </row>
    <row r="1186" spans="1:17" x14ac:dyDescent="0.3">
      <c r="A1186" s="2">
        <v>4415</v>
      </c>
      <c r="B1186" s="2" t="s">
        <v>313</v>
      </c>
      <c r="C1186" s="2" t="s">
        <v>6619</v>
      </c>
      <c r="D1186" s="2" t="s">
        <v>6014</v>
      </c>
      <c r="E1186" s="2" t="s">
        <v>6620</v>
      </c>
      <c r="F1186" s="2" t="s">
        <v>41</v>
      </c>
      <c r="G1186" s="2" t="s">
        <v>6621</v>
      </c>
      <c r="H1186" s="2" t="s">
        <v>478</v>
      </c>
      <c r="I1186" s="2" t="s">
        <v>4731</v>
      </c>
      <c r="J1186" s="2" t="s">
        <v>4696</v>
      </c>
      <c r="K1186" s="2" t="s">
        <v>4696</v>
      </c>
      <c r="L1186" s="2" t="s">
        <v>4696</v>
      </c>
      <c r="M1186" s="2" t="s">
        <v>4696</v>
      </c>
      <c r="N1186" s="2"/>
      <c r="O1186" s="2"/>
      <c r="P1186" s="2"/>
      <c r="Q1186" s="2"/>
    </row>
    <row r="1187" spans="1:17" x14ac:dyDescent="0.3">
      <c r="A1187" s="2">
        <v>4416</v>
      </c>
      <c r="B1187" s="2" t="s">
        <v>3107</v>
      </c>
      <c r="C1187" s="2" t="s">
        <v>3108</v>
      </c>
      <c r="D1187" s="2" t="s">
        <v>6015</v>
      </c>
      <c r="E1187" s="2" t="s">
        <v>6622</v>
      </c>
      <c r="F1187" s="2" t="s">
        <v>41</v>
      </c>
      <c r="G1187" s="2" t="s">
        <v>5017</v>
      </c>
      <c r="H1187" s="2" t="s">
        <v>6006</v>
      </c>
      <c r="I1187" s="2" t="s">
        <v>4735</v>
      </c>
      <c r="J1187" s="2" t="s">
        <v>4696</v>
      </c>
      <c r="K1187" s="2" t="s">
        <v>4696</v>
      </c>
      <c r="L1187" s="2" t="s">
        <v>4696</v>
      </c>
      <c r="M1187" s="2" t="s">
        <v>2</v>
      </c>
      <c r="N1187" s="2"/>
      <c r="O1187" s="2"/>
      <c r="P1187" s="2"/>
      <c r="Q1187" s="2"/>
    </row>
    <row r="1188" spans="1:17" x14ac:dyDescent="0.3">
      <c r="A1188" s="2">
        <v>4417</v>
      </c>
      <c r="B1188" s="2" t="s">
        <v>3109</v>
      </c>
      <c r="C1188" s="2" t="s">
        <v>3110</v>
      </c>
      <c r="D1188" s="2" t="s">
        <v>6021</v>
      </c>
      <c r="E1188" s="2" t="s">
        <v>3111</v>
      </c>
      <c r="F1188" s="2" t="s">
        <v>41</v>
      </c>
      <c r="G1188" s="2" t="s">
        <v>5018</v>
      </c>
      <c r="H1188" s="2" t="s">
        <v>451</v>
      </c>
      <c r="I1188" s="2" t="s">
        <v>4694</v>
      </c>
      <c r="J1188" s="2" t="s">
        <v>4696</v>
      </c>
      <c r="K1188" s="2" t="s">
        <v>4696</v>
      </c>
      <c r="L1188" s="2" t="s">
        <v>4696</v>
      </c>
      <c r="M1188" s="2" t="s">
        <v>4696</v>
      </c>
      <c r="N1188" s="2"/>
      <c r="O1188" s="2"/>
      <c r="P1188" s="2"/>
      <c r="Q1188" s="2"/>
    </row>
    <row r="1189" spans="1:17" x14ac:dyDescent="0.3">
      <c r="A1189" s="2">
        <v>4419</v>
      </c>
      <c r="B1189" s="2" t="s">
        <v>3112</v>
      </c>
      <c r="C1189" s="2" t="s">
        <v>3113</v>
      </c>
      <c r="D1189" s="2" t="s">
        <v>6020</v>
      </c>
      <c r="E1189" s="2" t="s">
        <v>3114</v>
      </c>
      <c r="F1189" s="2" t="s">
        <v>41</v>
      </c>
      <c r="G1189" s="2" t="s">
        <v>5019</v>
      </c>
      <c r="H1189" s="2" t="s">
        <v>1926</v>
      </c>
      <c r="I1189" s="2" t="s">
        <v>4693</v>
      </c>
      <c r="J1189" s="2" t="s">
        <v>4696</v>
      </c>
      <c r="K1189" s="2" t="s">
        <v>4696</v>
      </c>
      <c r="L1189" s="2" t="s">
        <v>4696</v>
      </c>
      <c r="M1189" s="2" t="s">
        <v>4696</v>
      </c>
      <c r="N1189" s="2"/>
      <c r="O1189" s="2"/>
      <c r="P1189" s="2"/>
      <c r="Q1189" s="2"/>
    </row>
    <row r="1190" spans="1:17" x14ac:dyDescent="0.3">
      <c r="A1190" s="2">
        <v>4420</v>
      </c>
      <c r="B1190" s="2" t="s">
        <v>3115</v>
      </c>
      <c r="C1190" s="2" t="s">
        <v>638</v>
      </c>
      <c r="D1190" s="2" t="s">
        <v>6020</v>
      </c>
      <c r="E1190" s="2" t="s">
        <v>6623</v>
      </c>
      <c r="F1190" s="2" t="s">
        <v>41</v>
      </c>
      <c r="G1190" s="2">
        <v>25579875</v>
      </c>
      <c r="H1190" s="2" t="s">
        <v>640</v>
      </c>
      <c r="I1190" s="2" t="s">
        <v>6450</v>
      </c>
      <c r="J1190" s="2" t="s">
        <v>4696</v>
      </c>
      <c r="K1190" s="2" t="s">
        <v>4696</v>
      </c>
      <c r="L1190" s="2" t="s">
        <v>4696</v>
      </c>
      <c r="M1190" s="2" t="s">
        <v>4696</v>
      </c>
      <c r="N1190" s="2"/>
      <c r="O1190" s="2"/>
      <c r="P1190" s="2"/>
      <c r="Q1190" s="2"/>
    </row>
    <row r="1191" spans="1:17" x14ac:dyDescent="0.3">
      <c r="A1191" s="2">
        <v>4429</v>
      </c>
      <c r="B1191" s="2" t="s">
        <v>3116</v>
      </c>
      <c r="C1191" s="2" t="s">
        <v>3117</v>
      </c>
      <c r="D1191" s="2" t="s">
        <v>6021</v>
      </c>
      <c r="E1191" s="2" t="s">
        <v>3118</v>
      </c>
      <c r="F1191" s="2" t="s">
        <v>2</v>
      </c>
      <c r="G1191" s="2" t="s">
        <v>5020</v>
      </c>
      <c r="H1191" s="2" t="s">
        <v>456</v>
      </c>
      <c r="I1191" s="2" t="s">
        <v>4717</v>
      </c>
      <c r="J1191" s="2" t="s">
        <v>4696</v>
      </c>
      <c r="K1191" s="2" t="s">
        <v>4696</v>
      </c>
      <c r="L1191" s="2" t="s">
        <v>4696</v>
      </c>
      <c r="M1191" s="2" t="s">
        <v>2</v>
      </c>
      <c r="N1191" s="2"/>
      <c r="O1191" s="2"/>
      <c r="P1191" s="2"/>
      <c r="Q1191" s="2"/>
    </row>
    <row r="1192" spans="1:17" x14ac:dyDescent="0.3">
      <c r="A1192" s="2">
        <v>4430</v>
      </c>
      <c r="B1192" s="2" t="s">
        <v>3119</v>
      </c>
      <c r="C1192" s="2" t="s">
        <v>3120</v>
      </c>
      <c r="D1192" s="2" t="s">
        <v>5999</v>
      </c>
      <c r="E1192" s="2" t="s">
        <v>3121</v>
      </c>
      <c r="F1192" s="2" t="s">
        <v>2</v>
      </c>
      <c r="G1192" s="2" t="s">
        <v>5021</v>
      </c>
      <c r="H1192" s="2" t="s">
        <v>451</v>
      </c>
      <c r="I1192" s="2" t="s">
        <v>4694</v>
      </c>
      <c r="J1192" s="2" t="s">
        <v>4696</v>
      </c>
      <c r="K1192" s="2" t="s">
        <v>4696</v>
      </c>
      <c r="L1192" s="2" t="s">
        <v>4696</v>
      </c>
      <c r="M1192" s="2" t="s">
        <v>2</v>
      </c>
      <c r="N1192" s="2"/>
      <c r="O1192" s="2"/>
      <c r="P1192" s="2"/>
      <c r="Q1192" s="2"/>
    </row>
    <row r="1193" spans="1:17" x14ac:dyDescent="0.3">
      <c r="A1193" s="2">
        <v>4432</v>
      </c>
      <c r="B1193" s="2" t="s">
        <v>3122</v>
      </c>
      <c r="C1193" s="2" t="s">
        <v>3123</v>
      </c>
      <c r="D1193" s="2" t="s">
        <v>6002</v>
      </c>
      <c r="E1193" s="2" t="s">
        <v>3124</v>
      </c>
      <c r="F1193" s="2" t="s">
        <v>2</v>
      </c>
      <c r="G1193" s="2" t="s">
        <v>5022</v>
      </c>
      <c r="H1193" s="2" t="s">
        <v>1028</v>
      </c>
      <c r="I1193" s="2" t="s">
        <v>4712</v>
      </c>
      <c r="J1193" s="2" t="s">
        <v>4696</v>
      </c>
      <c r="K1193" s="2" t="s">
        <v>4696</v>
      </c>
      <c r="L1193" s="2" t="s">
        <v>4696</v>
      </c>
      <c r="M1193" s="2" t="s">
        <v>4696</v>
      </c>
      <c r="N1193" s="2"/>
      <c r="O1193" s="2"/>
      <c r="P1193" s="2"/>
      <c r="Q1193" s="2"/>
    </row>
    <row r="1194" spans="1:17" x14ac:dyDescent="0.3">
      <c r="A1194" s="2">
        <v>4433</v>
      </c>
      <c r="B1194" s="2" t="s">
        <v>3125</v>
      </c>
      <c r="C1194" s="2" t="s">
        <v>3126</v>
      </c>
      <c r="D1194" s="2" t="s">
        <v>6021</v>
      </c>
      <c r="E1194" s="2" t="s">
        <v>3127</v>
      </c>
      <c r="F1194" s="2" t="s">
        <v>41</v>
      </c>
      <c r="G1194" s="2" t="s">
        <v>5023</v>
      </c>
      <c r="H1194" s="2" t="s">
        <v>451</v>
      </c>
      <c r="I1194" s="2" t="s">
        <v>4751</v>
      </c>
      <c r="J1194" s="2" t="s">
        <v>4696</v>
      </c>
      <c r="K1194" s="2" t="s">
        <v>4696</v>
      </c>
      <c r="L1194" s="2" t="s">
        <v>4696</v>
      </c>
      <c r="M1194" s="2" t="s">
        <v>2</v>
      </c>
      <c r="N1194" s="2"/>
      <c r="O1194" s="2"/>
      <c r="P1194" s="2"/>
      <c r="Q1194" s="2"/>
    </row>
    <row r="1195" spans="1:17" x14ac:dyDescent="0.3">
      <c r="A1195" s="2">
        <v>4502</v>
      </c>
      <c r="B1195" s="2" t="s">
        <v>6624</v>
      </c>
      <c r="C1195" s="2" t="s">
        <v>3128</v>
      </c>
      <c r="D1195" s="2" t="s">
        <v>6007</v>
      </c>
      <c r="E1195" s="2" t="s">
        <v>6625</v>
      </c>
      <c r="F1195" s="2" t="s">
        <v>2</v>
      </c>
      <c r="G1195" s="2" t="s">
        <v>5024</v>
      </c>
      <c r="H1195" s="2" t="s">
        <v>415</v>
      </c>
      <c r="I1195" s="2" t="s">
        <v>4694</v>
      </c>
      <c r="J1195" s="2" t="s">
        <v>4696</v>
      </c>
      <c r="K1195" s="2" t="s">
        <v>4696</v>
      </c>
      <c r="L1195" s="2" t="s">
        <v>4696</v>
      </c>
      <c r="M1195" s="2" t="s">
        <v>2</v>
      </c>
      <c r="N1195" s="2"/>
      <c r="O1195" s="2"/>
      <c r="P1195" s="2"/>
      <c r="Q1195" s="2"/>
    </row>
    <row r="1196" spans="1:17" x14ac:dyDescent="0.3">
      <c r="A1196" s="2">
        <v>4503</v>
      </c>
      <c r="B1196" s="2" t="s">
        <v>285</v>
      </c>
      <c r="C1196" s="2" t="s">
        <v>3129</v>
      </c>
      <c r="D1196" s="2" t="s">
        <v>6016</v>
      </c>
      <c r="E1196" s="2" t="s">
        <v>6626</v>
      </c>
      <c r="F1196" s="2" t="s">
        <v>41</v>
      </c>
      <c r="G1196" s="2" t="s">
        <v>5025</v>
      </c>
      <c r="H1196" s="2" t="s">
        <v>6627</v>
      </c>
      <c r="I1196" s="2" t="s">
        <v>4698</v>
      </c>
      <c r="J1196" s="2" t="s">
        <v>4696</v>
      </c>
      <c r="K1196" s="2" t="s">
        <v>4696</v>
      </c>
      <c r="L1196" s="2" t="s">
        <v>4696</v>
      </c>
      <c r="M1196" s="2" t="s">
        <v>4696</v>
      </c>
      <c r="N1196" s="2"/>
      <c r="O1196" s="2"/>
      <c r="P1196" s="2"/>
      <c r="Q1196" s="2"/>
    </row>
    <row r="1197" spans="1:17" x14ac:dyDescent="0.3">
      <c r="A1197" s="2">
        <v>4506</v>
      </c>
      <c r="B1197" s="2" t="s">
        <v>3130</v>
      </c>
      <c r="C1197" s="2" t="s">
        <v>3131</v>
      </c>
      <c r="D1197" s="2" t="s">
        <v>6010</v>
      </c>
      <c r="E1197" s="2" t="s">
        <v>3132</v>
      </c>
      <c r="F1197" s="2" t="s">
        <v>41</v>
      </c>
      <c r="G1197" s="2" t="s">
        <v>5026</v>
      </c>
      <c r="H1197" s="2" t="s">
        <v>6006</v>
      </c>
      <c r="I1197" s="2" t="s">
        <v>4769</v>
      </c>
      <c r="J1197" s="2" t="s">
        <v>4696</v>
      </c>
      <c r="K1197" s="2" t="s">
        <v>4696</v>
      </c>
      <c r="L1197" s="2" t="s">
        <v>4696</v>
      </c>
      <c r="M1197" s="2" t="s">
        <v>4696</v>
      </c>
      <c r="N1197" s="2"/>
      <c r="O1197" s="2"/>
      <c r="P1197" s="2"/>
      <c r="Q1197" s="2"/>
    </row>
    <row r="1198" spans="1:17" x14ac:dyDescent="0.3">
      <c r="A1198" s="2">
        <v>4510</v>
      </c>
      <c r="B1198" s="2" t="s">
        <v>3133</v>
      </c>
      <c r="C1198" s="2" t="s">
        <v>3134</v>
      </c>
      <c r="D1198" s="2" t="s">
        <v>6020</v>
      </c>
      <c r="E1198" s="2" t="s">
        <v>6628</v>
      </c>
      <c r="F1198" s="2" t="s">
        <v>41</v>
      </c>
      <c r="G1198" s="2" t="s">
        <v>5027</v>
      </c>
      <c r="H1198" s="2" t="s">
        <v>3135</v>
      </c>
      <c r="I1198" s="2" t="s">
        <v>4733</v>
      </c>
      <c r="J1198" s="2" t="s">
        <v>4696</v>
      </c>
      <c r="K1198" s="2" t="s">
        <v>4696</v>
      </c>
      <c r="L1198" s="2" t="s">
        <v>4696</v>
      </c>
      <c r="M1198" s="2" t="s">
        <v>4696</v>
      </c>
      <c r="N1198" s="2"/>
      <c r="O1198" s="2"/>
      <c r="P1198" s="2"/>
      <c r="Q1198" s="2"/>
    </row>
    <row r="1199" spans="1:17" x14ac:dyDescent="0.3">
      <c r="A1199" s="2">
        <v>4513</v>
      </c>
      <c r="B1199" s="2" t="s">
        <v>3136</v>
      </c>
      <c r="C1199" s="2" t="s">
        <v>3137</v>
      </c>
      <c r="D1199" s="2" t="s">
        <v>5999</v>
      </c>
      <c r="E1199" s="2" t="s">
        <v>3138</v>
      </c>
      <c r="F1199" s="2" t="s">
        <v>2</v>
      </c>
      <c r="G1199" s="2" t="s">
        <v>5028</v>
      </c>
      <c r="H1199" s="2" t="s">
        <v>404</v>
      </c>
      <c r="I1199" s="2" t="s">
        <v>1</v>
      </c>
      <c r="J1199" s="2" t="s">
        <v>4696</v>
      </c>
      <c r="K1199" s="2" t="s">
        <v>4696</v>
      </c>
      <c r="L1199" s="2" t="s">
        <v>4696</v>
      </c>
      <c r="M1199" s="2" t="s">
        <v>2</v>
      </c>
      <c r="N1199" s="2"/>
      <c r="O1199" s="2"/>
      <c r="P1199" s="2"/>
      <c r="Q1199" s="2"/>
    </row>
    <row r="1200" spans="1:17" x14ac:dyDescent="0.3">
      <c r="A1200" s="2">
        <v>4523</v>
      </c>
      <c r="B1200" s="2" t="s">
        <v>3139</v>
      </c>
      <c r="C1200" s="2" t="s">
        <v>3140</v>
      </c>
      <c r="D1200" s="2" t="s">
        <v>6000</v>
      </c>
      <c r="E1200" s="2" t="s">
        <v>3141</v>
      </c>
      <c r="F1200" s="2" t="s">
        <v>2</v>
      </c>
      <c r="G1200" s="2" t="s">
        <v>5029</v>
      </c>
      <c r="H1200" s="2" t="s">
        <v>3142</v>
      </c>
      <c r="I1200" s="2" t="s">
        <v>5029</v>
      </c>
      <c r="J1200" s="2" t="s">
        <v>4696</v>
      </c>
      <c r="K1200" s="2" t="s">
        <v>4696</v>
      </c>
      <c r="L1200" s="2" t="s">
        <v>4696</v>
      </c>
      <c r="M1200" s="2" t="s">
        <v>2</v>
      </c>
      <c r="N1200" s="2"/>
      <c r="O1200" s="2"/>
      <c r="P1200" s="2"/>
      <c r="Q1200" s="2"/>
    </row>
    <row r="1201" spans="1:17" x14ac:dyDescent="0.3">
      <c r="A1201" s="2">
        <v>4527</v>
      </c>
      <c r="B1201" s="2" t="s">
        <v>3143</v>
      </c>
      <c r="C1201" s="2" t="s">
        <v>3144</v>
      </c>
      <c r="D1201" s="2" t="s">
        <v>6037</v>
      </c>
      <c r="E1201" s="2" t="s">
        <v>3145</v>
      </c>
      <c r="F1201" s="2" t="s">
        <v>2</v>
      </c>
      <c r="G1201" s="2" t="s">
        <v>5030</v>
      </c>
      <c r="H1201" s="2" t="s">
        <v>6006</v>
      </c>
      <c r="I1201" s="2" t="s">
        <v>4698</v>
      </c>
      <c r="J1201" s="2" t="s">
        <v>4696</v>
      </c>
      <c r="K1201" s="2" t="s">
        <v>4696</v>
      </c>
      <c r="L1201" s="2" t="s">
        <v>4696</v>
      </c>
      <c r="M1201" s="2" t="s">
        <v>2</v>
      </c>
      <c r="N1201" s="2"/>
      <c r="O1201" s="2"/>
      <c r="P1201" s="2"/>
      <c r="Q1201" s="2"/>
    </row>
    <row r="1202" spans="1:17" x14ac:dyDescent="0.3">
      <c r="A1202" s="2">
        <v>4528</v>
      </c>
      <c r="B1202" s="2" t="s">
        <v>3146</v>
      </c>
      <c r="C1202" s="2" t="s">
        <v>3147</v>
      </c>
      <c r="D1202" s="2" t="s">
        <v>6004</v>
      </c>
      <c r="E1202" s="2" t="s">
        <v>3148</v>
      </c>
      <c r="F1202" s="2" t="s">
        <v>2</v>
      </c>
      <c r="G1202" s="2" t="s">
        <v>5031</v>
      </c>
      <c r="H1202" s="2" t="s">
        <v>469</v>
      </c>
      <c r="I1202" s="2" t="s">
        <v>4738</v>
      </c>
      <c r="J1202" s="2" t="s">
        <v>4696</v>
      </c>
      <c r="K1202" s="2" t="s">
        <v>4696</v>
      </c>
      <c r="L1202" s="2" t="s">
        <v>4696</v>
      </c>
      <c r="M1202" s="2" t="s">
        <v>2</v>
      </c>
      <c r="N1202" s="2"/>
      <c r="O1202" s="2"/>
      <c r="P1202" s="2"/>
      <c r="Q1202" s="2"/>
    </row>
    <row r="1203" spans="1:17" x14ac:dyDescent="0.3">
      <c r="A1203" s="2">
        <v>4529</v>
      </c>
      <c r="B1203" s="2" t="s">
        <v>3149</v>
      </c>
      <c r="C1203" s="2" t="s">
        <v>3150</v>
      </c>
      <c r="D1203" s="2" t="s">
        <v>6024</v>
      </c>
      <c r="E1203" s="2" t="s">
        <v>6629</v>
      </c>
      <c r="F1203" s="2" t="s">
        <v>2</v>
      </c>
      <c r="G1203" s="2" t="s">
        <v>5032</v>
      </c>
      <c r="H1203" s="2" t="s">
        <v>451</v>
      </c>
      <c r="I1203" s="2" t="s">
        <v>4694</v>
      </c>
      <c r="J1203" s="2" t="s">
        <v>4696</v>
      </c>
      <c r="K1203" s="2" t="s">
        <v>4696</v>
      </c>
      <c r="L1203" s="2" t="s">
        <v>4696</v>
      </c>
      <c r="M1203" s="2" t="s">
        <v>2</v>
      </c>
      <c r="N1203" s="2"/>
      <c r="O1203" s="2"/>
      <c r="P1203" s="2"/>
      <c r="Q1203" s="2"/>
    </row>
    <row r="1204" spans="1:17" x14ac:dyDescent="0.3">
      <c r="A1204" s="2">
        <v>4530</v>
      </c>
      <c r="B1204" s="2" t="s">
        <v>3151</v>
      </c>
      <c r="C1204" s="2" t="s">
        <v>3152</v>
      </c>
      <c r="D1204" s="2" t="s">
        <v>6042</v>
      </c>
      <c r="E1204" s="2" t="s">
        <v>3153</v>
      </c>
      <c r="F1204" s="2" t="s">
        <v>41</v>
      </c>
      <c r="G1204" s="2" t="s">
        <v>5033</v>
      </c>
      <c r="H1204" s="2" t="s">
        <v>465</v>
      </c>
      <c r="I1204" s="2" t="s">
        <v>5034</v>
      </c>
      <c r="J1204" s="2" t="s">
        <v>4696</v>
      </c>
      <c r="K1204" s="2" t="s">
        <v>4696</v>
      </c>
      <c r="L1204" s="2" t="s">
        <v>4696</v>
      </c>
      <c r="M1204" s="2" t="s">
        <v>2</v>
      </c>
      <c r="N1204" s="2"/>
      <c r="O1204" s="2"/>
      <c r="P1204" s="2"/>
      <c r="Q1204" s="2"/>
    </row>
    <row r="1205" spans="1:17" x14ac:dyDescent="0.3">
      <c r="A1205" s="2">
        <v>4533</v>
      </c>
      <c r="B1205" s="2" t="s">
        <v>3154</v>
      </c>
      <c r="C1205" s="2" t="s">
        <v>3155</v>
      </c>
      <c r="D1205" s="2" t="s">
        <v>6010</v>
      </c>
      <c r="E1205" s="2" t="s">
        <v>6630</v>
      </c>
      <c r="F1205" s="2" t="s">
        <v>41</v>
      </c>
      <c r="G1205" s="2" t="s">
        <v>5035</v>
      </c>
      <c r="H1205" s="2" t="s">
        <v>640</v>
      </c>
      <c r="I1205" s="2" t="s">
        <v>6450</v>
      </c>
      <c r="J1205" s="2" t="s">
        <v>4696</v>
      </c>
      <c r="K1205" s="2" t="s">
        <v>4696</v>
      </c>
      <c r="L1205" s="2" t="s">
        <v>4696</v>
      </c>
      <c r="M1205" s="2" t="s">
        <v>4696</v>
      </c>
      <c r="N1205" s="2"/>
      <c r="O1205" s="2"/>
      <c r="P1205" s="2"/>
      <c r="Q1205" s="2"/>
    </row>
    <row r="1206" spans="1:17" x14ac:dyDescent="0.3">
      <c r="A1206" s="2">
        <v>4534</v>
      </c>
      <c r="B1206" s="2" t="s">
        <v>3156</v>
      </c>
      <c r="C1206" s="2" t="s">
        <v>6631</v>
      </c>
      <c r="D1206" s="2" t="s">
        <v>6007</v>
      </c>
      <c r="E1206" s="2" t="s">
        <v>3157</v>
      </c>
      <c r="F1206" s="2" t="s">
        <v>2</v>
      </c>
      <c r="G1206" s="2" t="s">
        <v>5036</v>
      </c>
      <c r="H1206" s="2" t="s">
        <v>3158</v>
      </c>
      <c r="I1206" s="2" t="s">
        <v>4733</v>
      </c>
      <c r="J1206" s="2" t="s">
        <v>4696</v>
      </c>
      <c r="K1206" s="2" t="s">
        <v>4696</v>
      </c>
      <c r="L1206" s="2" t="s">
        <v>4696</v>
      </c>
      <c r="M1206" s="2" t="s">
        <v>4696</v>
      </c>
      <c r="N1206" s="2"/>
      <c r="O1206" s="2"/>
      <c r="P1206" s="2"/>
      <c r="Q1206" s="2"/>
    </row>
    <row r="1207" spans="1:17" x14ac:dyDescent="0.3">
      <c r="A1207" s="2">
        <v>4535</v>
      </c>
      <c r="B1207" s="2" t="s">
        <v>3159</v>
      </c>
      <c r="C1207" s="2" t="s">
        <v>3160</v>
      </c>
      <c r="D1207" s="2" t="s">
        <v>6016</v>
      </c>
      <c r="E1207" s="2" t="s">
        <v>6632</v>
      </c>
      <c r="F1207" s="2" t="s">
        <v>2</v>
      </c>
      <c r="G1207" s="2" t="s">
        <v>5037</v>
      </c>
      <c r="H1207" s="2" t="s">
        <v>6006</v>
      </c>
      <c r="I1207" s="2" t="s">
        <v>4698</v>
      </c>
      <c r="J1207" s="2" t="s">
        <v>4696</v>
      </c>
      <c r="K1207" s="2" t="s">
        <v>4696</v>
      </c>
      <c r="L1207" s="2" t="s">
        <v>4696</v>
      </c>
      <c r="M1207" s="2" t="s">
        <v>4696</v>
      </c>
      <c r="N1207" s="2"/>
      <c r="O1207" s="2"/>
      <c r="P1207" s="2"/>
      <c r="Q1207" s="2"/>
    </row>
    <row r="1208" spans="1:17" x14ac:dyDescent="0.3">
      <c r="A1208" s="2">
        <v>4541</v>
      </c>
      <c r="B1208" s="2" t="s">
        <v>3161</v>
      </c>
      <c r="C1208" s="2" t="s">
        <v>3162</v>
      </c>
      <c r="D1208" s="2" t="s">
        <v>5999</v>
      </c>
      <c r="E1208" s="2" t="s">
        <v>6633</v>
      </c>
      <c r="F1208" s="2" t="s">
        <v>2</v>
      </c>
      <c r="G1208" s="2" t="s">
        <v>5038</v>
      </c>
      <c r="H1208" s="2" t="s">
        <v>451</v>
      </c>
      <c r="I1208" s="2" t="s">
        <v>4724</v>
      </c>
      <c r="J1208" s="2" t="s">
        <v>4696</v>
      </c>
      <c r="K1208" s="2" t="s">
        <v>4696</v>
      </c>
      <c r="L1208" s="2" t="s">
        <v>4696</v>
      </c>
      <c r="M1208" s="2" t="s">
        <v>2</v>
      </c>
      <c r="N1208" s="2"/>
      <c r="O1208" s="2"/>
      <c r="P1208" s="2"/>
      <c r="Q1208" s="2"/>
    </row>
    <row r="1209" spans="1:17" x14ac:dyDescent="0.3">
      <c r="A1209" s="2">
        <v>4542</v>
      </c>
      <c r="B1209" s="2" t="s">
        <v>3163</v>
      </c>
      <c r="C1209" s="2" t="s">
        <v>6634</v>
      </c>
      <c r="D1209" s="2" t="s">
        <v>6042</v>
      </c>
      <c r="E1209" s="2" t="s">
        <v>3164</v>
      </c>
      <c r="F1209" s="2" t="s">
        <v>2</v>
      </c>
      <c r="G1209" s="2" t="s">
        <v>5039</v>
      </c>
      <c r="H1209" s="2" t="s">
        <v>667</v>
      </c>
      <c r="I1209" s="2" t="s">
        <v>4720</v>
      </c>
      <c r="J1209" s="2" t="s">
        <v>4696</v>
      </c>
      <c r="K1209" s="2" t="s">
        <v>4696</v>
      </c>
      <c r="L1209" s="2" t="s">
        <v>4696</v>
      </c>
      <c r="M1209" s="2" t="s">
        <v>2</v>
      </c>
      <c r="N1209" s="2"/>
      <c r="O1209" s="2"/>
      <c r="P1209" s="2"/>
      <c r="Q1209" s="2"/>
    </row>
    <row r="1210" spans="1:17" x14ac:dyDescent="0.3">
      <c r="A1210" s="2">
        <v>4543</v>
      </c>
      <c r="B1210" s="2" t="s">
        <v>4325</v>
      </c>
      <c r="C1210" s="2" t="s">
        <v>4326</v>
      </c>
      <c r="D1210" s="2" t="s">
        <v>6034</v>
      </c>
      <c r="E1210" s="2" t="s">
        <v>4327</v>
      </c>
      <c r="F1210" s="2" t="s">
        <v>41</v>
      </c>
      <c r="G1210" s="2" t="s">
        <v>5418</v>
      </c>
      <c r="H1210" s="2" t="s">
        <v>2994</v>
      </c>
      <c r="I1210" s="2" t="s">
        <v>4723</v>
      </c>
      <c r="J1210" s="2" t="s">
        <v>6635</v>
      </c>
      <c r="K1210" s="2" t="s">
        <v>4690</v>
      </c>
      <c r="L1210" s="2" t="s">
        <v>4691</v>
      </c>
      <c r="M1210" s="2" t="s">
        <v>4692</v>
      </c>
      <c r="N1210" s="2"/>
      <c r="O1210" s="2"/>
      <c r="P1210" s="2"/>
      <c r="Q1210" s="2"/>
    </row>
    <row r="1211" spans="1:17" x14ac:dyDescent="0.3">
      <c r="A1211" s="2">
        <v>4549</v>
      </c>
      <c r="B1211" s="2" t="s">
        <v>3165</v>
      </c>
      <c r="C1211" s="2" t="s">
        <v>3166</v>
      </c>
      <c r="D1211" s="2" t="s">
        <v>6020</v>
      </c>
      <c r="E1211" s="2" t="s">
        <v>3167</v>
      </c>
      <c r="F1211" s="2" t="s">
        <v>41</v>
      </c>
      <c r="G1211" s="2" t="s">
        <v>5040</v>
      </c>
      <c r="H1211" s="2" t="s">
        <v>6636</v>
      </c>
      <c r="I1211" s="2" t="s">
        <v>4708</v>
      </c>
      <c r="J1211" s="2" t="s">
        <v>4696</v>
      </c>
      <c r="K1211" s="2" t="s">
        <v>4696</v>
      </c>
      <c r="L1211" s="2" t="s">
        <v>4696</v>
      </c>
      <c r="M1211" s="2" t="s">
        <v>4696</v>
      </c>
      <c r="N1211" s="2"/>
      <c r="O1211" s="2"/>
      <c r="P1211" s="2"/>
      <c r="Q1211" s="2"/>
    </row>
    <row r="1212" spans="1:17" x14ac:dyDescent="0.3">
      <c r="A1212" s="2">
        <v>4550</v>
      </c>
      <c r="B1212" s="2" t="s">
        <v>3168</v>
      </c>
      <c r="C1212" s="2" t="s">
        <v>3169</v>
      </c>
      <c r="D1212" s="2" t="s">
        <v>6000</v>
      </c>
      <c r="E1212" s="2" t="s">
        <v>3170</v>
      </c>
      <c r="F1212" s="2" t="s">
        <v>41</v>
      </c>
      <c r="G1212" s="2" t="s">
        <v>5041</v>
      </c>
      <c r="H1212" s="2" t="s">
        <v>3171</v>
      </c>
      <c r="I1212" s="2" t="s">
        <v>4715</v>
      </c>
      <c r="J1212" s="2" t="s">
        <v>4696</v>
      </c>
      <c r="K1212" s="2" t="s">
        <v>4696</v>
      </c>
      <c r="L1212" s="2" t="s">
        <v>4696</v>
      </c>
      <c r="M1212" s="2" t="s">
        <v>4696</v>
      </c>
      <c r="N1212" s="2"/>
      <c r="O1212" s="2"/>
      <c r="P1212" s="2"/>
      <c r="Q1212" s="2"/>
    </row>
    <row r="1213" spans="1:17" x14ac:dyDescent="0.3">
      <c r="A1213" s="2">
        <v>4556</v>
      </c>
      <c r="B1213" s="2" t="s">
        <v>4346</v>
      </c>
      <c r="C1213" s="2" t="s">
        <v>4347</v>
      </c>
      <c r="D1213" s="2" t="s">
        <v>6007</v>
      </c>
      <c r="E1213" s="2" t="s">
        <v>6637</v>
      </c>
      <c r="F1213" s="2" t="s">
        <v>2</v>
      </c>
      <c r="G1213" s="2" t="s">
        <v>5419</v>
      </c>
      <c r="H1213" s="2" t="s">
        <v>431</v>
      </c>
      <c r="I1213" s="2" t="s">
        <v>4739</v>
      </c>
      <c r="J1213" s="2" t="s">
        <v>4696</v>
      </c>
      <c r="K1213" s="2" t="s">
        <v>4696</v>
      </c>
      <c r="L1213" s="2" t="s">
        <v>4696</v>
      </c>
      <c r="M1213" s="2" t="s">
        <v>4696</v>
      </c>
      <c r="N1213" s="2"/>
      <c r="O1213" s="2"/>
      <c r="P1213" s="2"/>
      <c r="Q1213" s="2"/>
    </row>
    <row r="1214" spans="1:17" x14ac:dyDescent="0.3">
      <c r="A1214" s="2">
        <v>4609</v>
      </c>
      <c r="B1214" s="2" t="s">
        <v>3172</v>
      </c>
      <c r="C1214" s="2" t="s">
        <v>6638</v>
      </c>
      <c r="D1214" s="2" t="s">
        <v>6007</v>
      </c>
      <c r="E1214" s="2" t="s">
        <v>3173</v>
      </c>
      <c r="F1214" s="2" t="s">
        <v>41</v>
      </c>
      <c r="G1214" s="2" t="s">
        <v>5042</v>
      </c>
      <c r="H1214" s="2" t="s">
        <v>408</v>
      </c>
      <c r="I1214" s="2" t="s">
        <v>4721</v>
      </c>
      <c r="J1214" s="2" t="s">
        <v>4696</v>
      </c>
      <c r="K1214" s="2" t="s">
        <v>4696</v>
      </c>
      <c r="L1214" s="2" t="s">
        <v>4696</v>
      </c>
      <c r="M1214" s="2" t="s">
        <v>4696</v>
      </c>
      <c r="N1214" s="2"/>
      <c r="O1214" s="2"/>
      <c r="P1214" s="2"/>
      <c r="Q1214" s="2"/>
    </row>
    <row r="1215" spans="1:17" x14ac:dyDescent="0.3">
      <c r="A1215" s="2">
        <v>4702</v>
      </c>
      <c r="B1215" s="2" t="s">
        <v>3174</v>
      </c>
      <c r="C1215" s="2" t="s">
        <v>3175</v>
      </c>
      <c r="D1215" s="2" t="s">
        <v>6020</v>
      </c>
      <c r="E1215" s="2" t="s">
        <v>6639</v>
      </c>
      <c r="F1215" s="2" t="s">
        <v>2</v>
      </c>
      <c r="G1215" s="2">
        <v>27038496</v>
      </c>
      <c r="H1215" s="2" t="s">
        <v>431</v>
      </c>
      <c r="I1215" s="2">
        <v>27023999</v>
      </c>
      <c r="J1215" s="2" t="s">
        <v>4696</v>
      </c>
      <c r="K1215" s="2" t="s">
        <v>4696</v>
      </c>
      <c r="L1215" s="2" t="s">
        <v>4696</v>
      </c>
      <c r="M1215" s="2" t="s">
        <v>4696</v>
      </c>
      <c r="N1215" s="2"/>
      <c r="O1215" s="2"/>
      <c r="P1215" s="2"/>
      <c r="Q1215" s="2"/>
    </row>
    <row r="1216" spans="1:17" x14ac:dyDescent="0.3">
      <c r="A1216" s="2">
        <v>4706</v>
      </c>
      <c r="B1216" s="2" t="s">
        <v>3176</v>
      </c>
      <c r="C1216" s="2" t="s">
        <v>3177</v>
      </c>
      <c r="D1216" s="2" t="s">
        <v>6016</v>
      </c>
      <c r="E1216" s="2" t="s">
        <v>1984</v>
      </c>
      <c r="F1216" s="2" t="s">
        <v>2</v>
      </c>
      <c r="G1216" s="2" t="s">
        <v>5043</v>
      </c>
      <c r="H1216" s="2" t="s">
        <v>1291</v>
      </c>
      <c r="I1216" s="2" t="s">
        <v>4727</v>
      </c>
      <c r="J1216" s="2" t="s">
        <v>4696</v>
      </c>
      <c r="K1216" s="2" t="s">
        <v>4696</v>
      </c>
      <c r="L1216" s="2" t="s">
        <v>4696</v>
      </c>
      <c r="M1216" s="2" t="s">
        <v>2</v>
      </c>
      <c r="N1216" s="2"/>
      <c r="O1216" s="2"/>
      <c r="P1216" s="2"/>
      <c r="Q1216" s="2"/>
    </row>
    <row r="1217" spans="1:17" x14ac:dyDescent="0.3">
      <c r="A1217" s="2">
        <v>4707</v>
      </c>
      <c r="B1217" s="2" t="s">
        <v>82</v>
      </c>
      <c r="C1217" s="2" t="s">
        <v>3178</v>
      </c>
      <c r="D1217" s="2" t="s">
        <v>6025</v>
      </c>
      <c r="E1217" s="2" t="s">
        <v>3179</v>
      </c>
      <c r="F1217" s="2" t="s">
        <v>2</v>
      </c>
      <c r="G1217" s="2" t="s">
        <v>5044</v>
      </c>
      <c r="H1217" s="2" t="s">
        <v>3180</v>
      </c>
      <c r="I1217" s="2" t="s">
        <v>5044</v>
      </c>
      <c r="J1217" s="2" t="s">
        <v>6640</v>
      </c>
      <c r="K1217" s="2" t="s">
        <v>4690</v>
      </c>
      <c r="L1217" s="2" t="s">
        <v>4691</v>
      </c>
      <c r="M1217" s="2" t="s">
        <v>4692</v>
      </c>
      <c r="N1217" s="2"/>
      <c r="O1217" s="2"/>
      <c r="P1217" s="2"/>
      <c r="Q1217" s="2"/>
    </row>
    <row r="1218" spans="1:17" x14ac:dyDescent="0.3">
      <c r="A1218" s="2">
        <v>4711</v>
      </c>
      <c r="B1218" s="2" t="s">
        <v>3181</v>
      </c>
      <c r="C1218" s="2" t="s">
        <v>3182</v>
      </c>
      <c r="D1218" s="2" t="s">
        <v>6021</v>
      </c>
      <c r="E1218" s="2" t="s">
        <v>3183</v>
      </c>
      <c r="F1218" s="2" t="s">
        <v>41</v>
      </c>
      <c r="G1218" s="2" t="s">
        <v>5045</v>
      </c>
      <c r="H1218" s="2" t="s">
        <v>539</v>
      </c>
      <c r="I1218" s="2" t="s">
        <v>4698</v>
      </c>
      <c r="J1218" s="2" t="s">
        <v>4696</v>
      </c>
      <c r="K1218" s="2" t="s">
        <v>4696</v>
      </c>
      <c r="L1218" s="2" t="s">
        <v>4696</v>
      </c>
      <c r="M1218" s="2" t="s">
        <v>4696</v>
      </c>
      <c r="N1218" s="2"/>
      <c r="O1218" s="2"/>
      <c r="P1218" s="2"/>
      <c r="Q1218" s="2"/>
    </row>
    <row r="1219" spans="1:17" x14ac:dyDescent="0.3">
      <c r="A1219" s="2">
        <v>4712</v>
      </c>
      <c r="B1219" s="2" t="s">
        <v>3184</v>
      </c>
      <c r="C1219" s="2" t="s">
        <v>3185</v>
      </c>
      <c r="D1219" s="2" t="s">
        <v>6014</v>
      </c>
      <c r="E1219" s="2" t="s">
        <v>3186</v>
      </c>
      <c r="F1219" s="2" t="s">
        <v>2</v>
      </c>
      <c r="G1219" s="2" t="s">
        <v>5046</v>
      </c>
      <c r="H1219" s="2" t="s">
        <v>6006</v>
      </c>
      <c r="I1219" s="2" t="s">
        <v>4743</v>
      </c>
      <c r="J1219" s="2" t="s">
        <v>4696</v>
      </c>
      <c r="K1219" s="2" t="s">
        <v>4696</v>
      </c>
      <c r="L1219" s="2" t="s">
        <v>4696</v>
      </c>
      <c r="M1219" s="2" t="s">
        <v>4696</v>
      </c>
      <c r="N1219" s="2"/>
      <c r="O1219" s="2"/>
      <c r="P1219" s="2"/>
      <c r="Q1219" s="2"/>
    </row>
    <row r="1220" spans="1:17" x14ac:dyDescent="0.3">
      <c r="A1220" s="2">
        <v>4714</v>
      </c>
      <c r="B1220" s="2" t="s">
        <v>304</v>
      </c>
      <c r="C1220" s="2" t="s">
        <v>3187</v>
      </c>
      <c r="D1220" s="2" t="s">
        <v>6028</v>
      </c>
      <c r="E1220" s="2" t="s">
        <v>3188</v>
      </c>
      <c r="F1220" s="2" t="s">
        <v>2</v>
      </c>
      <c r="G1220" s="2" t="s">
        <v>5047</v>
      </c>
      <c r="H1220" s="2" t="s">
        <v>556</v>
      </c>
      <c r="I1220" s="2" t="s">
        <v>6465</v>
      </c>
      <c r="J1220" s="2" t="s">
        <v>4696</v>
      </c>
      <c r="K1220" s="2" t="s">
        <v>4696</v>
      </c>
      <c r="L1220" s="2" t="s">
        <v>4696</v>
      </c>
      <c r="M1220" s="2" t="s">
        <v>4696</v>
      </c>
      <c r="N1220" s="2"/>
      <c r="O1220" s="2"/>
      <c r="P1220" s="2"/>
      <c r="Q1220" s="2"/>
    </row>
    <row r="1221" spans="1:17" x14ac:dyDescent="0.3">
      <c r="A1221" s="2">
        <v>4716</v>
      </c>
      <c r="B1221" s="2" t="s">
        <v>317</v>
      </c>
      <c r="C1221" s="2" t="s">
        <v>3189</v>
      </c>
      <c r="D1221" s="2" t="s">
        <v>6004</v>
      </c>
      <c r="E1221" s="2" t="s">
        <v>6641</v>
      </c>
      <c r="F1221" s="2" t="s">
        <v>2</v>
      </c>
      <c r="G1221" s="2" t="s">
        <v>5048</v>
      </c>
      <c r="H1221" s="2" t="s">
        <v>469</v>
      </c>
      <c r="I1221" s="2" t="s">
        <v>4738</v>
      </c>
      <c r="J1221" s="2" t="s">
        <v>4696</v>
      </c>
      <c r="K1221" s="2" t="s">
        <v>4696</v>
      </c>
      <c r="L1221" s="2" t="s">
        <v>4696</v>
      </c>
      <c r="M1221" s="2" t="s">
        <v>4696</v>
      </c>
      <c r="N1221" s="2"/>
      <c r="O1221" s="2"/>
      <c r="P1221" s="2"/>
      <c r="Q1221" s="2"/>
    </row>
    <row r="1222" spans="1:17" x14ac:dyDescent="0.3">
      <c r="A1222" s="2"/>
      <c r="B1222" s="2"/>
      <c r="C1222" s="2"/>
      <c r="D1222" s="2"/>
      <c r="E1222" s="2"/>
      <c r="F1222" s="2"/>
      <c r="G1222" s="2"/>
      <c r="H1222" s="2"/>
      <c r="I1222" s="2"/>
      <c r="J1222" s="2"/>
      <c r="K1222" s="2"/>
      <c r="L1222" s="2"/>
      <c r="M1222" s="2"/>
      <c r="N1222" s="2"/>
      <c r="O1222" s="2"/>
      <c r="P1222" s="2"/>
      <c r="Q1222" s="2"/>
    </row>
    <row r="1223" spans="1:17" x14ac:dyDescent="0.3">
      <c r="A1223" s="2">
        <v>4721</v>
      </c>
      <c r="B1223" s="2" t="s">
        <v>3192</v>
      </c>
      <c r="C1223" s="2" t="s">
        <v>3193</v>
      </c>
      <c r="D1223" s="2" t="s">
        <v>6010</v>
      </c>
      <c r="E1223" s="2" t="s">
        <v>6642</v>
      </c>
      <c r="F1223" s="2" t="s">
        <v>2</v>
      </c>
      <c r="G1223" s="2" t="s">
        <v>5049</v>
      </c>
      <c r="H1223" s="2" t="s">
        <v>1063</v>
      </c>
      <c r="I1223" s="2" t="s">
        <v>17</v>
      </c>
      <c r="J1223" s="2" t="s">
        <v>4696</v>
      </c>
      <c r="K1223" s="2" t="s">
        <v>4696</v>
      </c>
      <c r="L1223" s="2" t="s">
        <v>4696</v>
      </c>
      <c r="M1223" s="2" t="s">
        <v>4696</v>
      </c>
      <c r="N1223" s="2"/>
      <c r="O1223" s="2"/>
      <c r="P1223" s="2"/>
      <c r="Q1223" s="2"/>
    </row>
    <row r="1224" spans="1:17" x14ac:dyDescent="0.3">
      <c r="A1224" s="2">
        <v>4726</v>
      </c>
      <c r="B1224" s="2" t="s">
        <v>3194</v>
      </c>
      <c r="C1224" s="2" t="s">
        <v>3195</v>
      </c>
      <c r="D1224" s="2" t="s">
        <v>6000</v>
      </c>
      <c r="E1224" s="2" t="s">
        <v>6643</v>
      </c>
      <c r="F1224" s="2" t="s">
        <v>2</v>
      </c>
      <c r="G1224" s="2">
        <v>37586988</v>
      </c>
      <c r="H1224" s="2" t="s">
        <v>411</v>
      </c>
      <c r="I1224" s="2" t="s">
        <v>4702</v>
      </c>
      <c r="J1224" s="2" t="s">
        <v>4696</v>
      </c>
      <c r="K1224" s="2" t="s">
        <v>4696</v>
      </c>
      <c r="L1224" s="2" t="s">
        <v>4696</v>
      </c>
      <c r="M1224" s="2" t="s">
        <v>4696</v>
      </c>
      <c r="N1224" s="2"/>
      <c r="O1224" s="2"/>
      <c r="P1224" s="2"/>
      <c r="Q1224" s="2"/>
    </row>
    <row r="1225" spans="1:17" x14ac:dyDescent="0.3">
      <c r="A1225" s="2">
        <v>4728</v>
      </c>
      <c r="B1225" s="2" t="s">
        <v>94</v>
      </c>
      <c r="C1225" s="2" t="s">
        <v>3196</v>
      </c>
      <c r="D1225" s="2" t="s">
        <v>6042</v>
      </c>
      <c r="E1225" s="2" t="s">
        <v>6644</v>
      </c>
      <c r="F1225" s="2" t="s">
        <v>41</v>
      </c>
      <c r="G1225" s="2" t="s">
        <v>5050</v>
      </c>
      <c r="H1225" s="2" t="s">
        <v>505</v>
      </c>
      <c r="I1225" s="2" t="s">
        <v>4707</v>
      </c>
      <c r="J1225" s="2" t="s">
        <v>4696</v>
      </c>
      <c r="K1225" s="2" t="s">
        <v>4696</v>
      </c>
      <c r="L1225" s="2" t="s">
        <v>4696</v>
      </c>
      <c r="M1225" s="2" t="s">
        <v>4696</v>
      </c>
      <c r="N1225" s="2"/>
      <c r="O1225" s="2"/>
      <c r="P1225" s="2"/>
      <c r="Q1225" s="2"/>
    </row>
    <row r="1226" spans="1:17" x14ac:dyDescent="0.3">
      <c r="A1226" s="2">
        <v>4729</v>
      </c>
      <c r="B1226" s="2" t="s">
        <v>3197</v>
      </c>
      <c r="C1226" s="2" t="s">
        <v>3198</v>
      </c>
      <c r="D1226" s="2" t="s">
        <v>6028</v>
      </c>
      <c r="E1226" s="2" t="s">
        <v>6645</v>
      </c>
      <c r="F1226" s="2" t="s">
        <v>2</v>
      </c>
      <c r="G1226" s="2" t="s">
        <v>5051</v>
      </c>
      <c r="H1226" s="2" t="s">
        <v>424</v>
      </c>
      <c r="I1226" s="2" t="s">
        <v>4698</v>
      </c>
      <c r="J1226" s="2" t="s">
        <v>4696</v>
      </c>
      <c r="K1226" s="2" t="s">
        <v>4696</v>
      </c>
      <c r="L1226" s="2" t="s">
        <v>4696</v>
      </c>
      <c r="M1226" s="2" t="s">
        <v>4696</v>
      </c>
      <c r="N1226" s="2"/>
      <c r="O1226" s="2"/>
      <c r="P1226" s="2"/>
      <c r="Q1226" s="2"/>
    </row>
    <row r="1227" spans="1:17" x14ac:dyDescent="0.3">
      <c r="A1227" s="2">
        <v>4735</v>
      </c>
      <c r="B1227" s="2" t="s">
        <v>3199</v>
      </c>
      <c r="C1227" s="2" t="s">
        <v>3200</v>
      </c>
      <c r="D1227" s="2" t="s">
        <v>6025</v>
      </c>
      <c r="E1227" s="2" t="s">
        <v>3201</v>
      </c>
      <c r="F1227" s="2" t="s">
        <v>41</v>
      </c>
      <c r="G1227" s="2" t="s">
        <v>5052</v>
      </c>
      <c r="H1227" s="2" t="s">
        <v>2921</v>
      </c>
      <c r="I1227" s="2" t="s">
        <v>4720</v>
      </c>
      <c r="J1227" s="2" t="s">
        <v>4696</v>
      </c>
      <c r="K1227" s="2" t="s">
        <v>4696</v>
      </c>
      <c r="L1227" s="2" t="s">
        <v>4696</v>
      </c>
      <c r="M1227" s="2" t="s">
        <v>2</v>
      </c>
      <c r="N1227" s="2"/>
      <c r="O1227" s="2"/>
      <c r="P1227" s="2"/>
      <c r="Q1227" s="2"/>
    </row>
    <row r="1228" spans="1:17" x14ac:dyDescent="0.3">
      <c r="A1228" s="2">
        <v>4736</v>
      </c>
      <c r="B1228" s="2" t="s">
        <v>3202</v>
      </c>
      <c r="C1228" s="2" t="s">
        <v>3203</v>
      </c>
      <c r="D1228" s="2" t="s">
        <v>6330</v>
      </c>
      <c r="E1228" s="2" t="s">
        <v>3204</v>
      </c>
      <c r="F1228" s="2" t="s">
        <v>41</v>
      </c>
      <c r="G1228" s="2" t="s">
        <v>5053</v>
      </c>
      <c r="H1228" s="2" t="s">
        <v>456</v>
      </c>
      <c r="I1228" s="2" t="s">
        <v>4723</v>
      </c>
      <c r="J1228" s="2" t="s">
        <v>4696</v>
      </c>
      <c r="K1228" s="2" t="s">
        <v>4696</v>
      </c>
      <c r="L1228" s="2" t="s">
        <v>4696</v>
      </c>
      <c r="M1228" s="2" t="s">
        <v>2</v>
      </c>
      <c r="N1228" s="2"/>
      <c r="O1228" s="2"/>
      <c r="P1228" s="2"/>
      <c r="Q1228" s="2"/>
    </row>
    <row r="1229" spans="1:17" x14ac:dyDescent="0.3">
      <c r="A1229" s="2">
        <v>4739</v>
      </c>
      <c r="B1229" s="2" t="s">
        <v>3205</v>
      </c>
      <c r="C1229" s="2" t="s">
        <v>3206</v>
      </c>
      <c r="D1229" s="2" t="s">
        <v>6051</v>
      </c>
      <c r="E1229" s="2" t="s">
        <v>3207</v>
      </c>
      <c r="F1229" s="2" t="s">
        <v>2</v>
      </c>
      <c r="G1229" s="2" t="s">
        <v>5054</v>
      </c>
      <c r="H1229" s="2" t="s">
        <v>556</v>
      </c>
      <c r="I1229" s="2" t="s">
        <v>6450</v>
      </c>
      <c r="J1229" s="2" t="s">
        <v>4696</v>
      </c>
      <c r="K1229" s="2" t="s">
        <v>4696</v>
      </c>
      <c r="L1229" s="2" t="s">
        <v>4696</v>
      </c>
      <c r="M1229" s="2" t="s">
        <v>2</v>
      </c>
      <c r="N1229" s="2"/>
      <c r="O1229" s="2"/>
      <c r="P1229" s="2"/>
      <c r="Q1229" s="2"/>
    </row>
    <row r="1230" spans="1:17" x14ac:dyDescent="0.3">
      <c r="A1230" s="2">
        <v>4743</v>
      </c>
      <c r="B1230" s="2" t="s">
        <v>3208</v>
      </c>
      <c r="C1230" s="2" t="s">
        <v>3209</v>
      </c>
      <c r="D1230" s="2" t="s">
        <v>6028</v>
      </c>
      <c r="E1230" s="2" t="s">
        <v>3210</v>
      </c>
      <c r="F1230" s="2" t="s">
        <v>2</v>
      </c>
      <c r="G1230" s="2" t="s">
        <v>5055</v>
      </c>
      <c r="H1230" s="2" t="s">
        <v>653</v>
      </c>
      <c r="I1230" s="2" t="s">
        <v>4733</v>
      </c>
      <c r="J1230" s="2" t="s">
        <v>4696</v>
      </c>
      <c r="K1230" s="2" t="s">
        <v>4696</v>
      </c>
      <c r="L1230" s="2" t="s">
        <v>4696</v>
      </c>
      <c r="M1230" s="2" t="s">
        <v>4696</v>
      </c>
      <c r="N1230" s="2"/>
      <c r="O1230" s="2"/>
      <c r="P1230" s="2"/>
      <c r="Q1230" s="2"/>
    </row>
    <row r="1231" spans="1:17" x14ac:dyDescent="0.3">
      <c r="A1231" s="2">
        <v>4745</v>
      </c>
      <c r="B1231" s="2" t="s">
        <v>3211</v>
      </c>
      <c r="C1231" s="2" t="s">
        <v>6646</v>
      </c>
      <c r="D1231" s="2" t="s">
        <v>6024</v>
      </c>
      <c r="E1231" s="2" t="s">
        <v>3212</v>
      </c>
      <c r="F1231" s="2" t="s">
        <v>2</v>
      </c>
      <c r="G1231" s="2" t="s">
        <v>5056</v>
      </c>
      <c r="H1231" s="2" t="s">
        <v>404</v>
      </c>
      <c r="I1231" s="2" t="s">
        <v>4697</v>
      </c>
      <c r="J1231" s="2" t="s">
        <v>4696</v>
      </c>
      <c r="K1231" s="2" t="s">
        <v>4696</v>
      </c>
      <c r="L1231" s="2" t="s">
        <v>4696</v>
      </c>
      <c r="M1231" s="2" t="s">
        <v>2</v>
      </c>
      <c r="N1231" s="2"/>
      <c r="O1231" s="2"/>
      <c r="P1231" s="2"/>
      <c r="Q1231" s="2"/>
    </row>
    <row r="1232" spans="1:17" x14ac:dyDescent="0.3">
      <c r="A1232" s="2">
        <v>4747</v>
      </c>
      <c r="B1232" s="2" t="s">
        <v>3213</v>
      </c>
      <c r="C1232" s="2" t="s">
        <v>6647</v>
      </c>
      <c r="D1232" s="2" t="s">
        <v>6037</v>
      </c>
      <c r="E1232" s="2" t="s">
        <v>3214</v>
      </c>
      <c r="F1232" s="2" t="s">
        <v>41</v>
      </c>
      <c r="G1232" s="2" t="s">
        <v>5057</v>
      </c>
      <c r="H1232" s="2" t="s">
        <v>469</v>
      </c>
      <c r="I1232" s="2" t="s">
        <v>4755</v>
      </c>
      <c r="J1232" s="2" t="s">
        <v>4696</v>
      </c>
      <c r="K1232" s="2" t="s">
        <v>4696</v>
      </c>
      <c r="L1232" s="2" t="s">
        <v>4696</v>
      </c>
      <c r="M1232" s="2" t="s">
        <v>2</v>
      </c>
      <c r="N1232" s="2"/>
      <c r="O1232" s="2"/>
      <c r="P1232" s="2"/>
      <c r="Q1232" s="2"/>
    </row>
    <row r="1233" spans="1:17" x14ac:dyDescent="0.3">
      <c r="A1233" s="2">
        <v>4762</v>
      </c>
      <c r="B1233" s="2" t="s">
        <v>6648</v>
      </c>
      <c r="C1233" s="2" t="s">
        <v>6023</v>
      </c>
      <c r="D1233" s="2" t="s">
        <v>6000</v>
      </c>
      <c r="E1233" s="2" t="s">
        <v>6649</v>
      </c>
      <c r="F1233" s="2" t="s">
        <v>2</v>
      </c>
      <c r="G1233" s="2" t="s">
        <v>6650</v>
      </c>
      <c r="H1233" s="2" t="s">
        <v>831</v>
      </c>
      <c r="I1233" s="2" t="s">
        <v>4765</v>
      </c>
      <c r="J1233" s="2" t="s">
        <v>4696</v>
      </c>
      <c r="K1233" s="2" t="s">
        <v>4696</v>
      </c>
      <c r="L1233" s="2" t="s">
        <v>4696</v>
      </c>
      <c r="M1233" s="2" t="s">
        <v>4696</v>
      </c>
      <c r="N1233" s="2"/>
      <c r="O1233" s="2"/>
      <c r="P1233" s="2"/>
      <c r="Q1233" s="2"/>
    </row>
    <row r="1234" spans="1:17" x14ac:dyDescent="0.3">
      <c r="A1234" s="2">
        <v>4803</v>
      </c>
      <c r="B1234" s="2" t="s">
        <v>6651</v>
      </c>
      <c r="C1234" s="2" t="s">
        <v>6652</v>
      </c>
      <c r="D1234" s="2" t="s">
        <v>6014</v>
      </c>
      <c r="E1234" s="2" t="s">
        <v>6653</v>
      </c>
      <c r="F1234" s="2" t="s">
        <v>2</v>
      </c>
      <c r="G1234" s="2">
        <v>26577886</v>
      </c>
      <c r="H1234" s="2" t="s">
        <v>1291</v>
      </c>
      <c r="I1234" s="2" t="s">
        <v>5353</v>
      </c>
      <c r="J1234" s="2" t="s">
        <v>4696</v>
      </c>
      <c r="K1234" s="2" t="s">
        <v>4696</v>
      </c>
      <c r="L1234" s="2" t="s">
        <v>4696</v>
      </c>
      <c r="M1234" s="2" t="s">
        <v>4696</v>
      </c>
      <c r="N1234" s="2"/>
      <c r="O1234" s="2"/>
      <c r="P1234" s="2"/>
      <c r="Q1234" s="2"/>
    </row>
    <row r="1235" spans="1:17" x14ac:dyDescent="0.3">
      <c r="A1235" s="2">
        <v>4804</v>
      </c>
      <c r="B1235" s="2" t="s">
        <v>4377</v>
      </c>
      <c r="C1235" s="2" t="s">
        <v>6654</v>
      </c>
      <c r="D1235" s="2" t="s">
        <v>6655</v>
      </c>
      <c r="E1235" s="2" t="s">
        <v>6656</v>
      </c>
      <c r="F1235" s="2" t="s">
        <v>2</v>
      </c>
      <c r="G1235" s="2">
        <v>8613816399688</v>
      </c>
      <c r="H1235" s="2" t="s">
        <v>1028</v>
      </c>
      <c r="I1235" s="2" t="s">
        <v>4712</v>
      </c>
      <c r="J1235" s="2" t="s">
        <v>6657</v>
      </c>
      <c r="K1235" s="2" t="s">
        <v>4690</v>
      </c>
      <c r="L1235" s="2" t="s">
        <v>4691</v>
      </c>
      <c r="M1235" s="2" t="s">
        <v>4699</v>
      </c>
      <c r="N1235" s="2"/>
      <c r="O1235" s="2"/>
      <c r="P1235" s="2"/>
      <c r="Q1235" s="2"/>
    </row>
    <row r="1236" spans="1:17" x14ac:dyDescent="0.3">
      <c r="A1236" s="2">
        <v>4806</v>
      </c>
      <c r="B1236" s="2" t="s">
        <v>4378</v>
      </c>
      <c r="C1236" s="2" t="s">
        <v>4379</v>
      </c>
      <c r="D1236" s="2" t="s">
        <v>6134</v>
      </c>
      <c r="E1236" s="2" t="s">
        <v>4380</v>
      </c>
      <c r="F1236" s="2" t="s">
        <v>41</v>
      </c>
      <c r="G1236" s="2" t="s">
        <v>5420</v>
      </c>
      <c r="H1236" s="2" t="s">
        <v>431</v>
      </c>
      <c r="I1236" s="2" t="s">
        <v>4811</v>
      </c>
      <c r="J1236" s="2" t="s">
        <v>6658</v>
      </c>
      <c r="K1236" s="2" t="s">
        <v>4690</v>
      </c>
      <c r="L1236" s="2" t="s">
        <v>4691</v>
      </c>
      <c r="M1236" s="2" t="s">
        <v>4692</v>
      </c>
      <c r="N1236" s="2"/>
      <c r="O1236" s="2"/>
      <c r="P1236" s="2"/>
      <c r="Q1236" s="2"/>
    </row>
    <row r="1237" spans="1:17" x14ac:dyDescent="0.3">
      <c r="A1237" s="2">
        <v>4903</v>
      </c>
      <c r="B1237" s="2" t="s">
        <v>3215</v>
      </c>
      <c r="C1237" s="2" t="s">
        <v>3216</v>
      </c>
      <c r="D1237" s="2" t="s">
        <v>6025</v>
      </c>
      <c r="E1237" s="2" t="s">
        <v>3217</v>
      </c>
      <c r="F1237" s="2" t="s">
        <v>41</v>
      </c>
      <c r="G1237" s="2" t="s">
        <v>5058</v>
      </c>
      <c r="H1237" s="2" t="s">
        <v>667</v>
      </c>
      <c r="I1237" s="2" t="s">
        <v>4726</v>
      </c>
      <c r="J1237" s="2" t="s">
        <v>4696</v>
      </c>
      <c r="K1237" s="2" t="s">
        <v>4696</v>
      </c>
      <c r="L1237" s="2" t="s">
        <v>4696</v>
      </c>
      <c r="M1237" s="2" t="s">
        <v>2</v>
      </c>
      <c r="N1237" s="2"/>
      <c r="O1237" s="2"/>
      <c r="P1237" s="2"/>
      <c r="Q1237" s="2"/>
    </row>
    <row r="1238" spans="1:17" x14ac:dyDescent="0.3">
      <c r="A1238" s="2">
        <v>4905</v>
      </c>
      <c r="B1238" s="2" t="s">
        <v>3218</v>
      </c>
      <c r="C1238" s="2" t="s">
        <v>3219</v>
      </c>
      <c r="D1238" s="2" t="s">
        <v>6015</v>
      </c>
      <c r="E1238" s="2" t="s">
        <v>6659</v>
      </c>
      <c r="F1238" s="2" t="s">
        <v>2</v>
      </c>
      <c r="G1238" s="2" t="s">
        <v>5059</v>
      </c>
      <c r="H1238" s="2" t="s">
        <v>404</v>
      </c>
      <c r="I1238" s="2" t="s">
        <v>4727</v>
      </c>
      <c r="J1238" s="2" t="s">
        <v>4696</v>
      </c>
      <c r="K1238" s="2" t="s">
        <v>4696</v>
      </c>
      <c r="L1238" s="2" t="s">
        <v>4696</v>
      </c>
      <c r="M1238" s="2" t="s">
        <v>4696</v>
      </c>
      <c r="N1238" s="2"/>
      <c r="O1238" s="2"/>
      <c r="P1238" s="2"/>
      <c r="Q1238" s="2"/>
    </row>
    <row r="1239" spans="1:17" x14ac:dyDescent="0.3">
      <c r="A1239" s="2">
        <v>4907</v>
      </c>
      <c r="B1239" s="2" t="s">
        <v>3220</v>
      </c>
      <c r="C1239" s="2" t="s">
        <v>3221</v>
      </c>
      <c r="D1239" s="2" t="s">
        <v>6014</v>
      </c>
      <c r="E1239" s="2" t="s">
        <v>6660</v>
      </c>
      <c r="F1239" s="2" t="s">
        <v>2</v>
      </c>
      <c r="G1239" s="2" t="s">
        <v>5060</v>
      </c>
      <c r="H1239" s="2" t="s">
        <v>3135</v>
      </c>
      <c r="I1239" s="2" t="s">
        <v>4722</v>
      </c>
      <c r="J1239" s="2" t="s">
        <v>4696</v>
      </c>
      <c r="K1239" s="2" t="s">
        <v>4696</v>
      </c>
      <c r="L1239" s="2" t="s">
        <v>4696</v>
      </c>
      <c r="M1239" s="2" t="s">
        <v>2</v>
      </c>
      <c r="N1239" s="2"/>
      <c r="O1239" s="2"/>
      <c r="P1239" s="2"/>
      <c r="Q1239" s="2"/>
    </row>
    <row r="1240" spans="1:17" x14ac:dyDescent="0.3">
      <c r="A1240" s="2">
        <v>4908</v>
      </c>
      <c r="B1240" s="2" t="s">
        <v>3222</v>
      </c>
      <c r="C1240" s="2" t="s">
        <v>3223</v>
      </c>
      <c r="D1240" s="2" t="s">
        <v>6020</v>
      </c>
      <c r="E1240" s="2" t="s">
        <v>3224</v>
      </c>
      <c r="F1240" s="2" t="s">
        <v>41</v>
      </c>
      <c r="G1240" s="2" t="s">
        <v>5061</v>
      </c>
      <c r="H1240" s="2" t="s">
        <v>465</v>
      </c>
      <c r="I1240" s="2" t="s">
        <v>6</v>
      </c>
      <c r="J1240" s="2" t="s">
        <v>4696</v>
      </c>
      <c r="K1240" s="2" t="s">
        <v>4696</v>
      </c>
      <c r="L1240" s="2" t="s">
        <v>4696</v>
      </c>
      <c r="M1240" s="2" t="s">
        <v>4696</v>
      </c>
      <c r="N1240" s="2"/>
      <c r="O1240" s="2"/>
      <c r="P1240" s="2"/>
      <c r="Q1240" s="2"/>
    </row>
    <row r="1241" spans="1:17" x14ac:dyDescent="0.3">
      <c r="A1241" s="2">
        <v>4909</v>
      </c>
      <c r="B1241" s="2" t="s">
        <v>183</v>
      </c>
      <c r="C1241" s="2" t="s">
        <v>3225</v>
      </c>
      <c r="D1241" s="2" t="s">
        <v>6001</v>
      </c>
      <c r="E1241" s="2" t="s">
        <v>3226</v>
      </c>
      <c r="F1241" s="2" t="s">
        <v>2</v>
      </c>
      <c r="G1241" s="2" t="s">
        <v>5062</v>
      </c>
      <c r="H1241" s="2" t="s">
        <v>404</v>
      </c>
      <c r="I1241" s="2" t="s">
        <v>4700</v>
      </c>
      <c r="J1241" s="2" t="s">
        <v>4696</v>
      </c>
      <c r="K1241" s="2" t="s">
        <v>4696</v>
      </c>
      <c r="L1241" s="2" t="s">
        <v>4696</v>
      </c>
      <c r="M1241" s="2" t="s">
        <v>4696</v>
      </c>
      <c r="N1241" s="2"/>
      <c r="O1241" s="2"/>
      <c r="P1241" s="2"/>
      <c r="Q1241" s="2"/>
    </row>
    <row r="1242" spans="1:17" x14ac:dyDescent="0.3">
      <c r="A1242" s="2">
        <v>4911</v>
      </c>
      <c r="B1242" s="2" t="s">
        <v>3227</v>
      </c>
      <c r="C1242" s="2" t="s">
        <v>3228</v>
      </c>
      <c r="D1242" s="2" t="s">
        <v>6020</v>
      </c>
      <c r="E1242" s="2" t="s">
        <v>6661</v>
      </c>
      <c r="F1242" s="2" t="s">
        <v>41</v>
      </c>
      <c r="G1242" s="2" t="s">
        <v>6662</v>
      </c>
      <c r="H1242" s="2" t="s">
        <v>574</v>
      </c>
      <c r="I1242" s="2" t="s">
        <v>4715</v>
      </c>
      <c r="J1242" s="2" t="s">
        <v>4696</v>
      </c>
      <c r="K1242" s="2" t="s">
        <v>4696</v>
      </c>
      <c r="L1242" s="2" t="s">
        <v>4696</v>
      </c>
      <c r="M1242" s="2" t="s">
        <v>2</v>
      </c>
      <c r="N1242" s="2"/>
      <c r="O1242" s="2"/>
      <c r="P1242" s="2"/>
      <c r="Q1242" s="2"/>
    </row>
    <row r="1243" spans="1:17" x14ac:dyDescent="0.3">
      <c r="A1243" s="2">
        <v>4924</v>
      </c>
      <c r="B1243" s="2" t="s">
        <v>3231</v>
      </c>
      <c r="C1243" s="2" t="s">
        <v>3232</v>
      </c>
      <c r="D1243" s="2" t="s">
        <v>6015</v>
      </c>
      <c r="E1243" s="2" t="s">
        <v>6663</v>
      </c>
      <c r="F1243" s="2" t="s">
        <v>2</v>
      </c>
      <c r="G1243" s="2" t="s">
        <v>5063</v>
      </c>
      <c r="H1243" s="2" t="s">
        <v>404</v>
      </c>
      <c r="I1243" s="2" t="s">
        <v>4727</v>
      </c>
      <c r="J1243" s="2" t="s">
        <v>4696</v>
      </c>
      <c r="K1243" s="2" t="s">
        <v>4696</v>
      </c>
      <c r="L1243" s="2" t="s">
        <v>4696</v>
      </c>
      <c r="M1243" s="2" t="s">
        <v>4696</v>
      </c>
      <c r="N1243" s="2"/>
      <c r="O1243" s="2"/>
      <c r="P1243" s="2"/>
      <c r="Q1243" s="2"/>
    </row>
    <row r="1244" spans="1:17" x14ac:dyDescent="0.3">
      <c r="A1244" s="2">
        <v>4933</v>
      </c>
      <c r="B1244" s="2" t="s">
        <v>3235</v>
      </c>
      <c r="C1244" s="2" t="s">
        <v>6664</v>
      </c>
      <c r="D1244" s="2" t="s">
        <v>6020</v>
      </c>
      <c r="E1244" s="2" t="s">
        <v>6665</v>
      </c>
      <c r="F1244" s="2" t="s">
        <v>41</v>
      </c>
      <c r="G1244" s="2" t="s">
        <v>5064</v>
      </c>
      <c r="H1244" s="2" t="s">
        <v>3236</v>
      </c>
      <c r="I1244" s="2" t="s">
        <v>4713</v>
      </c>
      <c r="J1244" s="2" t="s">
        <v>4696</v>
      </c>
      <c r="K1244" s="2" t="s">
        <v>4696</v>
      </c>
      <c r="L1244" s="2" t="s">
        <v>4696</v>
      </c>
      <c r="M1244" s="2" t="s">
        <v>2</v>
      </c>
      <c r="N1244" s="2"/>
      <c r="O1244" s="2"/>
      <c r="P1244" s="2"/>
      <c r="Q1244" s="2"/>
    </row>
    <row r="1245" spans="1:17" x14ac:dyDescent="0.3">
      <c r="A1245" s="2">
        <v>4939</v>
      </c>
      <c r="B1245" s="2" t="s">
        <v>39</v>
      </c>
      <c r="C1245" s="2" t="s">
        <v>3237</v>
      </c>
      <c r="D1245" s="2" t="s">
        <v>6173</v>
      </c>
      <c r="E1245" s="2" t="s">
        <v>2192</v>
      </c>
      <c r="F1245" s="2" t="s">
        <v>2</v>
      </c>
      <c r="G1245" s="2" t="s">
        <v>5065</v>
      </c>
      <c r="H1245" s="2" t="s">
        <v>640</v>
      </c>
      <c r="I1245" s="2" t="s">
        <v>6454</v>
      </c>
      <c r="J1245" s="2" t="s">
        <v>4696</v>
      </c>
      <c r="K1245" s="2" t="s">
        <v>4696</v>
      </c>
      <c r="L1245" s="2" t="s">
        <v>4696</v>
      </c>
      <c r="M1245" s="2" t="s">
        <v>2</v>
      </c>
      <c r="N1245" s="2"/>
      <c r="O1245" s="2"/>
      <c r="P1245" s="2"/>
      <c r="Q1245" s="2"/>
    </row>
    <row r="1246" spans="1:17" x14ac:dyDescent="0.3">
      <c r="A1246" s="2">
        <v>4944</v>
      </c>
      <c r="B1246" s="2" t="s">
        <v>3238</v>
      </c>
      <c r="C1246" s="2" t="s">
        <v>6666</v>
      </c>
      <c r="D1246" s="2" t="s">
        <v>5999</v>
      </c>
      <c r="E1246" s="2" t="s">
        <v>3239</v>
      </c>
      <c r="F1246" s="2" t="s">
        <v>2</v>
      </c>
      <c r="G1246" s="2" t="s">
        <v>6667</v>
      </c>
      <c r="H1246" s="2" t="s">
        <v>1063</v>
      </c>
      <c r="I1246" s="2" t="s">
        <v>4749</v>
      </c>
      <c r="J1246" s="2" t="s">
        <v>6445</v>
      </c>
      <c r="K1246" s="2" t="s">
        <v>4690</v>
      </c>
      <c r="L1246" s="2" t="s">
        <v>4691</v>
      </c>
      <c r="M1246" s="2" t="s">
        <v>4692</v>
      </c>
      <c r="N1246" s="2"/>
      <c r="O1246" s="2"/>
      <c r="P1246" s="2"/>
      <c r="Q1246" s="2"/>
    </row>
    <row r="1247" spans="1:17" x14ac:dyDescent="0.3">
      <c r="A1247" s="2">
        <v>4946</v>
      </c>
      <c r="B1247" s="2" t="s">
        <v>3240</v>
      </c>
      <c r="C1247" s="2" t="s">
        <v>3241</v>
      </c>
      <c r="D1247" s="2" t="s">
        <v>6002</v>
      </c>
      <c r="E1247" s="2" t="s">
        <v>3242</v>
      </c>
      <c r="F1247" s="2" t="s">
        <v>41</v>
      </c>
      <c r="G1247" s="2" t="s">
        <v>5066</v>
      </c>
      <c r="H1247" s="2" t="s">
        <v>444</v>
      </c>
      <c r="I1247" s="2" t="s">
        <v>4704</v>
      </c>
      <c r="J1247" s="2" t="s">
        <v>4696</v>
      </c>
      <c r="K1247" s="2" t="s">
        <v>4696</v>
      </c>
      <c r="L1247" s="2" t="s">
        <v>4696</v>
      </c>
      <c r="M1247" s="2" t="s">
        <v>4696</v>
      </c>
      <c r="N1247" s="2"/>
      <c r="O1247" s="2"/>
      <c r="P1247" s="2"/>
      <c r="Q1247" s="2"/>
    </row>
    <row r="1248" spans="1:17" x14ac:dyDescent="0.3">
      <c r="A1248" s="2">
        <v>4947</v>
      </c>
      <c r="B1248" s="2" t="s">
        <v>3243</v>
      </c>
      <c r="C1248" s="2" t="s">
        <v>3244</v>
      </c>
      <c r="D1248" s="2" t="s">
        <v>6015</v>
      </c>
      <c r="E1248" s="2" t="s">
        <v>3245</v>
      </c>
      <c r="F1248" s="2" t="s">
        <v>41</v>
      </c>
      <c r="G1248" s="2" t="s">
        <v>5067</v>
      </c>
      <c r="H1248" s="2" t="s">
        <v>404</v>
      </c>
      <c r="I1248" s="2" t="s">
        <v>4727</v>
      </c>
      <c r="J1248" s="2" t="s">
        <v>4696</v>
      </c>
      <c r="K1248" s="2" t="s">
        <v>4696</v>
      </c>
      <c r="L1248" s="2" t="s">
        <v>4696</v>
      </c>
      <c r="M1248" s="2" t="s">
        <v>4696</v>
      </c>
      <c r="N1248" s="2"/>
      <c r="O1248" s="2"/>
      <c r="P1248" s="2"/>
      <c r="Q1248" s="2"/>
    </row>
    <row r="1249" spans="1:17" x14ac:dyDescent="0.3">
      <c r="A1249" s="2">
        <v>4950</v>
      </c>
      <c r="B1249" s="2" t="s">
        <v>3246</v>
      </c>
      <c r="C1249" s="2" t="s">
        <v>3247</v>
      </c>
      <c r="D1249" s="2" t="s">
        <v>6007</v>
      </c>
      <c r="E1249" s="2" t="s">
        <v>3248</v>
      </c>
      <c r="F1249" s="2" t="s">
        <v>41</v>
      </c>
      <c r="G1249" s="2" t="s">
        <v>5068</v>
      </c>
      <c r="H1249" s="2" t="s">
        <v>1063</v>
      </c>
      <c r="I1249" s="2" t="s">
        <v>5069</v>
      </c>
      <c r="J1249" s="2" t="s">
        <v>4696</v>
      </c>
      <c r="K1249" s="2" t="s">
        <v>4696</v>
      </c>
      <c r="L1249" s="2" t="s">
        <v>4696</v>
      </c>
      <c r="M1249" s="2" t="s">
        <v>4696</v>
      </c>
      <c r="N1249" s="2"/>
      <c r="O1249" s="2"/>
      <c r="P1249" s="2"/>
      <c r="Q1249" s="2"/>
    </row>
    <row r="1250" spans="1:17" x14ac:dyDescent="0.3">
      <c r="A1250" s="2">
        <v>4953</v>
      </c>
      <c r="B1250" s="2" t="s">
        <v>3249</v>
      </c>
      <c r="C1250" s="2" t="s">
        <v>3250</v>
      </c>
      <c r="D1250" s="2" t="s">
        <v>6010</v>
      </c>
      <c r="E1250" s="2" t="s">
        <v>6668</v>
      </c>
      <c r="F1250" s="2" t="s">
        <v>41</v>
      </c>
      <c r="G1250" s="2" t="s">
        <v>5070</v>
      </c>
      <c r="H1250" s="2" t="s">
        <v>451</v>
      </c>
      <c r="I1250" s="2" t="s">
        <v>4694</v>
      </c>
      <c r="J1250" s="2" t="s">
        <v>6490</v>
      </c>
      <c r="K1250" s="2" t="s">
        <v>4690</v>
      </c>
      <c r="L1250" s="2" t="s">
        <v>4691</v>
      </c>
      <c r="M1250" s="2" t="s">
        <v>4696</v>
      </c>
      <c r="N1250" s="2"/>
      <c r="O1250" s="2"/>
      <c r="P1250" s="2"/>
      <c r="Q1250" s="2"/>
    </row>
    <row r="1251" spans="1:17" x14ac:dyDescent="0.3">
      <c r="A1251" s="2">
        <v>4965</v>
      </c>
      <c r="B1251" s="2" t="s">
        <v>3251</v>
      </c>
      <c r="C1251" s="2" t="s">
        <v>3252</v>
      </c>
      <c r="D1251" s="2" t="s">
        <v>5999</v>
      </c>
      <c r="E1251" s="2" t="s">
        <v>6669</v>
      </c>
      <c r="F1251" s="2" t="s">
        <v>2</v>
      </c>
      <c r="G1251" s="2" t="s">
        <v>5071</v>
      </c>
      <c r="H1251" s="2" t="s">
        <v>2059</v>
      </c>
      <c r="I1251" s="2" t="s">
        <v>4718</v>
      </c>
      <c r="J1251" s="2" t="s">
        <v>4696</v>
      </c>
      <c r="K1251" s="2" t="s">
        <v>4696</v>
      </c>
      <c r="L1251" s="2" t="s">
        <v>4696</v>
      </c>
      <c r="M1251" s="2" t="s">
        <v>4696</v>
      </c>
      <c r="N1251" s="2"/>
      <c r="O1251" s="2"/>
      <c r="P1251" s="2"/>
      <c r="Q1251" s="2"/>
    </row>
    <row r="1252" spans="1:17" x14ac:dyDescent="0.3">
      <c r="A1252" s="2">
        <v>4966</v>
      </c>
      <c r="B1252" s="2" t="s">
        <v>3253</v>
      </c>
      <c r="C1252" s="2" t="s">
        <v>6670</v>
      </c>
      <c r="D1252" s="2" t="s">
        <v>6000</v>
      </c>
      <c r="E1252" s="2" t="s">
        <v>3254</v>
      </c>
      <c r="F1252" s="2" t="s">
        <v>41</v>
      </c>
      <c r="G1252" s="2" t="s">
        <v>5072</v>
      </c>
      <c r="H1252" s="2" t="s">
        <v>404</v>
      </c>
      <c r="I1252" s="2" t="s">
        <v>4727</v>
      </c>
      <c r="J1252" s="2" t="s">
        <v>4696</v>
      </c>
      <c r="K1252" s="2" t="s">
        <v>4696</v>
      </c>
      <c r="L1252" s="2" t="s">
        <v>4696</v>
      </c>
      <c r="M1252" s="2" t="s">
        <v>4696</v>
      </c>
      <c r="N1252" s="2"/>
      <c r="O1252" s="2"/>
      <c r="P1252" s="2"/>
      <c r="Q1252" s="2"/>
    </row>
    <row r="1253" spans="1:17" x14ac:dyDescent="0.3">
      <c r="A1253" s="2">
        <v>4971</v>
      </c>
      <c r="B1253" s="2" t="s">
        <v>207</v>
      </c>
      <c r="C1253" s="2" t="s">
        <v>6411</v>
      </c>
      <c r="D1253" s="2" t="s">
        <v>6010</v>
      </c>
      <c r="E1253" s="2" t="s">
        <v>3255</v>
      </c>
      <c r="F1253" s="2" t="s">
        <v>2</v>
      </c>
      <c r="G1253" s="2">
        <f>1-9722340068</f>
        <v>-9722340067</v>
      </c>
      <c r="H1253" s="2" t="s">
        <v>404</v>
      </c>
      <c r="I1253" s="2" t="s">
        <v>1</v>
      </c>
      <c r="J1253" s="2" t="s">
        <v>4696</v>
      </c>
      <c r="K1253" s="2" t="s">
        <v>4696</v>
      </c>
      <c r="L1253" s="2" t="s">
        <v>4696</v>
      </c>
      <c r="M1253" s="2" t="s">
        <v>4696</v>
      </c>
      <c r="N1253" s="2"/>
      <c r="O1253" s="2"/>
      <c r="P1253" s="2"/>
      <c r="Q1253" s="2"/>
    </row>
    <row r="1254" spans="1:17" x14ac:dyDescent="0.3">
      <c r="A1254" s="2">
        <v>4972</v>
      </c>
      <c r="B1254" s="2" t="s">
        <v>3256</v>
      </c>
      <c r="C1254" s="2" t="s">
        <v>3257</v>
      </c>
      <c r="D1254" s="2" t="s">
        <v>6037</v>
      </c>
      <c r="E1254" s="2" t="s">
        <v>3258</v>
      </c>
      <c r="F1254" s="2" t="s">
        <v>2</v>
      </c>
      <c r="G1254" s="2" t="s">
        <v>5073</v>
      </c>
      <c r="H1254" s="2" t="s">
        <v>1063</v>
      </c>
      <c r="I1254" s="2" t="s">
        <v>4861</v>
      </c>
      <c r="J1254" s="2" t="s">
        <v>6671</v>
      </c>
      <c r="K1254" s="2" t="s">
        <v>4690</v>
      </c>
      <c r="L1254" s="2" t="s">
        <v>4691</v>
      </c>
      <c r="M1254" s="2" t="s">
        <v>4699</v>
      </c>
      <c r="N1254" s="2"/>
      <c r="O1254" s="2"/>
      <c r="P1254" s="2"/>
      <c r="Q1254" s="2"/>
    </row>
    <row r="1255" spans="1:17" x14ac:dyDescent="0.3">
      <c r="A1255" s="2">
        <v>4973</v>
      </c>
      <c r="B1255" s="2" t="s">
        <v>3259</v>
      </c>
      <c r="C1255" s="2" t="s">
        <v>3260</v>
      </c>
      <c r="D1255" s="2" t="s">
        <v>6000</v>
      </c>
      <c r="E1255" s="2" t="s">
        <v>3261</v>
      </c>
      <c r="F1255" s="2" t="s">
        <v>2</v>
      </c>
      <c r="G1255" s="2" t="s">
        <v>5074</v>
      </c>
      <c r="H1255" s="2" t="s">
        <v>431</v>
      </c>
      <c r="I1255" s="2" t="s">
        <v>4728</v>
      </c>
      <c r="J1255" s="2" t="s">
        <v>4696</v>
      </c>
      <c r="K1255" s="2" t="s">
        <v>4696</v>
      </c>
      <c r="L1255" s="2" t="s">
        <v>4696</v>
      </c>
      <c r="M1255" s="2" t="s">
        <v>2</v>
      </c>
      <c r="N1255" s="2"/>
      <c r="O1255" s="2"/>
      <c r="P1255" s="2"/>
      <c r="Q1255" s="2"/>
    </row>
    <row r="1256" spans="1:17" x14ac:dyDescent="0.3">
      <c r="A1256" s="2">
        <v>4974</v>
      </c>
      <c r="B1256" s="2" t="s">
        <v>3262</v>
      </c>
      <c r="C1256" s="2" t="s">
        <v>3263</v>
      </c>
      <c r="D1256" s="2" t="s">
        <v>6141</v>
      </c>
      <c r="E1256" s="2" t="s">
        <v>3264</v>
      </c>
      <c r="F1256" s="2" t="s">
        <v>41</v>
      </c>
      <c r="G1256" s="2" t="s">
        <v>5075</v>
      </c>
      <c r="H1256" s="2" t="s">
        <v>1105</v>
      </c>
      <c r="I1256" s="2" t="s">
        <v>4697</v>
      </c>
      <c r="J1256" s="2" t="s">
        <v>4696</v>
      </c>
      <c r="K1256" s="2" t="s">
        <v>4696</v>
      </c>
      <c r="L1256" s="2" t="s">
        <v>4696</v>
      </c>
      <c r="M1256" s="2" t="s">
        <v>2</v>
      </c>
      <c r="N1256" s="2"/>
      <c r="O1256" s="2"/>
      <c r="P1256" s="2"/>
      <c r="Q1256" s="2"/>
    </row>
    <row r="1257" spans="1:17" x14ac:dyDescent="0.3">
      <c r="A1257" s="2">
        <v>4979</v>
      </c>
      <c r="B1257" s="2" t="s">
        <v>250</v>
      </c>
      <c r="C1257" s="2" t="s">
        <v>3265</v>
      </c>
      <c r="D1257" s="2" t="s">
        <v>6082</v>
      </c>
      <c r="E1257" s="2" t="s">
        <v>6672</v>
      </c>
      <c r="F1257" s="2" t="s">
        <v>2</v>
      </c>
      <c r="G1257" s="2" t="s">
        <v>5076</v>
      </c>
      <c r="H1257" s="2" t="s">
        <v>465</v>
      </c>
      <c r="I1257" s="2" t="s">
        <v>4712</v>
      </c>
      <c r="J1257" s="2" t="s">
        <v>6673</v>
      </c>
      <c r="K1257" s="2" t="s">
        <v>4690</v>
      </c>
      <c r="L1257" s="2" t="s">
        <v>4691</v>
      </c>
      <c r="M1257" s="2" t="s">
        <v>4699</v>
      </c>
      <c r="N1257" s="2"/>
      <c r="O1257" s="2"/>
      <c r="P1257" s="2"/>
      <c r="Q1257" s="2"/>
    </row>
    <row r="1258" spans="1:17" x14ac:dyDescent="0.3">
      <c r="A1258" s="2">
        <v>4987</v>
      </c>
      <c r="B1258" s="2" t="s">
        <v>3266</v>
      </c>
      <c r="C1258" s="2" t="s">
        <v>3267</v>
      </c>
      <c r="D1258" s="2" t="s">
        <v>6021</v>
      </c>
      <c r="E1258" s="2" t="s">
        <v>6674</v>
      </c>
      <c r="F1258" s="2" t="s">
        <v>41</v>
      </c>
      <c r="G1258" s="2" t="s">
        <v>5077</v>
      </c>
      <c r="H1258" s="2" t="s">
        <v>404</v>
      </c>
      <c r="I1258" s="2" t="s">
        <v>4697</v>
      </c>
      <c r="J1258" s="2" t="s">
        <v>4696</v>
      </c>
      <c r="K1258" s="2" t="s">
        <v>4696</v>
      </c>
      <c r="L1258" s="2" t="s">
        <v>4696</v>
      </c>
      <c r="M1258" s="2" t="s">
        <v>2</v>
      </c>
      <c r="N1258" s="2"/>
      <c r="O1258" s="2"/>
      <c r="P1258" s="2"/>
      <c r="Q1258" s="2"/>
    </row>
    <row r="1259" spans="1:17" x14ac:dyDescent="0.3">
      <c r="A1259" s="2">
        <v>4991</v>
      </c>
      <c r="B1259" s="2" t="s">
        <v>3268</v>
      </c>
      <c r="C1259" s="2" t="s">
        <v>6675</v>
      </c>
      <c r="D1259" s="2" t="s">
        <v>6051</v>
      </c>
      <c r="E1259" s="2" t="s">
        <v>6676</v>
      </c>
      <c r="F1259" s="2" t="s">
        <v>2</v>
      </c>
      <c r="G1259" s="2" t="s">
        <v>5078</v>
      </c>
      <c r="H1259" s="2" t="s">
        <v>404</v>
      </c>
      <c r="I1259" s="2" t="s">
        <v>4700</v>
      </c>
      <c r="J1259" s="2" t="s">
        <v>4696</v>
      </c>
      <c r="K1259" s="2" t="s">
        <v>4696</v>
      </c>
      <c r="L1259" s="2" t="s">
        <v>4696</v>
      </c>
      <c r="M1259" s="2" t="s">
        <v>2</v>
      </c>
      <c r="N1259" s="2"/>
      <c r="O1259" s="2"/>
      <c r="P1259" s="2"/>
      <c r="Q1259" s="2"/>
    </row>
    <row r="1260" spans="1:17" x14ac:dyDescent="0.3">
      <c r="A1260" s="2">
        <v>4995</v>
      </c>
      <c r="B1260" s="2" t="s">
        <v>3269</v>
      </c>
      <c r="C1260" s="2" t="s">
        <v>3270</v>
      </c>
      <c r="D1260" s="2" t="s">
        <v>6034</v>
      </c>
      <c r="E1260" s="2" t="s">
        <v>3271</v>
      </c>
      <c r="F1260" s="2" t="s">
        <v>2</v>
      </c>
      <c r="G1260" s="2" t="s">
        <v>5079</v>
      </c>
      <c r="H1260" s="2" t="s">
        <v>404</v>
      </c>
      <c r="I1260" s="2" t="s">
        <v>4697</v>
      </c>
      <c r="J1260" s="2" t="s">
        <v>4696</v>
      </c>
      <c r="K1260" s="2" t="s">
        <v>4696</v>
      </c>
      <c r="L1260" s="2" t="s">
        <v>4696</v>
      </c>
      <c r="M1260" s="2" t="s">
        <v>2</v>
      </c>
      <c r="N1260" s="2"/>
      <c r="O1260" s="2"/>
      <c r="P1260" s="2"/>
      <c r="Q1260" s="2"/>
    </row>
    <row r="1261" spans="1:17" x14ac:dyDescent="0.3">
      <c r="A1261" s="2">
        <v>5009</v>
      </c>
      <c r="B1261" s="2" t="s">
        <v>278</v>
      </c>
      <c r="C1261" s="2" t="s">
        <v>3272</v>
      </c>
      <c r="D1261" s="2" t="s">
        <v>6000</v>
      </c>
      <c r="E1261" s="2" t="s">
        <v>3273</v>
      </c>
      <c r="F1261" s="2" t="s">
        <v>41</v>
      </c>
      <c r="G1261" s="2" t="s">
        <v>5080</v>
      </c>
      <c r="H1261" s="2" t="s">
        <v>996</v>
      </c>
      <c r="I1261" s="2" t="s">
        <v>4710</v>
      </c>
      <c r="J1261" s="2" t="s">
        <v>6605</v>
      </c>
      <c r="K1261" s="2" t="s">
        <v>4690</v>
      </c>
      <c r="L1261" s="2" t="s">
        <v>4691</v>
      </c>
      <c r="M1261" s="2" t="s">
        <v>4692</v>
      </c>
      <c r="N1261" s="2"/>
      <c r="O1261" s="2"/>
      <c r="P1261" s="2"/>
      <c r="Q1261" s="2"/>
    </row>
    <row r="1262" spans="1:17" x14ac:dyDescent="0.3">
      <c r="A1262" s="2">
        <v>5011</v>
      </c>
      <c r="B1262" s="2" t="s">
        <v>3274</v>
      </c>
      <c r="C1262" s="2" t="s">
        <v>3275</v>
      </c>
      <c r="D1262" s="2" t="s">
        <v>6042</v>
      </c>
      <c r="E1262" s="2" t="s">
        <v>3276</v>
      </c>
      <c r="F1262" s="2" t="s">
        <v>2</v>
      </c>
      <c r="G1262" s="2" t="s">
        <v>5081</v>
      </c>
      <c r="H1262" s="2" t="s">
        <v>996</v>
      </c>
      <c r="I1262" s="2" t="s">
        <v>4710</v>
      </c>
      <c r="J1262" s="2" t="s">
        <v>4696</v>
      </c>
      <c r="K1262" s="2" t="s">
        <v>4696</v>
      </c>
      <c r="L1262" s="2" t="s">
        <v>4696</v>
      </c>
      <c r="M1262" s="2" t="s">
        <v>2</v>
      </c>
      <c r="N1262" s="2"/>
      <c r="O1262" s="2"/>
      <c r="P1262" s="2"/>
      <c r="Q1262" s="2"/>
    </row>
    <row r="1263" spans="1:17" x14ac:dyDescent="0.3">
      <c r="A1263" s="2">
        <v>5013</v>
      </c>
      <c r="B1263" s="2" t="s">
        <v>3277</v>
      </c>
      <c r="C1263" s="2" t="s">
        <v>3278</v>
      </c>
      <c r="D1263" s="2" t="s">
        <v>6024</v>
      </c>
      <c r="E1263" s="2" t="s">
        <v>3279</v>
      </c>
      <c r="F1263" s="2" t="s">
        <v>2</v>
      </c>
      <c r="G1263" s="2" t="s">
        <v>5082</v>
      </c>
      <c r="H1263" s="2" t="s">
        <v>404</v>
      </c>
      <c r="I1263" s="2" t="s">
        <v>4700</v>
      </c>
      <c r="J1263" s="2" t="s">
        <v>4696</v>
      </c>
      <c r="K1263" s="2" t="s">
        <v>4696</v>
      </c>
      <c r="L1263" s="2" t="s">
        <v>4696</v>
      </c>
      <c r="M1263" s="2" t="s">
        <v>2</v>
      </c>
      <c r="N1263" s="2"/>
      <c r="O1263" s="2"/>
      <c r="P1263" s="2"/>
      <c r="Q1263" s="2"/>
    </row>
    <row r="1264" spans="1:17" x14ac:dyDescent="0.3">
      <c r="A1264" s="2">
        <v>5014</v>
      </c>
      <c r="B1264" s="2" t="s">
        <v>3280</v>
      </c>
      <c r="C1264" s="2" t="s">
        <v>6677</v>
      </c>
      <c r="D1264" s="2" t="s">
        <v>6016</v>
      </c>
      <c r="E1264" s="2" t="s">
        <v>3281</v>
      </c>
      <c r="F1264" s="2" t="s">
        <v>2</v>
      </c>
      <c r="G1264" s="2" t="s">
        <v>5083</v>
      </c>
      <c r="H1264" s="2" t="s">
        <v>456</v>
      </c>
      <c r="I1264" s="2" t="s">
        <v>4717</v>
      </c>
      <c r="J1264" s="2" t="s">
        <v>4696</v>
      </c>
      <c r="K1264" s="2" t="s">
        <v>4696</v>
      </c>
      <c r="L1264" s="2" t="s">
        <v>4696</v>
      </c>
      <c r="M1264" s="2" t="s">
        <v>2</v>
      </c>
      <c r="N1264" s="2"/>
      <c r="O1264" s="2"/>
      <c r="P1264" s="2"/>
      <c r="Q1264" s="2"/>
    </row>
    <row r="1265" spans="1:17" x14ac:dyDescent="0.3">
      <c r="A1265" s="2">
        <v>5015</v>
      </c>
      <c r="B1265" s="2" t="s">
        <v>3282</v>
      </c>
      <c r="C1265" s="2" t="s">
        <v>3283</v>
      </c>
      <c r="D1265" s="2" t="s">
        <v>6016</v>
      </c>
      <c r="E1265" s="2" t="s">
        <v>3283</v>
      </c>
      <c r="F1265" s="2" t="s">
        <v>2</v>
      </c>
      <c r="G1265" s="2" t="s">
        <v>5084</v>
      </c>
      <c r="H1265" s="2" t="s">
        <v>451</v>
      </c>
      <c r="I1265" s="2" t="s">
        <v>4694</v>
      </c>
      <c r="J1265" s="2" t="s">
        <v>4696</v>
      </c>
      <c r="K1265" s="2" t="s">
        <v>4696</v>
      </c>
      <c r="L1265" s="2" t="s">
        <v>4696</v>
      </c>
      <c r="M1265" s="2" t="s">
        <v>2</v>
      </c>
      <c r="N1265" s="2"/>
      <c r="O1265" s="2"/>
      <c r="P1265" s="2"/>
      <c r="Q1265" s="2"/>
    </row>
    <row r="1266" spans="1:17" x14ac:dyDescent="0.3">
      <c r="A1266" s="2">
        <v>5016</v>
      </c>
      <c r="B1266" s="2" t="s">
        <v>3284</v>
      </c>
      <c r="C1266" s="2" t="s">
        <v>3285</v>
      </c>
      <c r="D1266" s="2" t="s">
        <v>6141</v>
      </c>
      <c r="E1266" s="2" t="s">
        <v>3286</v>
      </c>
      <c r="F1266" s="2" t="s">
        <v>2</v>
      </c>
      <c r="G1266" s="2" t="s">
        <v>5085</v>
      </c>
      <c r="H1266" s="2" t="s">
        <v>456</v>
      </c>
      <c r="I1266" s="2" t="s">
        <v>4723</v>
      </c>
      <c r="J1266" s="2" t="s">
        <v>4696</v>
      </c>
      <c r="K1266" s="2" t="s">
        <v>4696</v>
      </c>
      <c r="L1266" s="2" t="s">
        <v>4696</v>
      </c>
      <c r="M1266" s="2" t="s">
        <v>2</v>
      </c>
      <c r="N1266" s="2"/>
      <c r="O1266" s="2"/>
      <c r="P1266" s="2"/>
      <c r="Q1266" s="2"/>
    </row>
    <row r="1267" spans="1:17" x14ac:dyDescent="0.3">
      <c r="A1267" s="2">
        <v>5102</v>
      </c>
      <c r="B1267" s="2" t="s">
        <v>3287</v>
      </c>
      <c r="C1267" s="2" t="s">
        <v>3288</v>
      </c>
      <c r="D1267" s="2" t="s">
        <v>6010</v>
      </c>
      <c r="E1267" s="2" t="s">
        <v>6678</v>
      </c>
      <c r="F1267" s="2" t="s">
        <v>2</v>
      </c>
      <c r="G1267" s="2" t="s">
        <v>5086</v>
      </c>
      <c r="H1267" s="2" t="s">
        <v>896</v>
      </c>
      <c r="I1267" s="2" t="s">
        <v>4761</v>
      </c>
      <c r="J1267" s="2" t="s">
        <v>4696</v>
      </c>
      <c r="K1267" s="2" t="s">
        <v>4696</v>
      </c>
      <c r="L1267" s="2" t="s">
        <v>4696</v>
      </c>
      <c r="M1267" s="2" t="s">
        <v>2</v>
      </c>
      <c r="N1267" s="2"/>
      <c r="O1267" s="2"/>
      <c r="P1267" s="2"/>
      <c r="Q1267" s="2"/>
    </row>
    <row r="1268" spans="1:17" x14ac:dyDescent="0.3">
      <c r="A1268" s="2">
        <v>5201</v>
      </c>
      <c r="B1268" s="2" t="s">
        <v>3289</v>
      </c>
      <c r="C1268" s="2" t="s">
        <v>3290</v>
      </c>
      <c r="D1268" s="2" t="s">
        <v>6020</v>
      </c>
      <c r="E1268" s="2" t="s">
        <v>6679</v>
      </c>
      <c r="F1268" s="2" t="s">
        <v>2</v>
      </c>
      <c r="G1268" s="2" t="s">
        <v>5087</v>
      </c>
      <c r="H1268" s="2" t="s">
        <v>3291</v>
      </c>
      <c r="I1268" s="2" t="s">
        <v>4734</v>
      </c>
      <c r="J1268" s="2" t="s">
        <v>4696</v>
      </c>
      <c r="K1268" s="2" t="s">
        <v>4696</v>
      </c>
      <c r="L1268" s="2" t="s">
        <v>4696</v>
      </c>
      <c r="M1268" s="2" t="s">
        <v>4696</v>
      </c>
      <c r="N1268" s="2"/>
      <c r="O1268" s="2"/>
      <c r="P1268" s="2"/>
      <c r="Q1268" s="2"/>
    </row>
    <row r="1269" spans="1:17" x14ac:dyDescent="0.3">
      <c r="A1269" s="2">
        <v>5202</v>
      </c>
      <c r="B1269" s="2" t="s">
        <v>3292</v>
      </c>
      <c r="C1269" s="2" t="s">
        <v>3293</v>
      </c>
      <c r="D1269" s="2" t="s">
        <v>6001</v>
      </c>
      <c r="E1269" s="2" t="s">
        <v>3294</v>
      </c>
      <c r="F1269" s="2" t="s">
        <v>2</v>
      </c>
      <c r="G1269" s="2" t="s">
        <v>5088</v>
      </c>
      <c r="H1269" s="2" t="s">
        <v>431</v>
      </c>
      <c r="I1269" s="2" t="s">
        <v>4693</v>
      </c>
      <c r="J1269" s="2" t="s">
        <v>4696</v>
      </c>
      <c r="K1269" s="2" t="s">
        <v>4696</v>
      </c>
      <c r="L1269" s="2" t="s">
        <v>4696</v>
      </c>
      <c r="M1269" s="2" t="s">
        <v>4696</v>
      </c>
      <c r="N1269" s="2"/>
      <c r="O1269" s="2"/>
      <c r="P1269" s="2"/>
      <c r="Q1269" s="2"/>
    </row>
    <row r="1270" spans="1:17" x14ac:dyDescent="0.3">
      <c r="A1270" s="2">
        <v>5205</v>
      </c>
      <c r="B1270" s="2" t="s">
        <v>3295</v>
      </c>
      <c r="C1270" s="2" t="s">
        <v>3296</v>
      </c>
      <c r="D1270" s="2" t="s">
        <v>6173</v>
      </c>
      <c r="E1270" s="2" t="s">
        <v>3297</v>
      </c>
      <c r="F1270" s="2" t="s">
        <v>41</v>
      </c>
      <c r="G1270" s="2" t="s">
        <v>5089</v>
      </c>
      <c r="H1270" s="2" t="s">
        <v>431</v>
      </c>
      <c r="I1270" s="2" t="s">
        <v>4702</v>
      </c>
      <c r="J1270" s="2" t="s">
        <v>4696</v>
      </c>
      <c r="K1270" s="2" t="s">
        <v>4696</v>
      </c>
      <c r="L1270" s="2" t="s">
        <v>4696</v>
      </c>
      <c r="M1270" s="2" t="s">
        <v>2</v>
      </c>
      <c r="N1270" s="2"/>
      <c r="O1270" s="2"/>
      <c r="P1270" s="2"/>
      <c r="Q1270" s="2"/>
    </row>
    <row r="1271" spans="1:17" x14ac:dyDescent="0.3">
      <c r="A1271" s="2">
        <v>5206</v>
      </c>
      <c r="B1271" s="2" t="s">
        <v>3298</v>
      </c>
      <c r="C1271" s="2" t="s">
        <v>3299</v>
      </c>
      <c r="D1271" s="2" t="s">
        <v>6051</v>
      </c>
      <c r="E1271" s="2" t="s">
        <v>3300</v>
      </c>
      <c r="F1271" s="2" t="s">
        <v>2</v>
      </c>
      <c r="G1271" s="2" t="s">
        <v>5090</v>
      </c>
      <c r="H1271" s="2" t="s">
        <v>2817</v>
      </c>
      <c r="I1271" s="2" t="s">
        <v>4717</v>
      </c>
      <c r="J1271" s="2" t="s">
        <v>6557</v>
      </c>
      <c r="K1271" s="2" t="s">
        <v>4690</v>
      </c>
      <c r="L1271" s="2" t="s">
        <v>4691</v>
      </c>
      <c r="M1271" s="2" t="s">
        <v>4696</v>
      </c>
      <c r="N1271" s="2"/>
      <c r="O1271" s="2"/>
      <c r="P1271" s="2"/>
      <c r="Q1271" s="2"/>
    </row>
    <row r="1272" spans="1:17" x14ac:dyDescent="0.3">
      <c r="A1272" s="2">
        <v>5209</v>
      </c>
      <c r="B1272" s="2" t="s">
        <v>3301</v>
      </c>
      <c r="C1272" s="2" t="s">
        <v>3302</v>
      </c>
      <c r="D1272" s="2" t="s">
        <v>6014</v>
      </c>
      <c r="E1272" s="2" t="s">
        <v>3303</v>
      </c>
      <c r="F1272" s="2" t="s">
        <v>2</v>
      </c>
      <c r="G1272" s="2" t="s">
        <v>5091</v>
      </c>
      <c r="H1272" s="2" t="s">
        <v>451</v>
      </c>
      <c r="I1272" s="2" t="s">
        <v>4724</v>
      </c>
      <c r="J1272" s="2" t="s">
        <v>4696</v>
      </c>
      <c r="K1272" s="2" t="s">
        <v>4696</v>
      </c>
      <c r="L1272" s="2" t="s">
        <v>4696</v>
      </c>
      <c r="M1272" s="2" t="s">
        <v>4696</v>
      </c>
      <c r="N1272" s="2"/>
      <c r="O1272" s="2"/>
      <c r="P1272" s="2"/>
      <c r="Q1272" s="2"/>
    </row>
    <row r="1273" spans="1:17" x14ac:dyDescent="0.3">
      <c r="A1273" s="2">
        <v>5210</v>
      </c>
      <c r="B1273" s="2" t="s">
        <v>249</v>
      </c>
      <c r="C1273" s="2" t="s">
        <v>3304</v>
      </c>
      <c r="D1273" s="2" t="s">
        <v>6004</v>
      </c>
      <c r="E1273" s="2" t="s">
        <v>3305</v>
      </c>
      <c r="F1273" s="2" t="s">
        <v>2</v>
      </c>
      <c r="G1273" s="2" t="s">
        <v>5092</v>
      </c>
      <c r="H1273" s="2" t="s">
        <v>456</v>
      </c>
      <c r="I1273" s="2" t="s">
        <v>26</v>
      </c>
      <c r="J1273" s="2" t="s">
        <v>4696</v>
      </c>
      <c r="K1273" s="2" t="s">
        <v>4696</v>
      </c>
      <c r="L1273" s="2" t="s">
        <v>4696</v>
      </c>
      <c r="M1273" s="2" t="s">
        <v>4696</v>
      </c>
      <c r="N1273" s="2"/>
      <c r="O1273" s="2"/>
      <c r="P1273" s="2"/>
      <c r="Q1273" s="2"/>
    </row>
    <row r="1274" spans="1:17" x14ac:dyDescent="0.3">
      <c r="A1274" s="2">
        <v>5211</v>
      </c>
      <c r="B1274" s="2" t="s">
        <v>3306</v>
      </c>
      <c r="C1274" s="2" t="s">
        <v>3307</v>
      </c>
      <c r="D1274" s="2" t="s">
        <v>6080</v>
      </c>
      <c r="E1274" s="2" t="s">
        <v>3308</v>
      </c>
      <c r="F1274" s="2" t="s">
        <v>2</v>
      </c>
      <c r="G1274" s="2" t="s">
        <v>5093</v>
      </c>
      <c r="H1274" s="2" t="s">
        <v>456</v>
      </c>
      <c r="I1274" s="2" t="s">
        <v>4741</v>
      </c>
      <c r="J1274" s="2" t="s">
        <v>4696</v>
      </c>
      <c r="K1274" s="2" t="s">
        <v>4696</v>
      </c>
      <c r="L1274" s="2" t="s">
        <v>4696</v>
      </c>
      <c r="M1274" s="2" t="s">
        <v>2</v>
      </c>
      <c r="N1274" s="2"/>
      <c r="O1274" s="2"/>
      <c r="P1274" s="2"/>
      <c r="Q1274" s="2"/>
    </row>
    <row r="1275" spans="1:17" x14ac:dyDescent="0.3">
      <c r="A1275" s="2">
        <v>5212</v>
      </c>
      <c r="B1275" s="2" t="s">
        <v>3309</v>
      </c>
      <c r="C1275" s="2" t="s">
        <v>3310</v>
      </c>
      <c r="D1275" s="2" t="s">
        <v>6028</v>
      </c>
      <c r="E1275" s="2" t="s">
        <v>3311</v>
      </c>
      <c r="F1275" s="2" t="s">
        <v>2</v>
      </c>
      <c r="G1275" s="2" t="s">
        <v>5094</v>
      </c>
      <c r="H1275" s="2" t="s">
        <v>653</v>
      </c>
      <c r="I1275" s="2" t="s">
        <v>4733</v>
      </c>
      <c r="J1275" s="2" t="s">
        <v>4696</v>
      </c>
      <c r="K1275" s="2" t="s">
        <v>4696</v>
      </c>
      <c r="L1275" s="2" t="s">
        <v>4696</v>
      </c>
      <c r="M1275" s="2" t="s">
        <v>4696</v>
      </c>
      <c r="N1275" s="2"/>
      <c r="O1275" s="2"/>
      <c r="P1275" s="2"/>
      <c r="Q1275" s="2"/>
    </row>
    <row r="1276" spans="1:17" x14ac:dyDescent="0.3">
      <c r="A1276" s="2">
        <v>5213</v>
      </c>
      <c r="B1276" s="2" t="s">
        <v>3312</v>
      </c>
      <c r="C1276" s="2" t="s">
        <v>3313</v>
      </c>
      <c r="D1276" s="2" t="s">
        <v>6141</v>
      </c>
      <c r="E1276" s="2" t="s">
        <v>6680</v>
      </c>
      <c r="F1276" s="2" t="s">
        <v>2</v>
      </c>
      <c r="G1276" s="2" t="s">
        <v>5095</v>
      </c>
      <c r="H1276" s="2" t="s">
        <v>431</v>
      </c>
      <c r="I1276" s="2" t="s">
        <v>4728</v>
      </c>
      <c r="J1276" s="2" t="s">
        <v>4696</v>
      </c>
      <c r="K1276" s="2" t="s">
        <v>4696</v>
      </c>
      <c r="L1276" s="2" t="s">
        <v>4696</v>
      </c>
      <c r="M1276" s="2" t="s">
        <v>2</v>
      </c>
      <c r="N1276" s="2"/>
      <c r="O1276" s="2"/>
      <c r="P1276" s="2"/>
      <c r="Q1276" s="2"/>
    </row>
    <row r="1277" spans="1:17" x14ac:dyDescent="0.3">
      <c r="A1277" s="2">
        <v>5227</v>
      </c>
      <c r="B1277" s="2" t="s">
        <v>3314</v>
      </c>
      <c r="C1277" s="2" t="s">
        <v>3315</v>
      </c>
      <c r="D1277" s="2" t="s">
        <v>6001</v>
      </c>
      <c r="E1277" s="2" t="s">
        <v>6681</v>
      </c>
      <c r="F1277" s="2" t="s">
        <v>2</v>
      </c>
      <c r="G1277" s="2" t="s">
        <v>5096</v>
      </c>
      <c r="H1277" s="2" t="s">
        <v>431</v>
      </c>
      <c r="I1277" s="2" t="s">
        <v>4728</v>
      </c>
      <c r="J1277" s="2" t="s">
        <v>4696</v>
      </c>
      <c r="K1277" s="2" t="s">
        <v>4696</v>
      </c>
      <c r="L1277" s="2" t="s">
        <v>4696</v>
      </c>
      <c r="M1277" s="2" t="s">
        <v>4696</v>
      </c>
      <c r="N1277" s="2"/>
      <c r="O1277" s="2"/>
      <c r="P1277" s="2"/>
      <c r="Q1277" s="2"/>
    </row>
    <row r="1278" spans="1:17" x14ac:dyDescent="0.3">
      <c r="A1278" s="2">
        <v>5230</v>
      </c>
      <c r="B1278" s="2" t="s">
        <v>3316</v>
      </c>
      <c r="C1278" s="2" t="s">
        <v>3317</v>
      </c>
      <c r="D1278" s="2" t="s">
        <v>6034</v>
      </c>
      <c r="E1278" s="2" t="s">
        <v>3318</v>
      </c>
      <c r="F1278" s="2" t="s">
        <v>41</v>
      </c>
      <c r="G1278" s="2" t="s">
        <v>5097</v>
      </c>
      <c r="H1278" s="2" t="s">
        <v>582</v>
      </c>
      <c r="I1278" s="2" t="s">
        <v>4698</v>
      </c>
      <c r="J1278" s="2" t="s">
        <v>4696</v>
      </c>
      <c r="K1278" s="2" t="s">
        <v>4696</v>
      </c>
      <c r="L1278" s="2" t="s">
        <v>4696</v>
      </c>
      <c r="M1278" s="2" t="s">
        <v>2</v>
      </c>
      <c r="N1278" s="2"/>
      <c r="O1278" s="2"/>
      <c r="P1278" s="2"/>
      <c r="Q1278" s="2"/>
    </row>
    <row r="1279" spans="1:17" x14ac:dyDescent="0.3">
      <c r="A1279" s="2">
        <v>5245</v>
      </c>
      <c r="B1279" s="2" t="s">
        <v>4431</v>
      </c>
      <c r="C1279" s="2" t="s">
        <v>4432</v>
      </c>
      <c r="D1279" s="2" t="s">
        <v>6015</v>
      </c>
      <c r="E1279" s="2" t="s">
        <v>6682</v>
      </c>
      <c r="F1279" s="2" t="s">
        <v>2</v>
      </c>
      <c r="G1279" s="2" t="s">
        <v>5421</v>
      </c>
      <c r="H1279" s="2" t="s">
        <v>1097</v>
      </c>
      <c r="I1279" s="2" t="s">
        <v>4722</v>
      </c>
      <c r="J1279" s="2" t="s">
        <v>4696</v>
      </c>
      <c r="K1279" s="2" t="s">
        <v>4696</v>
      </c>
      <c r="L1279" s="2" t="s">
        <v>4696</v>
      </c>
      <c r="M1279" s="2" t="s">
        <v>4696</v>
      </c>
      <c r="N1279" s="2"/>
      <c r="O1279" s="2"/>
      <c r="P1279" s="2"/>
      <c r="Q1279" s="2"/>
    </row>
    <row r="1280" spans="1:17" x14ac:dyDescent="0.3">
      <c r="A1280" s="2">
        <v>5251</v>
      </c>
      <c r="B1280" s="2" t="s">
        <v>86</v>
      </c>
      <c r="C1280" s="2" t="s">
        <v>3319</v>
      </c>
      <c r="D1280" s="2" t="s">
        <v>6016</v>
      </c>
      <c r="E1280" s="2" t="s">
        <v>3320</v>
      </c>
      <c r="F1280" s="2" t="s">
        <v>2</v>
      </c>
      <c r="G1280" s="2" t="s">
        <v>5098</v>
      </c>
      <c r="H1280" s="2" t="s">
        <v>404</v>
      </c>
      <c r="I1280" s="2" t="s">
        <v>4700</v>
      </c>
      <c r="J1280" s="2" t="s">
        <v>4696</v>
      </c>
      <c r="K1280" s="2" t="s">
        <v>4696</v>
      </c>
      <c r="L1280" s="2" t="s">
        <v>4696</v>
      </c>
      <c r="M1280" s="2" t="s">
        <v>2</v>
      </c>
      <c r="N1280" s="2"/>
      <c r="O1280" s="2"/>
      <c r="P1280" s="2"/>
      <c r="Q1280" s="2"/>
    </row>
    <row r="1281" spans="1:17" x14ac:dyDescent="0.3">
      <c r="A1281" s="2">
        <v>5255</v>
      </c>
      <c r="B1281" s="2" t="s">
        <v>3321</v>
      </c>
      <c r="C1281" s="2" t="s">
        <v>3322</v>
      </c>
      <c r="D1281" s="2" t="s">
        <v>6021</v>
      </c>
      <c r="E1281" s="2" t="s">
        <v>3322</v>
      </c>
      <c r="F1281" s="2" t="s">
        <v>2</v>
      </c>
      <c r="G1281" s="2" t="s">
        <v>5099</v>
      </c>
      <c r="H1281" s="2" t="s">
        <v>2994</v>
      </c>
      <c r="I1281" s="2" t="s">
        <v>4723</v>
      </c>
      <c r="J1281" s="2" t="s">
        <v>4696</v>
      </c>
      <c r="K1281" s="2" t="s">
        <v>4696</v>
      </c>
      <c r="L1281" s="2" t="s">
        <v>4696</v>
      </c>
      <c r="M1281" s="2" t="s">
        <v>2</v>
      </c>
      <c r="N1281" s="2"/>
      <c r="O1281" s="2"/>
      <c r="P1281" s="2"/>
      <c r="Q1281" s="2"/>
    </row>
    <row r="1282" spans="1:17" x14ac:dyDescent="0.3">
      <c r="A1282" s="2">
        <v>5263</v>
      </c>
      <c r="B1282" s="2" t="s">
        <v>3323</v>
      </c>
      <c r="C1282" s="2" t="s">
        <v>3324</v>
      </c>
      <c r="D1282" s="2" t="s">
        <v>6037</v>
      </c>
      <c r="E1282" s="2" t="s">
        <v>6683</v>
      </c>
      <c r="F1282" s="2" t="s">
        <v>41</v>
      </c>
      <c r="G1282" s="2" t="s">
        <v>5100</v>
      </c>
      <c r="H1282" s="2" t="s">
        <v>2817</v>
      </c>
      <c r="I1282" s="2" t="s">
        <v>4723</v>
      </c>
      <c r="J1282" s="2" t="s">
        <v>4696</v>
      </c>
      <c r="K1282" s="2" t="s">
        <v>4696</v>
      </c>
      <c r="L1282" s="2" t="s">
        <v>4696</v>
      </c>
      <c r="M1282" s="2" t="s">
        <v>2</v>
      </c>
      <c r="N1282" s="2"/>
      <c r="O1282" s="2"/>
      <c r="P1282" s="2"/>
      <c r="Q1282" s="2"/>
    </row>
    <row r="1283" spans="1:17" x14ac:dyDescent="0.3">
      <c r="A1283" s="2">
        <v>5272</v>
      </c>
      <c r="B1283" s="2" t="s">
        <v>49</v>
      </c>
      <c r="C1283" s="2" t="s">
        <v>3325</v>
      </c>
      <c r="D1283" s="2" t="s">
        <v>6031</v>
      </c>
      <c r="E1283" s="2" t="s">
        <v>3326</v>
      </c>
      <c r="F1283" s="2" t="s">
        <v>2</v>
      </c>
      <c r="G1283" s="2" t="s">
        <v>5101</v>
      </c>
      <c r="H1283" s="2" t="s">
        <v>653</v>
      </c>
      <c r="I1283" s="2" t="s">
        <v>4736</v>
      </c>
      <c r="J1283" s="2" t="s">
        <v>4696</v>
      </c>
      <c r="K1283" s="2" t="s">
        <v>4696</v>
      </c>
      <c r="L1283" s="2" t="s">
        <v>4696</v>
      </c>
      <c r="M1283" s="2" t="s">
        <v>2</v>
      </c>
      <c r="N1283" s="2"/>
      <c r="O1283" s="2"/>
      <c r="P1283" s="2"/>
      <c r="Q1283" s="2"/>
    </row>
    <row r="1284" spans="1:17" x14ac:dyDescent="0.3">
      <c r="A1284" s="2">
        <v>5274</v>
      </c>
      <c r="B1284" s="2" t="s">
        <v>3327</v>
      </c>
      <c r="C1284" s="2" t="s">
        <v>3328</v>
      </c>
      <c r="D1284" s="2" t="s">
        <v>6014</v>
      </c>
      <c r="E1284" s="2" t="s">
        <v>3329</v>
      </c>
      <c r="F1284" s="2" t="s">
        <v>2</v>
      </c>
      <c r="G1284" s="2" t="s">
        <v>5102</v>
      </c>
      <c r="H1284" s="2" t="s">
        <v>404</v>
      </c>
      <c r="I1284" s="2" t="s">
        <v>4700</v>
      </c>
      <c r="J1284" s="2" t="s">
        <v>4696</v>
      </c>
      <c r="K1284" s="2" t="s">
        <v>4696</v>
      </c>
      <c r="L1284" s="2" t="s">
        <v>4696</v>
      </c>
      <c r="M1284" s="2" t="s">
        <v>4696</v>
      </c>
      <c r="N1284" s="2"/>
      <c r="O1284" s="2"/>
      <c r="P1284" s="2"/>
      <c r="Q1284" s="2"/>
    </row>
    <row r="1285" spans="1:17" x14ac:dyDescent="0.3">
      <c r="A1285" s="2">
        <v>5276</v>
      </c>
      <c r="B1285" s="2" t="s">
        <v>3330</v>
      </c>
      <c r="C1285" s="2" t="s">
        <v>6684</v>
      </c>
      <c r="D1285" s="2" t="s">
        <v>6015</v>
      </c>
      <c r="E1285" s="2" t="s">
        <v>6685</v>
      </c>
      <c r="F1285" s="2" t="s">
        <v>2</v>
      </c>
      <c r="G1285" s="2" t="s">
        <v>5103</v>
      </c>
      <c r="H1285" s="2" t="s">
        <v>806</v>
      </c>
      <c r="I1285" s="2" t="s">
        <v>5104</v>
      </c>
      <c r="J1285" s="2" t="s">
        <v>4696</v>
      </c>
      <c r="K1285" s="2" t="s">
        <v>4696</v>
      </c>
      <c r="L1285" s="2" t="s">
        <v>4696</v>
      </c>
      <c r="M1285" s="2" t="s">
        <v>4696</v>
      </c>
      <c r="N1285" s="2"/>
      <c r="O1285" s="2"/>
      <c r="P1285" s="2"/>
      <c r="Q1285" s="2"/>
    </row>
    <row r="1286" spans="1:17" x14ac:dyDescent="0.3">
      <c r="A1286" s="2">
        <v>5278</v>
      </c>
      <c r="B1286" s="2" t="s">
        <v>3331</v>
      </c>
      <c r="C1286" s="2" t="s">
        <v>3332</v>
      </c>
      <c r="D1286" s="2" t="s">
        <v>5999</v>
      </c>
      <c r="E1286" s="2" t="s">
        <v>3333</v>
      </c>
      <c r="F1286" s="2" t="s">
        <v>2</v>
      </c>
      <c r="G1286" s="2" t="s">
        <v>5105</v>
      </c>
      <c r="H1286" s="2" t="s">
        <v>2059</v>
      </c>
      <c r="I1286" s="2" t="s">
        <v>4718</v>
      </c>
      <c r="J1286" s="2" t="s">
        <v>4696</v>
      </c>
      <c r="K1286" s="2" t="s">
        <v>4696</v>
      </c>
      <c r="L1286" s="2" t="s">
        <v>4696</v>
      </c>
      <c r="M1286" s="2" t="s">
        <v>4696</v>
      </c>
      <c r="N1286" s="2"/>
      <c r="O1286" s="2"/>
      <c r="P1286" s="2"/>
      <c r="Q1286" s="2"/>
    </row>
    <row r="1287" spans="1:17" x14ac:dyDescent="0.3">
      <c r="A1287" s="2"/>
      <c r="B1287" s="2"/>
      <c r="C1287" s="2"/>
      <c r="D1287" s="2"/>
      <c r="E1287" s="2"/>
      <c r="F1287" s="2"/>
      <c r="G1287" s="2"/>
      <c r="H1287" s="2"/>
      <c r="I1287" s="2"/>
      <c r="J1287" s="2"/>
      <c r="K1287" s="2"/>
      <c r="L1287" s="2"/>
      <c r="M1287" s="2"/>
      <c r="N1287" s="2"/>
      <c r="O1287" s="2"/>
      <c r="P1287" s="2"/>
      <c r="Q1287" s="2"/>
    </row>
    <row r="1288" spans="1:17" x14ac:dyDescent="0.3">
      <c r="A1288" s="2">
        <v>5281</v>
      </c>
      <c r="B1288" s="2" t="s">
        <v>6686</v>
      </c>
      <c r="C1288" s="2" t="s">
        <v>6687</v>
      </c>
      <c r="D1288" s="2" t="s">
        <v>6020</v>
      </c>
      <c r="E1288" s="2" t="s">
        <v>6688</v>
      </c>
      <c r="F1288" s="2" t="s">
        <v>2</v>
      </c>
      <c r="G1288" s="2" t="s">
        <v>6689</v>
      </c>
      <c r="H1288" s="2" t="s">
        <v>465</v>
      </c>
      <c r="I1288" s="2" t="s">
        <v>4744</v>
      </c>
      <c r="J1288" s="2" t="s">
        <v>6600</v>
      </c>
      <c r="K1288" s="2" t="s">
        <v>4690</v>
      </c>
      <c r="L1288" s="2" t="s">
        <v>4691</v>
      </c>
      <c r="M1288" s="2" t="s">
        <v>4696</v>
      </c>
      <c r="N1288" s="2"/>
      <c r="O1288" s="2"/>
      <c r="P1288" s="2"/>
      <c r="Q1288" s="2"/>
    </row>
    <row r="1289" spans="1:17" x14ac:dyDescent="0.3">
      <c r="A1289" s="2">
        <v>5284</v>
      </c>
      <c r="B1289" s="2" t="s">
        <v>3334</v>
      </c>
      <c r="C1289" s="2" t="s">
        <v>3335</v>
      </c>
      <c r="D1289" s="2" t="s">
        <v>6004</v>
      </c>
      <c r="E1289" s="2" t="s">
        <v>6690</v>
      </c>
      <c r="F1289" s="2" t="s">
        <v>41</v>
      </c>
      <c r="G1289" s="2" t="s">
        <v>5106</v>
      </c>
      <c r="H1289" s="2" t="s">
        <v>3336</v>
      </c>
      <c r="I1289" s="2" t="s">
        <v>4761</v>
      </c>
      <c r="J1289" s="2" t="s">
        <v>4696</v>
      </c>
      <c r="K1289" s="2" t="s">
        <v>4696</v>
      </c>
      <c r="L1289" s="2" t="s">
        <v>4696</v>
      </c>
      <c r="M1289" s="2" t="s">
        <v>4696</v>
      </c>
      <c r="N1289" s="2"/>
      <c r="O1289" s="2"/>
      <c r="P1289" s="2"/>
      <c r="Q1289" s="2"/>
    </row>
    <row r="1290" spans="1:17" x14ac:dyDescent="0.3">
      <c r="A1290" s="2">
        <v>5287</v>
      </c>
      <c r="B1290" s="2" t="s">
        <v>3337</v>
      </c>
      <c r="C1290" s="2" t="s">
        <v>6691</v>
      </c>
      <c r="D1290" s="2" t="s">
        <v>6028</v>
      </c>
      <c r="E1290" s="2" t="s">
        <v>3338</v>
      </c>
      <c r="F1290" s="2" t="s">
        <v>2</v>
      </c>
      <c r="G1290" s="2" t="s">
        <v>5107</v>
      </c>
      <c r="H1290" s="2" t="s">
        <v>431</v>
      </c>
      <c r="I1290" s="2" t="s">
        <v>4739</v>
      </c>
      <c r="J1290" s="2" t="s">
        <v>4696</v>
      </c>
      <c r="K1290" s="2" t="s">
        <v>4696</v>
      </c>
      <c r="L1290" s="2" t="s">
        <v>4696</v>
      </c>
      <c r="M1290" s="2" t="s">
        <v>4696</v>
      </c>
      <c r="N1290" s="2"/>
      <c r="O1290" s="2"/>
      <c r="P1290" s="2"/>
      <c r="Q1290" s="2"/>
    </row>
    <row r="1291" spans="1:17" x14ac:dyDescent="0.3">
      <c r="A1291" s="2">
        <v>5289</v>
      </c>
      <c r="B1291" s="2" t="s">
        <v>3339</v>
      </c>
      <c r="C1291" s="2" t="s">
        <v>3340</v>
      </c>
      <c r="D1291" s="2" t="s">
        <v>6025</v>
      </c>
      <c r="E1291" s="2" t="s">
        <v>3341</v>
      </c>
      <c r="F1291" s="2" t="s">
        <v>2</v>
      </c>
      <c r="G1291" s="2" t="s">
        <v>5108</v>
      </c>
      <c r="H1291" s="2" t="s">
        <v>451</v>
      </c>
      <c r="I1291" s="2" t="s">
        <v>4694</v>
      </c>
      <c r="J1291" s="2" t="s">
        <v>4696</v>
      </c>
      <c r="K1291" s="2" t="s">
        <v>4696</v>
      </c>
      <c r="L1291" s="2" t="s">
        <v>4696</v>
      </c>
      <c r="M1291" s="2" t="s">
        <v>2</v>
      </c>
      <c r="N1291" s="2"/>
      <c r="O1291" s="2"/>
      <c r="P1291" s="2"/>
      <c r="Q1291" s="2"/>
    </row>
    <row r="1292" spans="1:17" x14ac:dyDescent="0.3">
      <c r="A1292" s="2">
        <v>5291</v>
      </c>
      <c r="B1292" s="2" t="s">
        <v>3342</v>
      </c>
      <c r="C1292" s="2" t="s">
        <v>3343</v>
      </c>
      <c r="D1292" s="2" t="s">
        <v>6004</v>
      </c>
      <c r="E1292" s="2" t="s">
        <v>3344</v>
      </c>
      <c r="F1292" s="2" t="s">
        <v>41</v>
      </c>
      <c r="G1292" s="2" t="s">
        <v>5109</v>
      </c>
      <c r="H1292" s="2" t="s">
        <v>431</v>
      </c>
      <c r="I1292" s="2" t="s">
        <v>4729</v>
      </c>
      <c r="J1292" s="2" t="s">
        <v>4696</v>
      </c>
      <c r="K1292" s="2" t="s">
        <v>4696</v>
      </c>
      <c r="L1292" s="2" t="s">
        <v>4696</v>
      </c>
      <c r="M1292" s="2" t="s">
        <v>4696</v>
      </c>
      <c r="N1292" s="2"/>
      <c r="O1292" s="2"/>
      <c r="P1292" s="2"/>
      <c r="Q1292" s="2"/>
    </row>
    <row r="1293" spans="1:17" x14ac:dyDescent="0.3">
      <c r="A1293" s="2">
        <v>5301</v>
      </c>
      <c r="B1293" s="2" t="s">
        <v>3345</v>
      </c>
      <c r="C1293" s="2" t="s">
        <v>3346</v>
      </c>
      <c r="D1293" s="2" t="s">
        <v>5999</v>
      </c>
      <c r="E1293" s="2" t="s">
        <v>3347</v>
      </c>
      <c r="F1293" s="2" t="s">
        <v>41</v>
      </c>
      <c r="G1293" s="2" t="s">
        <v>5110</v>
      </c>
      <c r="H1293" s="2" t="s">
        <v>478</v>
      </c>
      <c r="I1293" s="2" t="s">
        <v>4706</v>
      </c>
      <c r="J1293" s="2" t="s">
        <v>4696</v>
      </c>
      <c r="K1293" s="2" t="s">
        <v>4696</v>
      </c>
      <c r="L1293" s="2" t="s">
        <v>4696</v>
      </c>
      <c r="M1293" s="2" t="s">
        <v>4696</v>
      </c>
      <c r="N1293" s="2"/>
      <c r="O1293" s="2"/>
      <c r="P1293" s="2"/>
      <c r="Q1293" s="2"/>
    </row>
    <row r="1294" spans="1:17" x14ac:dyDescent="0.3">
      <c r="A1294" s="2">
        <v>5302</v>
      </c>
      <c r="B1294" s="2" t="s">
        <v>3348</v>
      </c>
      <c r="C1294" s="2" t="s">
        <v>3349</v>
      </c>
      <c r="D1294" s="2" t="s">
        <v>6007</v>
      </c>
      <c r="E1294" s="2" t="s">
        <v>3350</v>
      </c>
      <c r="F1294" s="2" t="s">
        <v>2</v>
      </c>
      <c r="G1294" s="2" t="s">
        <v>5111</v>
      </c>
      <c r="H1294" s="2" t="s">
        <v>431</v>
      </c>
      <c r="I1294" s="2" t="s">
        <v>4764</v>
      </c>
      <c r="J1294" s="2" t="s">
        <v>4696</v>
      </c>
      <c r="K1294" s="2" t="s">
        <v>4696</v>
      </c>
      <c r="L1294" s="2" t="s">
        <v>4696</v>
      </c>
      <c r="M1294" s="2" t="s">
        <v>4696</v>
      </c>
      <c r="N1294" s="2"/>
      <c r="O1294" s="2"/>
      <c r="P1294" s="2"/>
      <c r="Q1294" s="2"/>
    </row>
    <row r="1295" spans="1:17" x14ac:dyDescent="0.3">
      <c r="A1295" s="2">
        <v>5304</v>
      </c>
      <c r="B1295" s="2" t="s">
        <v>3351</v>
      </c>
      <c r="C1295" s="2" t="s">
        <v>3352</v>
      </c>
      <c r="D1295" s="2" t="s">
        <v>6007</v>
      </c>
      <c r="E1295" s="2" t="s">
        <v>3353</v>
      </c>
      <c r="F1295" s="2" t="s">
        <v>2</v>
      </c>
      <c r="G1295" s="2">
        <v>77158588</v>
      </c>
      <c r="H1295" s="2" t="s">
        <v>469</v>
      </c>
      <c r="I1295" s="2" t="s">
        <v>4754</v>
      </c>
      <c r="J1295" s="2" t="s">
        <v>4696</v>
      </c>
      <c r="K1295" s="2" t="s">
        <v>4696</v>
      </c>
      <c r="L1295" s="2" t="s">
        <v>4696</v>
      </c>
      <c r="M1295" s="2" t="s">
        <v>4696</v>
      </c>
      <c r="N1295" s="2"/>
      <c r="O1295" s="2"/>
      <c r="P1295" s="2"/>
      <c r="Q1295" s="2"/>
    </row>
    <row r="1296" spans="1:17" x14ac:dyDescent="0.3">
      <c r="A1296" s="2">
        <v>5306</v>
      </c>
      <c r="B1296" s="2" t="s">
        <v>3354</v>
      </c>
      <c r="C1296" s="2" t="s">
        <v>3355</v>
      </c>
      <c r="D1296" s="2" t="s">
        <v>6010</v>
      </c>
      <c r="E1296" s="2" t="s">
        <v>3356</v>
      </c>
      <c r="F1296" s="2" t="s">
        <v>2</v>
      </c>
      <c r="G1296" s="2" t="s">
        <v>5112</v>
      </c>
      <c r="H1296" s="2" t="s">
        <v>2021</v>
      </c>
      <c r="I1296" s="2" t="s">
        <v>1</v>
      </c>
      <c r="J1296" s="2" t="s">
        <v>4696</v>
      </c>
      <c r="K1296" s="2" t="s">
        <v>4696</v>
      </c>
      <c r="L1296" s="2" t="s">
        <v>4696</v>
      </c>
      <c r="M1296" s="2" t="s">
        <v>2</v>
      </c>
      <c r="N1296" s="2"/>
      <c r="O1296" s="2"/>
      <c r="P1296" s="2"/>
      <c r="Q1296" s="2"/>
    </row>
    <row r="1297" spans="1:17" x14ac:dyDescent="0.3">
      <c r="A1297" s="2">
        <v>5309</v>
      </c>
      <c r="B1297" s="2" t="s">
        <v>3357</v>
      </c>
      <c r="C1297" s="2" t="s">
        <v>3358</v>
      </c>
      <c r="D1297" s="2" t="s">
        <v>6004</v>
      </c>
      <c r="E1297" s="2" t="s">
        <v>6692</v>
      </c>
      <c r="F1297" s="2" t="s">
        <v>2</v>
      </c>
      <c r="G1297" s="2" t="s">
        <v>5113</v>
      </c>
      <c r="H1297" s="2" t="s">
        <v>556</v>
      </c>
      <c r="I1297" s="2" t="s">
        <v>6450</v>
      </c>
      <c r="J1297" s="2" t="s">
        <v>6537</v>
      </c>
      <c r="K1297" s="2" t="s">
        <v>4690</v>
      </c>
      <c r="L1297" s="2" t="s">
        <v>4691</v>
      </c>
      <c r="M1297" s="2" t="s">
        <v>4692</v>
      </c>
      <c r="N1297" s="2"/>
      <c r="O1297" s="2"/>
      <c r="P1297" s="2"/>
      <c r="Q1297" s="2"/>
    </row>
    <row r="1298" spans="1:17" x14ac:dyDescent="0.3">
      <c r="A1298" s="2">
        <v>5310</v>
      </c>
      <c r="B1298" s="2" t="s">
        <v>3359</v>
      </c>
      <c r="C1298" s="2" t="s">
        <v>3360</v>
      </c>
      <c r="D1298" s="2" t="s">
        <v>6141</v>
      </c>
      <c r="E1298" s="2" t="s">
        <v>3361</v>
      </c>
      <c r="F1298" s="2" t="s">
        <v>2</v>
      </c>
      <c r="G1298" s="2">
        <v>66089000</v>
      </c>
      <c r="H1298" s="2" t="s">
        <v>574</v>
      </c>
      <c r="I1298" s="2" t="s">
        <v>4732</v>
      </c>
      <c r="J1298" s="2" t="s">
        <v>4696</v>
      </c>
      <c r="K1298" s="2" t="s">
        <v>4696</v>
      </c>
      <c r="L1298" s="2" t="s">
        <v>4696</v>
      </c>
      <c r="M1298" s="2" t="s">
        <v>2</v>
      </c>
      <c r="N1298" s="2"/>
      <c r="O1298" s="2"/>
      <c r="P1298" s="2"/>
      <c r="Q1298" s="2"/>
    </row>
    <row r="1299" spans="1:17" x14ac:dyDescent="0.3">
      <c r="A1299" s="2">
        <v>5312</v>
      </c>
      <c r="B1299" s="2" t="s">
        <v>3362</v>
      </c>
      <c r="C1299" s="2" t="s">
        <v>3363</v>
      </c>
      <c r="D1299" s="2" t="s">
        <v>5999</v>
      </c>
      <c r="E1299" s="2" t="s">
        <v>3364</v>
      </c>
      <c r="F1299" s="2" t="s">
        <v>2</v>
      </c>
      <c r="G1299" s="2">
        <v>26984268</v>
      </c>
      <c r="H1299" s="2" t="s">
        <v>1587</v>
      </c>
      <c r="I1299" s="2">
        <v>27686668</v>
      </c>
      <c r="J1299" s="2" t="s">
        <v>4696</v>
      </c>
      <c r="K1299" s="2" t="s">
        <v>4696</v>
      </c>
      <c r="L1299" s="2" t="s">
        <v>4696</v>
      </c>
      <c r="M1299" s="2" t="s">
        <v>4696</v>
      </c>
      <c r="N1299" s="2"/>
      <c r="O1299" s="2"/>
      <c r="P1299" s="2"/>
      <c r="Q1299" s="2"/>
    </row>
    <row r="1300" spans="1:17" x14ac:dyDescent="0.3">
      <c r="A1300" s="2">
        <v>5314</v>
      </c>
      <c r="B1300" s="2" t="s">
        <v>3365</v>
      </c>
      <c r="C1300" s="2" t="s">
        <v>3366</v>
      </c>
      <c r="D1300" s="2" t="s">
        <v>6024</v>
      </c>
      <c r="E1300" s="2" t="s">
        <v>3367</v>
      </c>
      <c r="F1300" s="2" t="s">
        <v>2</v>
      </c>
      <c r="G1300" s="2" t="s">
        <v>5114</v>
      </c>
      <c r="H1300" s="2" t="s">
        <v>6006</v>
      </c>
      <c r="I1300" s="2" t="s">
        <v>4698</v>
      </c>
      <c r="J1300" s="2" t="s">
        <v>4696</v>
      </c>
      <c r="K1300" s="2" t="s">
        <v>4696</v>
      </c>
      <c r="L1300" s="2" t="s">
        <v>4696</v>
      </c>
      <c r="M1300" s="2" t="s">
        <v>2</v>
      </c>
      <c r="N1300" s="2"/>
      <c r="O1300" s="2"/>
      <c r="P1300" s="2"/>
      <c r="Q1300" s="2"/>
    </row>
    <row r="1301" spans="1:17" x14ac:dyDescent="0.3">
      <c r="A1301" s="2">
        <v>5315</v>
      </c>
      <c r="B1301" s="2" t="s">
        <v>3368</v>
      </c>
      <c r="C1301" s="2" t="s">
        <v>3369</v>
      </c>
      <c r="D1301" s="2" t="s">
        <v>6173</v>
      </c>
      <c r="E1301" s="2" t="s">
        <v>3370</v>
      </c>
      <c r="F1301" s="2" t="s">
        <v>2</v>
      </c>
      <c r="G1301" s="2" t="s">
        <v>5115</v>
      </c>
      <c r="H1301" s="2" t="s">
        <v>465</v>
      </c>
      <c r="I1301" s="2" t="s">
        <v>4707</v>
      </c>
      <c r="J1301" s="2" t="s">
        <v>4696</v>
      </c>
      <c r="K1301" s="2" t="s">
        <v>4696</v>
      </c>
      <c r="L1301" s="2" t="s">
        <v>4696</v>
      </c>
      <c r="M1301" s="2" t="s">
        <v>2</v>
      </c>
      <c r="N1301" s="2"/>
      <c r="O1301" s="2"/>
      <c r="P1301" s="2"/>
      <c r="Q1301" s="2"/>
    </row>
    <row r="1302" spans="1:17" x14ac:dyDescent="0.3">
      <c r="A1302" s="2">
        <v>5317</v>
      </c>
      <c r="B1302" s="2" t="s">
        <v>3371</v>
      </c>
      <c r="C1302" s="2" t="s">
        <v>3372</v>
      </c>
      <c r="D1302" s="2" t="s">
        <v>6028</v>
      </c>
      <c r="E1302" s="2" t="s">
        <v>3372</v>
      </c>
      <c r="F1302" s="2" t="s">
        <v>41</v>
      </c>
      <c r="G1302" s="2">
        <v>26981010</v>
      </c>
      <c r="H1302" s="2" t="s">
        <v>6006</v>
      </c>
      <c r="I1302" s="2" t="s">
        <v>4725</v>
      </c>
      <c r="J1302" s="2" t="s">
        <v>4696</v>
      </c>
      <c r="K1302" s="2" t="s">
        <v>4696</v>
      </c>
      <c r="L1302" s="2" t="s">
        <v>4696</v>
      </c>
      <c r="M1302" s="2" t="s">
        <v>2</v>
      </c>
      <c r="N1302" s="2"/>
      <c r="O1302" s="2"/>
      <c r="P1302" s="2"/>
      <c r="Q1302" s="2"/>
    </row>
    <row r="1303" spans="1:17" x14ac:dyDescent="0.3">
      <c r="A1303" s="2">
        <v>5321</v>
      </c>
      <c r="B1303" s="2" t="s">
        <v>3373</v>
      </c>
      <c r="C1303" s="2" t="s">
        <v>3374</v>
      </c>
      <c r="D1303" s="2" t="s">
        <v>6000</v>
      </c>
      <c r="E1303" s="2" t="s">
        <v>6693</v>
      </c>
      <c r="F1303" s="2" t="s">
        <v>2</v>
      </c>
      <c r="G1303" s="2" t="s">
        <v>5116</v>
      </c>
      <c r="H1303" s="2" t="s">
        <v>539</v>
      </c>
      <c r="I1303" s="2" t="s">
        <v>4708</v>
      </c>
      <c r="J1303" s="2" t="s">
        <v>4696</v>
      </c>
      <c r="K1303" s="2" t="s">
        <v>4696</v>
      </c>
      <c r="L1303" s="2" t="s">
        <v>4696</v>
      </c>
      <c r="M1303" s="2" t="s">
        <v>4696</v>
      </c>
      <c r="N1303" s="2"/>
      <c r="O1303" s="2"/>
      <c r="P1303" s="2"/>
      <c r="Q1303" s="2"/>
    </row>
    <row r="1304" spans="1:17" x14ac:dyDescent="0.3">
      <c r="A1304" s="2">
        <v>5324</v>
      </c>
      <c r="B1304" s="2" t="s">
        <v>121</v>
      </c>
      <c r="C1304" s="2" t="s">
        <v>3375</v>
      </c>
      <c r="D1304" s="2" t="s">
        <v>6002</v>
      </c>
      <c r="E1304" s="2" t="s">
        <v>3376</v>
      </c>
      <c r="F1304" s="2" t="s">
        <v>41</v>
      </c>
      <c r="G1304" s="2" t="s">
        <v>5117</v>
      </c>
      <c r="H1304" s="2" t="s">
        <v>6006</v>
      </c>
      <c r="I1304" s="2" t="s">
        <v>4708</v>
      </c>
      <c r="J1304" s="2" t="s">
        <v>4696</v>
      </c>
      <c r="K1304" s="2" t="s">
        <v>4696</v>
      </c>
      <c r="L1304" s="2" t="s">
        <v>4696</v>
      </c>
      <c r="M1304" s="2" t="s">
        <v>2</v>
      </c>
      <c r="N1304" s="2"/>
      <c r="O1304" s="2"/>
      <c r="P1304" s="2"/>
      <c r="Q1304" s="2"/>
    </row>
    <row r="1305" spans="1:17" x14ac:dyDescent="0.3">
      <c r="A1305" s="2">
        <v>5328</v>
      </c>
      <c r="B1305" s="2" t="s">
        <v>3377</v>
      </c>
      <c r="C1305" s="2" t="s">
        <v>6694</v>
      </c>
      <c r="D1305" s="2" t="s">
        <v>6020</v>
      </c>
      <c r="E1305" s="2" t="s">
        <v>6694</v>
      </c>
      <c r="F1305" s="2" t="s">
        <v>41</v>
      </c>
      <c r="G1305" s="2" t="s">
        <v>5118</v>
      </c>
      <c r="H1305" s="2" t="s">
        <v>640</v>
      </c>
      <c r="I1305" s="2" t="s">
        <v>6454</v>
      </c>
      <c r="J1305" s="2" t="s">
        <v>4696</v>
      </c>
      <c r="K1305" s="2" t="s">
        <v>4696</v>
      </c>
      <c r="L1305" s="2" t="s">
        <v>4696</v>
      </c>
      <c r="M1305" s="2" t="s">
        <v>4696</v>
      </c>
      <c r="N1305" s="2"/>
      <c r="O1305" s="2"/>
      <c r="P1305" s="2"/>
      <c r="Q1305" s="2"/>
    </row>
    <row r="1306" spans="1:17" x14ac:dyDescent="0.3">
      <c r="A1306" s="2">
        <v>5340</v>
      </c>
      <c r="B1306" s="2" t="s">
        <v>3378</v>
      </c>
      <c r="C1306" s="2" t="s">
        <v>3379</v>
      </c>
      <c r="D1306" s="2" t="s">
        <v>6025</v>
      </c>
      <c r="E1306" s="2" t="s">
        <v>3380</v>
      </c>
      <c r="F1306" s="2" t="s">
        <v>41</v>
      </c>
      <c r="G1306" s="2" t="s">
        <v>5119</v>
      </c>
      <c r="H1306" s="2" t="s">
        <v>404</v>
      </c>
      <c r="I1306" s="2" t="s">
        <v>4700</v>
      </c>
      <c r="J1306" s="2" t="s">
        <v>4696</v>
      </c>
      <c r="K1306" s="2" t="s">
        <v>4696</v>
      </c>
      <c r="L1306" s="2" t="s">
        <v>4696</v>
      </c>
      <c r="M1306" s="2" t="s">
        <v>2</v>
      </c>
      <c r="N1306" s="2"/>
      <c r="O1306" s="2"/>
      <c r="P1306" s="2"/>
      <c r="Q1306" s="2"/>
    </row>
    <row r="1307" spans="1:17" x14ac:dyDescent="0.3">
      <c r="A1307" s="2">
        <v>5344</v>
      </c>
      <c r="B1307" s="2" t="s">
        <v>3381</v>
      </c>
      <c r="C1307" s="2" t="s">
        <v>3382</v>
      </c>
      <c r="D1307" s="2" t="s">
        <v>6020</v>
      </c>
      <c r="E1307" s="2" t="s">
        <v>3383</v>
      </c>
      <c r="F1307" s="2" t="s">
        <v>2</v>
      </c>
      <c r="G1307" s="2" t="s">
        <v>5120</v>
      </c>
      <c r="H1307" s="2" t="s">
        <v>1291</v>
      </c>
      <c r="I1307" s="2" t="s">
        <v>4700</v>
      </c>
      <c r="J1307" s="2" t="s">
        <v>4696</v>
      </c>
      <c r="K1307" s="2" t="s">
        <v>4696</v>
      </c>
      <c r="L1307" s="2" t="s">
        <v>4696</v>
      </c>
      <c r="M1307" s="2" t="s">
        <v>2</v>
      </c>
      <c r="N1307" s="2"/>
      <c r="O1307" s="2"/>
      <c r="P1307" s="2"/>
      <c r="Q1307" s="2"/>
    </row>
    <row r="1308" spans="1:17" x14ac:dyDescent="0.3">
      <c r="A1308" s="2">
        <v>5345</v>
      </c>
      <c r="B1308" s="2" t="s">
        <v>3384</v>
      </c>
      <c r="C1308" s="2" t="s">
        <v>6695</v>
      </c>
      <c r="D1308" s="2" t="s">
        <v>6015</v>
      </c>
      <c r="E1308" s="2" t="s">
        <v>3385</v>
      </c>
      <c r="F1308" s="2" t="s">
        <v>2</v>
      </c>
      <c r="G1308" s="2" t="s">
        <v>5121</v>
      </c>
      <c r="H1308" s="2" t="s">
        <v>996</v>
      </c>
      <c r="I1308" s="2" t="s">
        <v>5122</v>
      </c>
      <c r="J1308" s="2" t="s">
        <v>4696</v>
      </c>
      <c r="K1308" s="2" t="s">
        <v>4696</v>
      </c>
      <c r="L1308" s="2" t="s">
        <v>4696</v>
      </c>
      <c r="M1308" s="2" t="s">
        <v>4696</v>
      </c>
      <c r="N1308" s="2"/>
      <c r="O1308" s="2"/>
      <c r="P1308" s="2"/>
      <c r="Q1308" s="2"/>
    </row>
    <row r="1309" spans="1:17" x14ac:dyDescent="0.3">
      <c r="A1309" s="2">
        <v>5347</v>
      </c>
      <c r="B1309" s="2" t="s">
        <v>3386</v>
      </c>
      <c r="C1309" s="2" t="s">
        <v>3387</v>
      </c>
      <c r="D1309" s="2" t="s">
        <v>6024</v>
      </c>
      <c r="E1309" s="2" t="s">
        <v>3388</v>
      </c>
      <c r="F1309" s="2" t="s">
        <v>2</v>
      </c>
      <c r="G1309" s="2" t="s">
        <v>5123</v>
      </c>
      <c r="H1309" s="2" t="s">
        <v>404</v>
      </c>
      <c r="I1309" s="2" t="s">
        <v>4700</v>
      </c>
      <c r="J1309" s="2" t="s">
        <v>6597</v>
      </c>
      <c r="K1309" s="2" t="s">
        <v>4690</v>
      </c>
      <c r="L1309" s="2" t="s">
        <v>4691</v>
      </c>
      <c r="M1309" s="2" t="s">
        <v>4692</v>
      </c>
      <c r="N1309" s="2"/>
      <c r="O1309" s="2"/>
      <c r="P1309" s="2"/>
      <c r="Q1309" s="2"/>
    </row>
    <row r="1310" spans="1:17" x14ac:dyDescent="0.3">
      <c r="A1310" s="2">
        <v>5348</v>
      </c>
      <c r="B1310" s="2" t="s">
        <v>3389</v>
      </c>
      <c r="C1310" s="2" t="s">
        <v>3390</v>
      </c>
      <c r="D1310" s="2" t="s">
        <v>6051</v>
      </c>
      <c r="E1310" s="2" t="s">
        <v>6696</v>
      </c>
      <c r="F1310" s="2" t="s">
        <v>2</v>
      </c>
      <c r="G1310" s="2" t="s">
        <v>5124</v>
      </c>
      <c r="H1310" s="2" t="s">
        <v>3236</v>
      </c>
      <c r="I1310" s="2" t="s">
        <v>5125</v>
      </c>
      <c r="J1310" s="2" t="s">
        <v>4696</v>
      </c>
      <c r="K1310" s="2" t="s">
        <v>4696</v>
      </c>
      <c r="L1310" s="2" t="s">
        <v>4696</v>
      </c>
      <c r="M1310" s="2" t="s">
        <v>2</v>
      </c>
      <c r="N1310" s="2"/>
      <c r="O1310" s="2"/>
      <c r="P1310" s="2"/>
      <c r="Q1310" s="2"/>
    </row>
    <row r="1311" spans="1:17" x14ac:dyDescent="0.3">
      <c r="A1311" s="2">
        <v>5349</v>
      </c>
      <c r="B1311" s="2" t="s">
        <v>3391</v>
      </c>
      <c r="C1311" s="2" t="s">
        <v>3392</v>
      </c>
      <c r="D1311" s="2" t="s">
        <v>6016</v>
      </c>
      <c r="E1311" s="2" t="s">
        <v>3393</v>
      </c>
      <c r="F1311" s="2" t="s">
        <v>2</v>
      </c>
      <c r="G1311" s="2" t="s">
        <v>5126</v>
      </c>
      <c r="H1311" s="2" t="s">
        <v>465</v>
      </c>
      <c r="I1311" s="2" t="s">
        <v>6</v>
      </c>
      <c r="J1311" s="2" t="s">
        <v>6485</v>
      </c>
      <c r="K1311" s="2" t="s">
        <v>4690</v>
      </c>
      <c r="L1311" s="2" t="s">
        <v>4691</v>
      </c>
      <c r="M1311" s="2" t="s">
        <v>4692</v>
      </c>
      <c r="N1311" s="2"/>
      <c r="O1311" s="2"/>
      <c r="P1311" s="2"/>
      <c r="Q1311" s="2"/>
    </row>
    <row r="1312" spans="1:17" x14ac:dyDescent="0.3">
      <c r="A1312" s="2">
        <v>5351</v>
      </c>
      <c r="B1312" s="2" t="s">
        <v>3394</v>
      </c>
      <c r="C1312" s="2" t="s">
        <v>3395</v>
      </c>
      <c r="D1312" s="2" t="s">
        <v>6010</v>
      </c>
      <c r="E1312" s="2" t="s">
        <v>6697</v>
      </c>
      <c r="F1312" s="2" t="s">
        <v>2</v>
      </c>
      <c r="G1312" s="2" t="s">
        <v>5127</v>
      </c>
      <c r="H1312" s="2" t="s">
        <v>554</v>
      </c>
      <c r="I1312" s="2" t="s">
        <v>4697</v>
      </c>
      <c r="J1312" s="2" t="s">
        <v>6490</v>
      </c>
      <c r="K1312" s="2" t="s">
        <v>4690</v>
      </c>
      <c r="L1312" s="2" t="s">
        <v>4691</v>
      </c>
      <c r="M1312" s="2" t="s">
        <v>4692</v>
      </c>
      <c r="N1312" s="2"/>
      <c r="O1312" s="2"/>
      <c r="P1312" s="2"/>
      <c r="Q1312" s="2"/>
    </row>
    <row r="1313" spans="1:17" x14ac:dyDescent="0.3">
      <c r="A1313" s="2">
        <v>5353</v>
      </c>
      <c r="B1313" s="2" t="s">
        <v>3396</v>
      </c>
      <c r="C1313" s="2" t="s">
        <v>3397</v>
      </c>
      <c r="D1313" s="2" t="s">
        <v>6031</v>
      </c>
      <c r="E1313" s="2" t="s">
        <v>6698</v>
      </c>
      <c r="F1313" s="2" t="s">
        <v>41</v>
      </c>
      <c r="G1313" s="2" t="s">
        <v>5128</v>
      </c>
      <c r="H1313" s="2" t="s">
        <v>653</v>
      </c>
      <c r="I1313" s="2" t="s">
        <v>4733</v>
      </c>
      <c r="J1313" s="2" t="s">
        <v>4696</v>
      </c>
      <c r="K1313" s="2" t="s">
        <v>4696</v>
      </c>
      <c r="L1313" s="2" t="s">
        <v>4696</v>
      </c>
      <c r="M1313" s="2" t="s">
        <v>4696</v>
      </c>
      <c r="N1313" s="2"/>
      <c r="O1313" s="2"/>
      <c r="P1313" s="2"/>
      <c r="Q1313" s="2"/>
    </row>
    <row r="1314" spans="1:17" x14ac:dyDescent="0.3">
      <c r="A1314" s="2">
        <v>5355</v>
      </c>
      <c r="B1314" s="2" t="s">
        <v>266</v>
      </c>
      <c r="C1314" s="2" t="s">
        <v>3398</v>
      </c>
      <c r="D1314" s="2" t="s">
        <v>6004</v>
      </c>
      <c r="E1314" s="2" t="s">
        <v>6699</v>
      </c>
      <c r="F1314" s="2" t="s">
        <v>41</v>
      </c>
      <c r="G1314" s="2" t="s">
        <v>5129</v>
      </c>
      <c r="H1314" s="2" t="s">
        <v>404</v>
      </c>
      <c r="I1314" s="2" t="s">
        <v>4727</v>
      </c>
      <c r="J1314" s="2" t="s">
        <v>4696</v>
      </c>
      <c r="K1314" s="2" t="s">
        <v>4696</v>
      </c>
      <c r="L1314" s="2" t="s">
        <v>4696</v>
      </c>
      <c r="M1314" s="2" t="s">
        <v>4696</v>
      </c>
      <c r="N1314" s="2"/>
      <c r="O1314" s="2"/>
      <c r="P1314" s="2"/>
      <c r="Q1314" s="2"/>
    </row>
    <row r="1315" spans="1:17" x14ac:dyDescent="0.3">
      <c r="A1315" s="2">
        <v>5356</v>
      </c>
      <c r="B1315" s="2" t="s">
        <v>3399</v>
      </c>
      <c r="C1315" s="2" t="s">
        <v>3400</v>
      </c>
      <c r="D1315" s="2" t="s">
        <v>6002</v>
      </c>
      <c r="E1315" s="2" t="s">
        <v>3401</v>
      </c>
      <c r="F1315" s="2" t="s">
        <v>2</v>
      </c>
      <c r="G1315" s="2" t="s">
        <v>5130</v>
      </c>
      <c r="H1315" s="2" t="s">
        <v>478</v>
      </c>
      <c r="I1315" s="2" t="s">
        <v>4731</v>
      </c>
      <c r="J1315" s="2" t="s">
        <v>4696</v>
      </c>
      <c r="K1315" s="2" t="s">
        <v>4696</v>
      </c>
      <c r="L1315" s="2" t="s">
        <v>4696</v>
      </c>
      <c r="M1315" s="2" t="s">
        <v>4696</v>
      </c>
      <c r="N1315" s="2"/>
      <c r="O1315" s="2"/>
      <c r="P1315" s="2"/>
      <c r="Q1315" s="2"/>
    </row>
    <row r="1316" spans="1:17" x14ac:dyDescent="0.3">
      <c r="A1316" s="2">
        <v>5364</v>
      </c>
      <c r="B1316" s="2" t="s">
        <v>6700</v>
      </c>
      <c r="C1316" s="2" t="s">
        <v>3402</v>
      </c>
      <c r="D1316" s="2" t="s">
        <v>6028</v>
      </c>
      <c r="E1316" s="2" t="s">
        <v>3403</v>
      </c>
      <c r="F1316" s="2" t="s">
        <v>2</v>
      </c>
      <c r="G1316" s="2" t="s">
        <v>6701</v>
      </c>
      <c r="H1316" s="2" t="s">
        <v>996</v>
      </c>
      <c r="I1316" s="2" t="s">
        <v>4710</v>
      </c>
      <c r="J1316" s="2" t="s">
        <v>4696</v>
      </c>
      <c r="K1316" s="2" t="s">
        <v>4696</v>
      </c>
      <c r="L1316" s="2" t="s">
        <v>4696</v>
      </c>
      <c r="M1316" s="2" t="s">
        <v>2</v>
      </c>
      <c r="N1316" s="2"/>
      <c r="O1316" s="2"/>
      <c r="P1316" s="2"/>
      <c r="Q1316" s="2"/>
    </row>
    <row r="1317" spans="1:17" x14ac:dyDescent="0.3">
      <c r="A1317" s="2">
        <v>5371</v>
      </c>
      <c r="B1317" s="2" t="s">
        <v>125</v>
      </c>
      <c r="C1317" s="2" t="s">
        <v>3404</v>
      </c>
      <c r="D1317" s="2" t="s">
        <v>6002</v>
      </c>
      <c r="E1317" s="2" t="s">
        <v>3405</v>
      </c>
      <c r="F1317" s="2" t="s">
        <v>41</v>
      </c>
      <c r="G1317" s="2" t="s">
        <v>6702</v>
      </c>
      <c r="H1317" s="2" t="s">
        <v>424</v>
      </c>
      <c r="I1317" s="2" t="s">
        <v>4698</v>
      </c>
      <c r="J1317" s="2" t="s">
        <v>6519</v>
      </c>
      <c r="K1317" s="2" t="s">
        <v>4690</v>
      </c>
      <c r="L1317" s="2" t="s">
        <v>4691</v>
      </c>
      <c r="M1317" s="2" t="s">
        <v>4692</v>
      </c>
      <c r="N1317" s="2"/>
      <c r="O1317" s="2"/>
      <c r="P1317" s="2"/>
      <c r="Q1317" s="2"/>
    </row>
    <row r="1318" spans="1:17" x14ac:dyDescent="0.3">
      <c r="A1318" s="2">
        <v>5381</v>
      </c>
      <c r="B1318" s="2" t="s">
        <v>3406</v>
      </c>
      <c r="C1318" s="2" t="s">
        <v>3407</v>
      </c>
      <c r="D1318" s="2" t="s">
        <v>6010</v>
      </c>
      <c r="E1318" s="2" t="s">
        <v>6703</v>
      </c>
      <c r="F1318" s="2" t="s">
        <v>2</v>
      </c>
      <c r="G1318" s="2" t="s">
        <v>5131</v>
      </c>
      <c r="H1318" s="2" t="s">
        <v>456</v>
      </c>
      <c r="I1318" s="2" t="s">
        <v>4723</v>
      </c>
      <c r="J1318" s="2" t="s">
        <v>4696</v>
      </c>
      <c r="K1318" s="2" t="s">
        <v>4696</v>
      </c>
      <c r="L1318" s="2" t="s">
        <v>4696</v>
      </c>
      <c r="M1318" s="2" t="s">
        <v>4696</v>
      </c>
      <c r="N1318" s="2"/>
      <c r="O1318" s="2"/>
      <c r="P1318" s="2"/>
      <c r="Q1318" s="2"/>
    </row>
    <row r="1319" spans="1:17" x14ac:dyDescent="0.3">
      <c r="A1319" s="2">
        <v>5383</v>
      </c>
      <c r="B1319" s="2" t="s">
        <v>3408</v>
      </c>
      <c r="C1319" s="2" t="s">
        <v>3409</v>
      </c>
      <c r="D1319" s="2" t="s">
        <v>6007</v>
      </c>
      <c r="E1319" s="2" t="s">
        <v>3409</v>
      </c>
      <c r="F1319" s="2" t="s">
        <v>41</v>
      </c>
      <c r="G1319" s="2" t="s">
        <v>5132</v>
      </c>
      <c r="H1319" s="2" t="s">
        <v>505</v>
      </c>
      <c r="I1319" s="2" t="s">
        <v>6</v>
      </c>
      <c r="J1319" s="2" t="s">
        <v>4696</v>
      </c>
      <c r="K1319" s="2" t="s">
        <v>4696</v>
      </c>
      <c r="L1319" s="2" t="s">
        <v>4696</v>
      </c>
      <c r="M1319" s="2" t="s">
        <v>4696</v>
      </c>
      <c r="N1319" s="2"/>
      <c r="O1319" s="2"/>
      <c r="P1319" s="2"/>
      <c r="Q1319" s="2"/>
    </row>
    <row r="1320" spans="1:17" x14ac:dyDescent="0.3">
      <c r="A1320" s="2">
        <v>5384</v>
      </c>
      <c r="B1320" s="2" t="s">
        <v>3410</v>
      </c>
      <c r="C1320" s="2" t="s">
        <v>3411</v>
      </c>
      <c r="D1320" s="2" t="s">
        <v>6028</v>
      </c>
      <c r="E1320" s="2" t="s">
        <v>3412</v>
      </c>
      <c r="F1320" s="2" t="s">
        <v>2</v>
      </c>
      <c r="G1320" s="2">
        <v>27956677</v>
      </c>
      <c r="H1320" s="2" t="s">
        <v>431</v>
      </c>
      <c r="I1320" s="2" t="s">
        <v>4728</v>
      </c>
      <c r="J1320" s="2" t="s">
        <v>4696</v>
      </c>
      <c r="K1320" s="2" t="s">
        <v>4696</v>
      </c>
      <c r="L1320" s="2" t="s">
        <v>4696</v>
      </c>
      <c r="M1320" s="2" t="s">
        <v>4696</v>
      </c>
      <c r="N1320" s="2"/>
      <c r="O1320" s="2"/>
      <c r="P1320" s="2"/>
      <c r="Q1320" s="2"/>
    </row>
    <row r="1321" spans="1:17" x14ac:dyDescent="0.3">
      <c r="A1321" s="2">
        <v>5386</v>
      </c>
      <c r="B1321" s="2" t="s">
        <v>3413</v>
      </c>
      <c r="C1321" s="2" t="s">
        <v>3414</v>
      </c>
      <c r="D1321" s="2" t="s">
        <v>6016</v>
      </c>
      <c r="E1321" s="2" t="s">
        <v>6704</v>
      </c>
      <c r="F1321" s="2" t="s">
        <v>2</v>
      </c>
      <c r="G1321" s="2" t="s">
        <v>5133</v>
      </c>
      <c r="H1321" s="2" t="s">
        <v>6006</v>
      </c>
      <c r="I1321" s="2" t="s">
        <v>4698</v>
      </c>
      <c r="J1321" s="2" t="s">
        <v>4696</v>
      </c>
      <c r="K1321" s="2" t="s">
        <v>4696</v>
      </c>
      <c r="L1321" s="2" t="s">
        <v>4696</v>
      </c>
      <c r="M1321" s="2" t="s">
        <v>4696</v>
      </c>
      <c r="N1321" s="2"/>
      <c r="O1321" s="2"/>
      <c r="P1321" s="2"/>
      <c r="Q1321" s="2"/>
    </row>
    <row r="1322" spans="1:17" x14ac:dyDescent="0.3">
      <c r="A1322" s="2">
        <v>5392</v>
      </c>
      <c r="B1322" s="2" t="s">
        <v>3415</v>
      </c>
      <c r="C1322" s="2" t="s">
        <v>3416</v>
      </c>
      <c r="D1322" s="2" t="s">
        <v>6000</v>
      </c>
      <c r="E1322" s="2" t="s">
        <v>6705</v>
      </c>
      <c r="F1322" s="2" t="s">
        <v>2</v>
      </c>
      <c r="G1322" s="2" t="s">
        <v>5134</v>
      </c>
      <c r="H1322" s="2" t="s">
        <v>431</v>
      </c>
      <c r="I1322" s="2" t="s">
        <v>4693</v>
      </c>
      <c r="J1322" s="2" t="s">
        <v>4696</v>
      </c>
      <c r="K1322" s="2" t="s">
        <v>4696</v>
      </c>
      <c r="L1322" s="2" t="s">
        <v>4696</v>
      </c>
      <c r="M1322" s="2" t="s">
        <v>4696</v>
      </c>
      <c r="N1322" s="2"/>
      <c r="O1322" s="2"/>
      <c r="P1322" s="2"/>
      <c r="Q1322" s="2"/>
    </row>
    <row r="1323" spans="1:17" x14ac:dyDescent="0.3">
      <c r="A1323" s="2">
        <v>5395</v>
      </c>
      <c r="B1323" s="2" t="s">
        <v>3417</v>
      </c>
      <c r="C1323" s="2" t="s">
        <v>3418</v>
      </c>
      <c r="D1323" s="2" t="s">
        <v>6016</v>
      </c>
      <c r="E1323" s="2" t="s">
        <v>3419</v>
      </c>
      <c r="F1323" s="2" t="s">
        <v>2</v>
      </c>
      <c r="G1323" s="2" t="s">
        <v>5135</v>
      </c>
      <c r="H1323" s="2" t="s">
        <v>582</v>
      </c>
      <c r="I1323" s="2" t="s">
        <v>4725</v>
      </c>
      <c r="J1323" s="2" t="s">
        <v>4696</v>
      </c>
      <c r="K1323" s="2" t="s">
        <v>4696</v>
      </c>
      <c r="L1323" s="2" t="s">
        <v>4696</v>
      </c>
      <c r="M1323" s="2" t="s">
        <v>2</v>
      </c>
      <c r="N1323" s="2"/>
      <c r="O1323" s="2"/>
      <c r="P1323" s="2"/>
      <c r="Q1323" s="2"/>
    </row>
    <row r="1324" spans="1:17" x14ac:dyDescent="0.3">
      <c r="A1324" s="2">
        <v>5398</v>
      </c>
      <c r="B1324" s="2" t="s">
        <v>3420</v>
      </c>
      <c r="C1324" s="2" t="s">
        <v>6706</v>
      </c>
      <c r="D1324" s="2" t="s">
        <v>6020</v>
      </c>
      <c r="E1324" s="2" t="s">
        <v>6707</v>
      </c>
      <c r="F1324" s="2" t="s">
        <v>2</v>
      </c>
      <c r="G1324" s="2" t="s">
        <v>6708</v>
      </c>
      <c r="H1324" s="2" t="s">
        <v>3421</v>
      </c>
      <c r="I1324" s="2">
        <v>87871888</v>
      </c>
      <c r="J1324" s="2" t="s">
        <v>4696</v>
      </c>
      <c r="K1324" s="2" t="s">
        <v>4696</v>
      </c>
      <c r="L1324" s="2" t="s">
        <v>4696</v>
      </c>
      <c r="M1324" s="2" t="s">
        <v>4696</v>
      </c>
      <c r="N1324" s="2"/>
      <c r="O1324" s="2"/>
      <c r="P1324" s="2"/>
      <c r="Q1324" s="2"/>
    </row>
    <row r="1325" spans="1:17" x14ac:dyDescent="0.3">
      <c r="A1325" s="2">
        <v>5403</v>
      </c>
      <c r="B1325" s="2" t="s">
        <v>3422</v>
      </c>
      <c r="C1325" s="2" t="s">
        <v>3423</v>
      </c>
      <c r="D1325" s="2" t="s">
        <v>6000</v>
      </c>
      <c r="E1325" s="2" t="s">
        <v>6709</v>
      </c>
      <c r="F1325" s="2" t="s">
        <v>2</v>
      </c>
      <c r="G1325" s="2">
        <v>81705168</v>
      </c>
      <c r="H1325" s="2" t="s">
        <v>456</v>
      </c>
      <c r="I1325" s="2">
        <v>25048125</v>
      </c>
      <c r="J1325" s="2" t="s">
        <v>4696</v>
      </c>
      <c r="K1325" s="2" t="s">
        <v>4696</v>
      </c>
      <c r="L1325" s="2" t="s">
        <v>4696</v>
      </c>
      <c r="M1325" s="2" t="s">
        <v>4696</v>
      </c>
      <c r="N1325" s="2"/>
      <c r="O1325" s="2"/>
      <c r="P1325" s="2"/>
      <c r="Q1325" s="2"/>
    </row>
    <row r="1326" spans="1:17" x14ac:dyDescent="0.3">
      <c r="A1326" s="2">
        <v>5410</v>
      </c>
      <c r="B1326" s="2" t="s">
        <v>3424</v>
      </c>
      <c r="C1326" s="2" t="s">
        <v>3425</v>
      </c>
      <c r="D1326" s="2" t="s">
        <v>6024</v>
      </c>
      <c r="E1326" s="2" t="s">
        <v>3426</v>
      </c>
      <c r="F1326" s="2" t="s">
        <v>2</v>
      </c>
      <c r="G1326" s="2" t="s">
        <v>5136</v>
      </c>
      <c r="H1326" s="2" t="s">
        <v>456</v>
      </c>
      <c r="I1326" s="2" t="s">
        <v>4717</v>
      </c>
      <c r="J1326" s="2" t="s">
        <v>4696</v>
      </c>
      <c r="K1326" s="2" t="s">
        <v>4696</v>
      </c>
      <c r="L1326" s="2" t="s">
        <v>4696</v>
      </c>
      <c r="M1326" s="2" t="s">
        <v>4696</v>
      </c>
      <c r="N1326" s="2"/>
      <c r="O1326" s="2"/>
      <c r="P1326" s="2"/>
      <c r="Q1326" s="2"/>
    </row>
    <row r="1327" spans="1:17" x14ac:dyDescent="0.3">
      <c r="A1327" s="2">
        <v>5425</v>
      </c>
      <c r="B1327" s="2" t="s">
        <v>196</v>
      </c>
      <c r="C1327" s="2" t="s">
        <v>3427</v>
      </c>
      <c r="D1327" s="2" t="s">
        <v>6021</v>
      </c>
      <c r="E1327" s="2" t="s">
        <v>3428</v>
      </c>
      <c r="F1327" s="2" t="s">
        <v>2</v>
      </c>
      <c r="G1327" s="2">
        <v>89131588</v>
      </c>
      <c r="H1327" s="2" t="s">
        <v>404</v>
      </c>
      <c r="I1327" s="2" t="s">
        <v>4697</v>
      </c>
      <c r="J1327" s="2" t="s">
        <v>6710</v>
      </c>
      <c r="K1327" s="2" t="s">
        <v>4690</v>
      </c>
      <c r="L1327" s="2" t="s">
        <v>4691</v>
      </c>
      <c r="M1327" s="2" t="s">
        <v>4692</v>
      </c>
      <c r="N1327" s="2"/>
      <c r="O1327" s="2"/>
      <c r="P1327" s="2"/>
      <c r="Q1327" s="2"/>
    </row>
    <row r="1328" spans="1:17" x14ac:dyDescent="0.3">
      <c r="A1328" s="2">
        <v>5426</v>
      </c>
      <c r="B1328" s="2" t="s">
        <v>186</v>
      </c>
      <c r="C1328" s="2" t="s">
        <v>3429</v>
      </c>
      <c r="D1328" s="2" t="s">
        <v>6014</v>
      </c>
      <c r="E1328" s="2" t="s">
        <v>3430</v>
      </c>
      <c r="F1328" s="2" t="s">
        <v>41</v>
      </c>
      <c r="G1328" s="2" t="s">
        <v>5137</v>
      </c>
      <c r="H1328" s="2" t="s">
        <v>408</v>
      </c>
      <c r="I1328" s="2" t="s">
        <v>5138</v>
      </c>
      <c r="J1328" s="2" t="s">
        <v>4696</v>
      </c>
      <c r="K1328" s="2" t="s">
        <v>4696</v>
      </c>
      <c r="L1328" s="2" t="s">
        <v>4696</v>
      </c>
      <c r="M1328" s="2" t="s">
        <v>2</v>
      </c>
      <c r="N1328" s="2"/>
      <c r="O1328" s="2"/>
      <c r="P1328" s="2"/>
      <c r="Q1328" s="2"/>
    </row>
    <row r="1329" spans="1:17" x14ac:dyDescent="0.3">
      <c r="A1329" s="2">
        <v>5432</v>
      </c>
      <c r="B1329" s="2" t="s">
        <v>3431</v>
      </c>
      <c r="C1329" s="2" t="s">
        <v>3432</v>
      </c>
      <c r="D1329" s="2" t="s">
        <v>6051</v>
      </c>
      <c r="E1329" s="2" t="s">
        <v>6711</v>
      </c>
      <c r="F1329" s="2" t="s">
        <v>41</v>
      </c>
      <c r="G1329" s="2">
        <v>77210240</v>
      </c>
      <c r="H1329" s="2" t="s">
        <v>3433</v>
      </c>
      <c r="I1329" s="2" t="s">
        <v>4750</v>
      </c>
      <c r="J1329" s="2" t="s">
        <v>4696</v>
      </c>
      <c r="K1329" s="2" t="s">
        <v>4696</v>
      </c>
      <c r="L1329" s="2" t="s">
        <v>4696</v>
      </c>
      <c r="M1329" s="2" t="s">
        <v>2</v>
      </c>
      <c r="N1329" s="2"/>
      <c r="O1329" s="2"/>
      <c r="P1329" s="2"/>
      <c r="Q1329" s="2"/>
    </row>
    <row r="1330" spans="1:17" x14ac:dyDescent="0.3">
      <c r="A1330" s="2">
        <v>5438</v>
      </c>
      <c r="B1330" s="2" t="s">
        <v>3434</v>
      </c>
      <c r="C1330" s="2" t="s">
        <v>3435</v>
      </c>
      <c r="D1330" s="2" t="s">
        <v>6000</v>
      </c>
      <c r="E1330" s="2" t="s">
        <v>3436</v>
      </c>
      <c r="F1330" s="2" t="s">
        <v>2</v>
      </c>
      <c r="G1330" s="2" t="s">
        <v>5139</v>
      </c>
      <c r="H1330" s="2" t="s">
        <v>2021</v>
      </c>
      <c r="I1330" s="2" t="s">
        <v>1</v>
      </c>
      <c r="J1330" s="2" t="s">
        <v>4696</v>
      </c>
      <c r="K1330" s="2" t="s">
        <v>4696</v>
      </c>
      <c r="L1330" s="2" t="s">
        <v>4696</v>
      </c>
      <c r="M1330" s="2" t="s">
        <v>4696</v>
      </c>
      <c r="N1330" s="2"/>
      <c r="O1330" s="2"/>
      <c r="P1330" s="2"/>
      <c r="Q1330" s="2"/>
    </row>
    <row r="1331" spans="1:17" x14ac:dyDescent="0.3">
      <c r="A1331" s="2">
        <v>5439</v>
      </c>
      <c r="B1331" s="2" t="s">
        <v>126</v>
      </c>
      <c r="C1331" s="2" t="s">
        <v>3437</v>
      </c>
      <c r="D1331" s="2" t="s">
        <v>6014</v>
      </c>
      <c r="E1331" s="2" t="s">
        <v>3438</v>
      </c>
      <c r="F1331" s="2" t="s">
        <v>2</v>
      </c>
      <c r="G1331" s="2" t="s">
        <v>5140</v>
      </c>
      <c r="H1331" s="2" t="s">
        <v>456</v>
      </c>
      <c r="I1331" s="2" t="s">
        <v>4723</v>
      </c>
      <c r="J1331" s="2" t="s">
        <v>4696</v>
      </c>
      <c r="K1331" s="2" t="s">
        <v>4696</v>
      </c>
      <c r="L1331" s="2" t="s">
        <v>4696</v>
      </c>
      <c r="M1331" s="2" t="s">
        <v>4696</v>
      </c>
      <c r="N1331" s="2"/>
      <c r="O1331" s="2"/>
      <c r="P1331" s="2"/>
      <c r="Q1331" s="2"/>
    </row>
    <row r="1332" spans="1:17" x14ac:dyDescent="0.3">
      <c r="A1332" s="2">
        <v>5443</v>
      </c>
      <c r="B1332" s="2" t="s">
        <v>3439</v>
      </c>
      <c r="C1332" s="2" t="s">
        <v>3440</v>
      </c>
      <c r="D1332" s="2" t="s">
        <v>6001</v>
      </c>
      <c r="E1332" s="2" t="s">
        <v>3441</v>
      </c>
      <c r="F1332" s="2" t="s">
        <v>2</v>
      </c>
      <c r="G1332" s="2" t="s">
        <v>5141</v>
      </c>
      <c r="H1332" s="2" t="s">
        <v>469</v>
      </c>
      <c r="I1332" s="2">
        <v>27478266</v>
      </c>
      <c r="J1332" s="2" t="s">
        <v>4696</v>
      </c>
      <c r="K1332" s="2" t="s">
        <v>4696</v>
      </c>
      <c r="L1332" s="2" t="s">
        <v>4696</v>
      </c>
      <c r="M1332" s="2" t="s">
        <v>2</v>
      </c>
      <c r="N1332" s="2"/>
      <c r="O1332" s="2"/>
      <c r="P1332" s="2"/>
      <c r="Q1332" s="2"/>
    </row>
    <row r="1333" spans="1:17" x14ac:dyDescent="0.3">
      <c r="A1333" s="2">
        <v>5450</v>
      </c>
      <c r="B1333" s="2" t="s">
        <v>3442</v>
      </c>
      <c r="C1333" s="2" t="s">
        <v>3443</v>
      </c>
      <c r="D1333" s="2" t="s">
        <v>6020</v>
      </c>
      <c r="E1333" s="2" t="s">
        <v>3444</v>
      </c>
      <c r="F1333" s="2" t="s">
        <v>41</v>
      </c>
      <c r="G1333" s="2" t="s">
        <v>5142</v>
      </c>
      <c r="H1333" s="2" t="s">
        <v>631</v>
      </c>
      <c r="I1333" s="2" t="s">
        <v>4730</v>
      </c>
      <c r="J1333" s="2" t="s">
        <v>4696</v>
      </c>
      <c r="K1333" s="2" t="s">
        <v>4696</v>
      </c>
      <c r="L1333" s="2" t="s">
        <v>4696</v>
      </c>
      <c r="M1333" s="2" t="s">
        <v>4696</v>
      </c>
      <c r="N1333" s="2"/>
      <c r="O1333" s="2"/>
      <c r="P1333" s="2"/>
      <c r="Q1333" s="2"/>
    </row>
    <row r="1334" spans="1:17" x14ac:dyDescent="0.3">
      <c r="A1334" s="2">
        <v>5452</v>
      </c>
      <c r="B1334" s="2" t="s">
        <v>213</v>
      </c>
      <c r="C1334" s="2" t="s">
        <v>3445</v>
      </c>
      <c r="D1334" s="2" t="s">
        <v>6014</v>
      </c>
      <c r="E1334" s="2" t="s">
        <v>6712</v>
      </c>
      <c r="F1334" s="2" t="s">
        <v>41</v>
      </c>
      <c r="G1334" s="2" t="s">
        <v>5143</v>
      </c>
      <c r="H1334" s="2" t="s">
        <v>524</v>
      </c>
      <c r="I1334" s="2" t="s">
        <v>4694</v>
      </c>
      <c r="J1334" s="2" t="s">
        <v>4696</v>
      </c>
      <c r="K1334" s="2" t="s">
        <v>4696</v>
      </c>
      <c r="L1334" s="2" t="s">
        <v>4696</v>
      </c>
      <c r="M1334" s="2" t="s">
        <v>4696</v>
      </c>
      <c r="N1334" s="2"/>
      <c r="O1334" s="2"/>
      <c r="P1334" s="2"/>
      <c r="Q1334" s="2"/>
    </row>
    <row r="1335" spans="1:17" x14ac:dyDescent="0.3">
      <c r="A1335" s="2">
        <v>5455</v>
      </c>
      <c r="B1335" s="2" t="s">
        <v>3446</v>
      </c>
      <c r="C1335" s="2" t="s">
        <v>3447</v>
      </c>
      <c r="D1335" s="2" t="s">
        <v>6028</v>
      </c>
      <c r="E1335" s="2" t="s">
        <v>6713</v>
      </c>
      <c r="F1335" s="2" t="s">
        <v>2</v>
      </c>
      <c r="G1335" s="2" t="s">
        <v>5144</v>
      </c>
      <c r="H1335" s="2" t="s">
        <v>456</v>
      </c>
      <c r="I1335" s="2" t="s">
        <v>4723</v>
      </c>
      <c r="J1335" s="2" t="s">
        <v>4696</v>
      </c>
      <c r="K1335" s="2" t="s">
        <v>4696</v>
      </c>
      <c r="L1335" s="2" t="s">
        <v>4696</v>
      </c>
      <c r="M1335" s="2" t="s">
        <v>4696</v>
      </c>
      <c r="N1335" s="2"/>
      <c r="O1335" s="2"/>
      <c r="P1335" s="2"/>
      <c r="Q1335" s="2"/>
    </row>
    <row r="1336" spans="1:17" x14ac:dyDescent="0.3">
      <c r="A1336" s="2">
        <v>5457</v>
      </c>
      <c r="B1336" s="2" t="s">
        <v>3448</v>
      </c>
      <c r="C1336" s="2" t="s">
        <v>6714</v>
      </c>
      <c r="D1336" s="2" t="s">
        <v>6010</v>
      </c>
      <c r="E1336" s="2" t="s">
        <v>3449</v>
      </c>
      <c r="F1336" s="2" t="s">
        <v>41</v>
      </c>
      <c r="G1336" s="2" t="s">
        <v>5145</v>
      </c>
      <c r="H1336" s="2" t="s">
        <v>456</v>
      </c>
      <c r="I1336" s="2" t="s">
        <v>4723</v>
      </c>
      <c r="J1336" s="2" t="s">
        <v>4696</v>
      </c>
      <c r="K1336" s="2" t="s">
        <v>4696</v>
      </c>
      <c r="L1336" s="2" t="s">
        <v>4696</v>
      </c>
      <c r="M1336" s="2" t="s">
        <v>4696</v>
      </c>
      <c r="N1336" s="2"/>
      <c r="O1336" s="2"/>
      <c r="P1336" s="2"/>
      <c r="Q1336" s="2"/>
    </row>
    <row r="1337" spans="1:17" x14ac:dyDescent="0.3">
      <c r="A1337" s="2">
        <v>5460</v>
      </c>
      <c r="B1337" s="2" t="s">
        <v>3450</v>
      </c>
      <c r="C1337" s="2" t="s">
        <v>3451</v>
      </c>
      <c r="D1337" s="2" t="s">
        <v>6016</v>
      </c>
      <c r="E1337" s="2" t="s">
        <v>3452</v>
      </c>
      <c r="F1337" s="2" t="s">
        <v>2</v>
      </c>
      <c r="G1337" s="2" t="s">
        <v>5146</v>
      </c>
      <c r="H1337" s="2" t="s">
        <v>431</v>
      </c>
      <c r="I1337" s="2" t="s">
        <v>14</v>
      </c>
      <c r="J1337" s="2" t="s">
        <v>4696</v>
      </c>
      <c r="K1337" s="2" t="s">
        <v>4696</v>
      </c>
      <c r="L1337" s="2" t="s">
        <v>4696</v>
      </c>
      <c r="M1337" s="2" t="s">
        <v>4696</v>
      </c>
      <c r="N1337" s="2"/>
      <c r="O1337" s="2"/>
      <c r="P1337" s="2"/>
      <c r="Q1337" s="2"/>
    </row>
    <row r="1338" spans="1:17" x14ac:dyDescent="0.3">
      <c r="A1338" s="2">
        <v>5464</v>
      </c>
      <c r="B1338" s="2" t="s">
        <v>3453</v>
      </c>
      <c r="C1338" s="2" t="s">
        <v>3454</v>
      </c>
      <c r="D1338" s="2" t="s">
        <v>6021</v>
      </c>
      <c r="E1338" s="2" t="s">
        <v>6715</v>
      </c>
      <c r="F1338" s="2" t="s">
        <v>41</v>
      </c>
      <c r="G1338" s="2" t="s">
        <v>5147</v>
      </c>
      <c r="H1338" s="2" t="s">
        <v>431</v>
      </c>
      <c r="I1338" s="2" t="s">
        <v>4702</v>
      </c>
      <c r="J1338" s="2" t="s">
        <v>4696</v>
      </c>
      <c r="K1338" s="2" t="s">
        <v>4696</v>
      </c>
      <c r="L1338" s="2" t="s">
        <v>4696</v>
      </c>
      <c r="M1338" s="2" t="s">
        <v>4696</v>
      </c>
      <c r="N1338" s="2"/>
      <c r="O1338" s="2"/>
      <c r="P1338" s="2"/>
      <c r="Q1338" s="2"/>
    </row>
    <row r="1339" spans="1:17" x14ac:dyDescent="0.3">
      <c r="A1339" s="2">
        <v>5465</v>
      </c>
      <c r="B1339" s="2" t="s">
        <v>3455</v>
      </c>
      <c r="C1339" s="2" t="s">
        <v>3456</v>
      </c>
      <c r="D1339" s="2" t="s">
        <v>6021</v>
      </c>
      <c r="E1339" s="2" t="s">
        <v>6716</v>
      </c>
      <c r="F1339" s="2" t="s">
        <v>41</v>
      </c>
      <c r="G1339" s="2" t="s">
        <v>5148</v>
      </c>
      <c r="H1339" s="2" t="s">
        <v>469</v>
      </c>
      <c r="I1339" s="2" t="s">
        <v>4701</v>
      </c>
      <c r="J1339" s="2" t="s">
        <v>4696</v>
      </c>
      <c r="K1339" s="2" t="s">
        <v>4696</v>
      </c>
      <c r="L1339" s="2" t="s">
        <v>4696</v>
      </c>
      <c r="M1339" s="2" t="s">
        <v>2</v>
      </c>
      <c r="N1339" s="2"/>
      <c r="O1339" s="2"/>
      <c r="P1339" s="2"/>
      <c r="Q1339" s="2"/>
    </row>
    <row r="1340" spans="1:17" x14ac:dyDescent="0.3">
      <c r="A1340" s="2">
        <v>5468</v>
      </c>
      <c r="B1340" s="2" t="s">
        <v>3457</v>
      </c>
      <c r="C1340" s="2" t="s">
        <v>3458</v>
      </c>
      <c r="D1340" s="2" t="s">
        <v>6000</v>
      </c>
      <c r="E1340" s="2" t="s">
        <v>6717</v>
      </c>
      <c r="F1340" s="2" t="s">
        <v>2</v>
      </c>
      <c r="G1340" s="2" t="s">
        <v>5149</v>
      </c>
      <c r="H1340" s="2" t="s">
        <v>431</v>
      </c>
      <c r="I1340" s="2" t="s">
        <v>4702</v>
      </c>
      <c r="J1340" s="2" t="s">
        <v>4696</v>
      </c>
      <c r="K1340" s="2" t="s">
        <v>4696</v>
      </c>
      <c r="L1340" s="2" t="s">
        <v>4696</v>
      </c>
      <c r="M1340" s="2" t="s">
        <v>4696</v>
      </c>
      <c r="N1340" s="2"/>
      <c r="O1340" s="2"/>
      <c r="P1340" s="2"/>
      <c r="Q1340" s="2"/>
    </row>
    <row r="1341" spans="1:17" x14ac:dyDescent="0.3">
      <c r="A1341" s="2">
        <v>5474</v>
      </c>
      <c r="B1341" s="2" t="s">
        <v>3459</v>
      </c>
      <c r="C1341" s="2" t="s">
        <v>3460</v>
      </c>
      <c r="D1341" s="2" t="s">
        <v>6016</v>
      </c>
      <c r="E1341" s="2" t="s">
        <v>6718</v>
      </c>
      <c r="F1341" s="2" t="s">
        <v>41</v>
      </c>
      <c r="G1341" s="2" t="s">
        <v>5150</v>
      </c>
      <c r="H1341" s="2" t="s">
        <v>431</v>
      </c>
      <c r="I1341" s="2" t="s">
        <v>4728</v>
      </c>
      <c r="J1341" s="2" t="s">
        <v>4696</v>
      </c>
      <c r="K1341" s="2" t="s">
        <v>4696</v>
      </c>
      <c r="L1341" s="2" t="s">
        <v>4696</v>
      </c>
      <c r="M1341" s="2" t="s">
        <v>4696</v>
      </c>
      <c r="N1341" s="2"/>
      <c r="O1341" s="2"/>
      <c r="P1341" s="2"/>
      <c r="Q1341" s="2"/>
    </row>
    <row r="1342" spans="1:17" x14ac:dyDescent="0.3">
      <c r="A1342" s="2">
        <v>5475</v>
      </c>
      <c r="B1342" s="2" t="s">
        <v>3461</v>
      </c>
      <c r="C1342" s="2" t="s">
        <v>3462</v>
      </c>
      <c r="D1342" s="2" t="s">
        <v>6020</v>
      </c>
      <c r="E1342" s="2" t="s">
        <v>3463</v>
      </c>
      <c r="F1342" s="2" t="s">
        <v>2</v>
      </c>
      <c r="G1342" s="2" t="s">
        <v>5151</v>
      </c>
      <c r="H1342" s="2" t="s">
        <v>404</v>
      </c>
      <c r="I1342" s="2" t="s">
        <v>4697</v>
      </c>
      <c r="J1342" s="2" t="s">
        <v>4696</v>
      </c>
      <c r="K1342" s="2" t="s">
        <v>4696</v>
      </c>
      <c r="L1342" s="2" t="s">
        <v>4696</v>
      </c>
      <c r="M1342" s="2" t="s">
        <v>4696</v>
      </c>
      <c r="N1342" s="2"/>
      <c r="O1342" s="2"/>
      <c r="P1342" s="2"/>
      <c r="Q1342" s="2"/>
    </row>
    <row r="1343" spans="1:17" x14ac:dyDescent="0.3">
      <c r="A1343" s="2">
        <v>5478</v>
      </c>
      <c r="B1343" s="2" t="s">
        <v>164</v>
      </c>
      <c r="C1343" s="2" t="s">
        <v>3464</v>
      </c>
      <c r="D1343" s="2" t="s">
        <v>6015</v>
      </c>
      <c r="E1343" s="2" t="s">
        <v>3465</v>
      </c>
      <c r="F1343" s="2" t="s">
        <v>2</v>
      </c>
      <c r="G1343" s="2" t="s">
        <v>5152</v>
      </c>
      <c r="H1343" s="2" t="s">
        <v>6006</v>
      </c>
      <c r="I1343" s="2" t="s">
        <v>4708</v>
      </c>
      <c r="J1343" s="2" t="s">
        <v>4696</v>
      </c>
      <c r="K1343" s="2" t="s">
        <v>4696</v>
      </c>
      <c r="L1343" s="2" t="s">
        <v>4696</v>
      </c>
      <c r="M1343" s="2" t="s">
        <v>4696</v>
      </c>
      <c r="N1343" s="2"/>
      <c r="O1343" s="2"/>
      <c r="P1343" s="2"/>
      <c r="Q1343" s="2"/>
    </row>
    <row r="1344" spans="1:17" x14ac:dyDescent="0.3">
      <c r="A1344" s="2">
        <v>5480</v>
      </c>
      <c r="B1344" s="2" t="s">
        <v>3466</v>
      </c>
      <c r="C1344" s="2" t="s">
        <v>3467</v>
      </c>
      <c r="D1344" s="2" t="s">
        <v>6028</v>
      </c>
      <c r="E1344" s="2" t="s">
        <v>2747</v>
      </c>
      <c r="F1344" s="2" t="s">
        <v>41</v>
      </c>
      <c r="G1344" s="2" t="s">
        <v>5153</v>
      </c>
      <c r="H1344" s="2" t="s">
        <v>415</v>
      </c>
      <c r="I1344" s="2" t="s">
        <v>10</v>
      </c>
      <c r="J1344" s="2" t="s">
        <v>4696</v>
      </c>
      <c r="K1344" s="2" t="s">
        <v>4696</v>
      </c>
      <c r="L1344" s="2" t="s">
        <v>4696</v>
      </c>
      <c r="M1344" s="2" t="s">
        <v>4696</v>
      </c>
      <c r="N1344" s="2"/>
      <c r="O1344" s="2"/>
      <c r="P1344" s="2"/>
      <c r="Q1344" s="2"/>
    </row>
    <row r="1345" spans="1:17" x14ac:dyDescent="0.3">
      <c r="A1345" s="2">
        <v>5481</v>
      </c>
      <c r="B1345" s="2" t="s">
        <v>3468</v>
      </c>
      <c r="C1345" s="2" t="s">
        <v>6719</v>
      </c>
      <c r="D1345" s="2" t="s">
        <v>6007</v>
      </c>
      <c r="E1345" s="2" t="s">
        <v>6720</v>
      </c>
      <c r="F1345" s="2" t="s">
        <v>41</v>
      </c>
      <c r="G1345" s="2" t="s">
        <v>5154</v>
      </c>
      <c r="H1345" s="2" t="s">
        <v>631</v>
      </c>
      <c r="I1345" s="2" t="s">
        <v>4718</v>
      </c>
      <c r="J1345" s="2" t="s">
        <v>4696</v>
      </c>
      <c r="K1345" s="2" t="s">
        <v>4696</v>
      </c>
      <c r="L1345" s="2" t="s">
        <v>4696</v>
      </c>
      <c r="M1345" s="2" t="s">
        <v>4696</v>
      </c>
      <c r="N1345" s="2"/>
      <c r="O1345" s="2"/>
      <c r="P1345" s="2"/>
      <c r="Q1345" s="2"/>
    </row>
    <row r="1346" spans="1:17" x14ac:dyDescent="0.3">
      <c r="A1346" s="2">
        <v>5483</v>
      </c>
      <c r="B1346" s="2" t="s">
        <v>3469</v>
      </c>
      <c r="C1346" s="2" t="s">
        <v>3470</v>
      </c>
      <c r="D1346" s="2" t="s">
        <v>6007</v>
      </c>
      <c r="E1346" s="2" t="s">
        <v>3471</v>
      </c>
      <c r="F1346" s="2" t="s">
        <v>2</v>
      </c>
      <c r="G1346" s="2" t="s">
        <v>5155</v>
      </c>
      <c r="H1346" s="2" t="s">
        <v>539</v>
      </c>
      <c r="I1346" s="2" t="s">
        <v>4725</v>
      </c>
      <c r="J1346" s="2" t="s">
        <v>6521</v>
      </c>
      <c r="K1346" s="2" t="s">
        <v>4690</v>
      </c>
      <c r="L1346" s="2" t="s">
        <v>4691</v>
      </c>
      <c r="M1346" s="2" t="s">
        <v>4696</v>
      </c>
      <c r="N1346" s="2"/>
      <c r="O1346" s="2"/>
      <c r="P1346" s="2"/>
      <c r="Q1346" s="2"/>
    </row>
    <row r="1347" spans="1:17" x14ac:dyDescent="0.3">
      <c r="A1347" s="2">
        <v>5487</v>
      </c>
      <c r="B1347" s="2" t="s">
        <v>291</v>
      </c>
      <c r="C1347" s="2" t="s">
        <v>3472</v>
      </c>
      <c r="D1347" s="2" t="s">
        <v>6004</v>
      </c>
      <c r="E1347" s="2" t="s">
        <v>3472</v>
      </c>
      <c r="F1347" s="2" t="s">
        <v>41</v>
      </c>
      <c r="G1347" s="2" t="s">
        <v>5156</v>
      </c>
      <c r="H1347" s="2" t="s">
        <v>896</v>
      </c>
      <c r="I1347" s="2" t="s">
        <v>5157</v>
      </c>
      <c r="J1347" s="2" t="s">
        <v>4696</v>
      </c>
      <c r="K1347" s="2" t="s">
        <v>4696</v>
      </c>
      <c r="L1347" s="2" t="s">
        <v>4696</v>
      </c>
      <c r="M1347" s="2" t="s">
        <v>4696</v>
      </c>
      <c r="N1347" s="2"/>
      <c r="O1347" s="2"/>
      <c r="P1347" s="2"/>
      <c r="Q1347" s="2"/>
    </row>
    <row r="1348" spans="1:17" x14ac:dyDescent="0.3">
      <c r="A1348" s="2">
        <v>5488</v>
      </c>
      <c r="B1348" s="2" t="s">
        <v>3473</v>
      </c>
      <c r="C1348" s="2" t="s">
        <v>3474</v>
      </c>
      <c r="D1348" s="2" t="s">
        <v>6015</v>
      </c>
      <c r="E1348" s="2" t="s">
        <v>3474</v>
      </c>
      <c r="F1348" s="2" t="s">
        <v>41</v>
      </c>
      <c r="G1348" s="2" t="s">
        <v>5158</v>
      </c>
      <c r="H1348" s="2" t="s">
        <v>640</v>
      </c>
      <c r="I1348" s="2" t="s">
        <v>6721</v>
      </c>
      <c r="J1348" s="2" t="s">
        <v>4696</v>
      </c>
      <c r="K1348" s="2" t="s">
        <v>4696</v>
      </c>
      <c r="L1348" s="2" t="s">
        <v>4696</v>
      </c>
      <c r="M1348" s="2" t="s">
        <v>4696</v>
      </c>
      <c r="N1348" s="2"/>
      <c r="O1348" s="2"/>
      <c r="P1348" s="2"/>
      <c r="Q1348" s="2"/>
    </row>
    <row r="1349" spans="1:17" x14ac:dyDescent="0.3">
      <c r="A1349" s="2">
        <v>5489</v>
      </c>
      <c r="B1349" s="2" t="s">
        <v>3475</v>
      </c>
      <c r="C1349" s="2" t="s">
        <v>3476</v>
      </c>
      <c r="D1349" s="2" t="s">
        <v>6002</v>
      </c>
      <c r="E1349" s="2" t="s">
        <v>3477</v>
      </c>
      <c r="F1349" s="2" t="s">
        <v>2</v>
      </c>
      <c r="G1349" s="2" t="s">
        <v>5159</v>
      </c>
      <c r="H1349" s="2" t="s">
        <v>431</v>
      </c>
      <c r="I1349" s="2" t="s">
        <v>4693</v>
      </c>
      <c r="J1349" s="2" t="s">
        <v>4696</v>
      </c>
      <c r="K1349" s="2" t="s">
        <v>4696</v>
      </c>
      <c r="L1349" s="2" t="s">
        <v>4696</v>
      </c>
      <c r="M1349" s="2" t="s">
        <v>4696</v>
      </c>
      <c r="N1349" s="2"/>
      <c r="O1349" s="2"/>
      <c r="P1349" s="2"/>
      <c r="Q1349" s="2"/>
    </row>
    <row r="1350" spans="1:17" x14ac:dyDescent="0.3">
      <c r="A1350" s="2">
        <v>5490</v>
      </c>
      <c r="B1350" s="2" t="s">
        <v>93</v>
      </c>
      <c r="C1350" s="2" t="s">
        <v>3478</v>
      </c>
      <c r="D1350" s="2" t="s">
        <v>6028</v>
      </c>
      <c r="E1350" s="2" t="s">
        <v>3479</v>
      </c>
      <c r="F1350" s="2" t="s">
        <v>41</v>
      </c>
      <c r="G1350" s="2" t="s">
        <v>5160</v>
      </c>
      <c r="H1350" s="2" t="s">
        <v>644</v>
      </c>
      <c r="I1350" s="2" t="s">
        <v>4726</v>
      </c>
      <c r="J1350" s="2" t="s">
        <v>4696</v>
      </c>
      <c r="K1350" s="2" t="s">
        <v>4696</v>
      </c>
      <c r="L1350" s="2" t="s">
        <v>4696</v>
      </c>
      <c r="M1350" s="2" t="s">
        <v>4696</v>
      </c>
      <c r="N1350" s="2"/>
      <c r="O1350" s="2"/>
      <c r="P1350" s="2"/>
      <c r="Q1350" s="2"/>
    </row>
    <row r="1351" spans="1:17" x14ac:dyDescent="0.3">
      <c r="A1351" s="2">
        <v>5491</v>
      </c>
      <c r="B1351" s="2" t="s">
        <v>3480</v>
      </c>
      <c r="C1351" s="2" t="s">
        <v>3481</v>
      </c>
      <c r="D1351" s="2" t="s">
        <v>6002</v>
      </c>
      <c r="E1351" s="2" t="s">
        <v>3482</v>
      </c>
      <c r="F1351" s="2" t="s">
        <v>2</v>
      </c>
      <c r="G1351" s="2" t="s">
        <v>5161</v>
      </c>
      <c r="H1351" s="2" t="s">
        <v>469</v>
      </c>
      <c r="I1351" s="2" t="s">
        <v>4701</v>
      </c>
      <c r="J1351" s="2" t="s">
        <v>6519</v>
      </c>
      <c r="K1351" s="2" t="s">
        <v>4690</v>
      </c>
      <c r="L1351" s="2" t="s">
        <v>4691</v>
      </c>
      <c r="M1351" s="2" t="s">
        <v>4696</v>
      </c>
      <c r="N1351" s="2"/>
      <c r="O1351" s="2"/>
      <c r="P1351" s="2"/>
      <c r="Q1351" s="2"/>
    </row>
    <row r="1352" spans="1:17" x14ac:dyDescent="0.3">
      <c r="A1352" s="2">
        <v>5493</v>
      </c>
      <c r="B1352" s="2" t="s">
        <v>3483</v>
      </c>
      <c r="C1352" s="2" t="s">
        <v>3484</v>
      </c>
      <c r="D1352" s="2" t="s">
        <v>6016</v>
      </c>
      <c r="E1352" s="2" t="s">
        <v>3485</v>
      </c>
      <c r="F1352" s="2" t="s">
        <v>2</v>
      </c>
      <c r="G1352" s="2" t="s">
        <v>5162</v>
      </c>
      <c r="H1352" s="2" t="s">
        <v>404</v>
      </c>
      <c r="I1352" s="2" t="s">
        <v>4697</v>
      </c>
      <c r="J1352" s="2" t="s">
        <v>4696</v>
      </c>
      <c r="K1352" s="2" t="s">
        <v>4696</v>
      </c>
      <c r="L1352" s="2" t="s">
        <v>4696</v>
      </c>
      <c r="M1352" s="2" t="s">
        <v>2</v>
      </c>
      <c r="N1352" s="2"/>
      <c r="O1352" s="2"/>
      <c r="P1352" s="2"/>
      <c r="Q1352" s="2"/>
    </row>
    <row r="1353" spans="1:17" x14ac:dyDescent="0.3">
      <c r="A1353" s="2">
        <v>5498</v>
      </c>
      <c r="B1353" s="2" t="s">
        <v>3486</v>
      </c>
      <c r="C1353" s="2" t="s">
        <v>6722</v>
      </c>
      <c r="D1353" s="2" t="s">
        <v>6007</v>
      </c>
      <c r="E1353" s="2" t="s">
        <v>6723</v>
      </c>
      <c r="F1353" s="2" t="s">
        <v>2</v>
      </c>
      <c r="G1353" s="2" t="s">
        <v>5163</v>
      </c>
      <c r="H1353" s="2" t="s">
        <v>1063</v>
      </c>
      <c r="I1353" s="2" t="s">
        <v>17</v>
      </c>
      <c r="J1353" s="2" t="s">
        <v>4696</v>
      </c>
      <c r="K1353" s="2" t="s">
        <v>4696</v>
      </c>
      <c r="L1353" s="2" t="s">
        <v>4696</v>
      </c>
      <c r="M1353" s="2" t="s">
        <v>4696</v>
      </c>
      <c r="N1353" s="2"/>
      <c r="O1353" s="2"/>
      <c r="P1353" s="2"/>
      <c r="Q1353" s="2"/>
    </row>
    <row r="1354" spans="1:17" x14ac:dyDescent="0.3">
      <c r="A1354" s="2">
        <v>5508</v>
      </c>
      <c r="B1354" s="2" t="s">
        <v>3487</v>
      </c>
      <c r="C1354" s="2" t="s">
        <v>3488</v>
      </c>
      <c r="D1354" s="2" t="s">
        <v>6028</v>
      </c>
      <c r="E1354" s="2" t="s">
        <v>6724</v>
      </c>
      <c r="F1354" s="2" t="s">
        <v>2</v>
      </c>
      <c r="G1354" s="2" t="s">
        <v>5164</v>
      </c>
      <c r="H1354" s="2" t="s">
        <v>582</v>
      </c>
      <c r="I1354" s="2" t="s">
        <v>5165</v>
      </c>
      <c r="J1354" s="2" t="s">
        <v>4696</v>
      </c>
      <c r="K1354" s="2" t="s">
        <v>4696</v>
      </c>
      <c r="L1354" s="2" t="s">
        <v>4696</v>
      </c>
      <c r="M1354" s="2" t="s">
        <v>2</v>
      </c>
      <c r="N1354" s="2"/>
      <c r="O1354" s="2"/>
      <c r="P1354" s="2"/>
      <c r="Q1354" s="2"/>
    </row>
    <row r="1355" spans="1:17" x14ac:dyDescent="0.3">
      <c r="A1355" s="2">
        <v>5511</v>
      </c>
      <c r="B1355" s="2" t="s">
        <v>3489</v>
      </c>
      <c r="C1355" s="2" t="s">
        <v>3490</v>
      </c>
      <c r="D1355" s="2" t="s">
        <v>6002</v>
      </c>
      <c r="E1355" s="2" t="s">
        <v>3491</v>
      </c>
      <c r="F1355" s="2" t="s">
        <v>41</v>
      </c>
      <c r="G1355" s="2" t="s">
        <v>5166</v>
      </c>
      <c r="H1355" s="2" t="s">
        <v>465</v>
      </c>
      <c r="I1355" s="2" t="s">
        <v>6</v>
      </c>
      <c r="J1355" s="2" t="s">
        <v>4696</v>
      </c>
      <c r="K1355" s="2" t="s">
        <v>4696</v>
      </c>
      <c r="L1355" s="2" t="s">
        <v>4696</v>
      </c>
      <c r="M1355" s="2" t="s">
        <v>4696</v>
      </c>
      <c r="N1355" s="2"/>
      <c r="O1355" s="2"/>
      <c r="P1355" s="2"/>
      <c r="Q1355" s="2"/>
    </row>
    <row r="1356" spans="1:17" x14ac:dyDescent="0.3">
      <c r="A1356" s="2">
        <v>5512</v>
      </c>
      <c r="B1356" s="2" t="s">
        <v>132</v>
      </c>
      <c r="C1356" s="2" t="s">
        <v>3492</v>
      </c>
      <c r="D1356" s="2" t="s">
        <v>6000</v>
      </c>
      <c r="E1356" s="2" t="s">
        <v>3493</v>
      </c>
      <c r="F1356" s="2" t="s">
        <v>2</v>
      </c>
      <c r="G1356" s="2" t="s">
        <v>5167</v>
      </c>
      <c r="H1356" s="2" t="s">
        <v>456</v>
      </c>
      <c r="I1356" s="2" t="s">
        <v>26</v>
      </c>
      <c r="J1356" s="2" t="s">
        <v>6725</v>
      </c>
      <c r="K1356" s="2" t="s">
        <v>4690</v>
      </c>
      <c r="L1356" s="2" t="s">
        <v>4691</v>
      </c>
      <c r="M1356" s="2" t="s">
        <v>4696</v>
      </c>
      <c r="N1356" s="2"/>
      <c r="O1356" s="2"/>
      <c r="P1356" s="2"/>
      <c r="Q1356" s="2"/>
    </row>
    <row r="1357" spans="1:17" x14ac:dyDescent="0.3">
      <c r="A1357" s="2">
        <v>5514</v>
      </c>
      <c r="B1357" s="2" t="s">
        <v>3494</v>
      </c>
      <c r="C1357" s="2" t="s">
        <v>3495</v>
      </c>
      <c r="D1357" s="2" t="s">
        <v>6034</v>
      </c>
      <c r="E1357" s="2" t="s">
        <v>3496</v>
      </c>
      <c r="F1357" s="2" t="s">
        <v>2</v>
      </c>
      <c r="G1357" s="2" t="s">
        <v>5168</v>
      </c>
      <c r="H1357" s="2" t="s">
        <v>653</v>
      </c>
      <c r="I1357" s="2" t="s">
        <v>4733</v>
      </c>
      <c r="J1357" s="2" t="s">
        <v>4696</v>
      </c>
      <c r="K1357" s="2" t="s">
        <v>4696</v>
      </c>
      <c r="L1357" s="2" t="s">
        <v>4696</v>
      </c>
      <c r="M1357" s="2" t="s">
        <v>4696</v>
      </c>
      <c r="N1357" s="2"/>
      <c r="O1357" s="2"/>
      <c r="P1357" s="2"/>
      <c r="Q1357" s="2"/>
    </row>
    <row r="1358" spans="1:17" x14ac:dyDescent="0.3">
      <c r="A1358" s="2">
        <v>5516</v>
      </c>
      <c r="B1358" s="2" t="s">
        <v>3497</v>
      </c>
      <c r="C1358" s="2" t="s">
        <v>3498</v>
      </c>
      <c r="D1358" s="2" t="s">
        <v>6001</v>
      </c>
      <c r="E1358" s="2" t="s">
        <v>3499</v>
      </c>
      <c r="F1358" s="2" t="s">
        <v>41</v>
      </c>
      <c r="G1358" s="2" t="s">
        <v>5169</v>
      </c>
      <c r="H1358" s="2" t="s">
        <v>424</v>
      </c>
      <c r="I1358" s="2" t="s">
        <v>4698</v>
      </c>
      <c r="J1358" s="2" t="s">
        <v>4696</v>
      </c>
      <c r="K1358" s="2" t="s">
        <v>4696</v>
      </c>
      <c r="L1358" s="2" t="s">
        <v>4696</v>
      </c>
      <c r="M1358" s="2" t="s">
        <v>4696</v>
      </c>
      <c r="N1358" s="2"/>
      <c r="O1358" s="2"/>
      <c r="P1358" s="2"/>
      <c r="Q1358" s="2"/>
    </row>
    <row r="1359" spans="1:17" x14ac:dyDescent="0.3">
      <c r="A1359" s="2">
        <v>5520</v>
      </c>
      <c r="B1359" s="2" t="s">
        <v>3500</v>
      </c>
      <c r="C1359" s="2" t="s">
        <v>3501</v>
      </c>
      <c r="D1359" s="2" t="s">
        <v>6015</v>
      </c>
      <c r="E1359" s="2" t="s">
        <v>6726</v>
      </c>
      <c r="F1359" s="2" t="s">
        <v>2</v>
      </c>
      <c r="G1359" s="2" t="s">
        <v>5170</v>
      </c>
      <c r="H1359" s="2" t="s">
        <v>431</v>
      </c>
      <c r="I1359" s="2" t="s">
        <v>14</v>
      </c>
      <c r="J1359" s="2" t="s">
        <v>4696</v>
      </c>
      <c r="K1359" s="2" t="s">
        <v>4696</v>
      </c>
      <c r="L1359" s="2" t="s">
        <v>4696</v>
      </c>
      <c r="M1359" s="2" t="s">
        <v>4696</v>
      </c>
      <c r="N1359" s="2"/>
      <c r="O1359" s="2"/>
      <c r="P1359" s="2"/>
      <c r="Q1359" s="2"/>
    </row>
    <row r="1360" spans="1:17" x14ac:dyDescent="0.3">
      <c r="A1360" s="2">
        <v>5523</v>
      </c>
      <c r="B1360" s="2" t="s">
        <v>3502</v>
      </c>
      <c r="C1360" s="2" t="s">
        <v>3503</v>
      </c>
      <c r="D1360" s="2" t="s">
        <v>6021</v>
      </c>
      <c r="E1360" s="2" t="s">
        <v>3504</v>
      </c>
      <c r="F1360" s="2" t="s">
        <v>2</v>
      </c>
      <c r="G1360" s="2" t="s">
        <v>5171</v>
      </c>
      <c r="H1360" s="2" t="s">
        <v>465</v>
      </c>
      <c r="I1360" s="2" t="s">
        <v>4707</v>
      </c>
      <c r="J1360" s="2" t="s">
        <v>4696</v>
      </c>
      <c r="K1360" s="2" t="s">
        <v>4696</v>
      </c>
      <c r="L1360" s="2" t="s">
        <v>4696</v>
      </c>
      <c r="M1360" s="2" t="s">
        <v>4696</v>
      </c>
      <c r="N1360" s="2"/>
      <c r="O1360" s="2"/>
      <c r="P1360" s="2"/>
      <c r="Q1360" s="2"/>
    </row>
    <row r="1361" spans="1:17" x14ac:dyDescent="0.3">
      <c r="A1361" s="2">
        <v>5529</v>
      </c>
      <c r="B1361" s="2" t="s">
        <v>3505</v>
      </c>
      <c r="C1361" s="2" t="s">
        <v>3506</v>
      </c>
      <c r="D1361" s="2" t="s">
        <v>6002</v>
      </c>
      <c r="E1361" s="2" t="s">
        <v>6727</v>
      </c>
      <c r="F1361" s="2" t="s">
        <v>2</v>
      </c>
      <c r="G1361" s="2" t="s">
        <v>5172</v>
      </c>
      <c r="H1361" s="2" t="s">
        <v>469</v>
      </c>
      <c r="I1361" s="2" t="s">
        <v>4711</v>
      </c>
      <c r="J1361" s="2" t="s">
        <v>4696</v>
      </c>
      <c r="K1361" s="2" t="s">
        <v>4696</v>
      </c>
      <c r="L1361" s="2" t="s">
        <v>4696</v>
      </c>
      <c r="M1361" s="2" t="s">
        <v>4696</v>
      </c>
      <c r="N1361" s="2"/>
      <c r="O1361" s="2"/>
      <c r="P1361" s="2"/>
      <c r="Q1361" s="2"/>
    </row>
    <row r="1362" spans="1:17" x14ac:dyDescent="0.3">
      <c r="A1362" s="2">
        <v>5530</v>
      </c>
      <c r="B1362" s="2" t="s">
        <v>3507</v>
      </c>
      <c r="C1362" s="2" t="s">
        <v>6728</v>
      </c>
      <c r="D1362" s="2" t="s">
        <v>6004</v>
      </c>
      <c r="E1362" s="2" t="s">
        <v>6729</v>
      </c>
      <c r="F1362" s="2" t="s">
        <v>2</v>
      </c>
      <c r="G1362" s="2" t="s">
        <v>6730</v>
      </c>
      <c r="H1362" s="2" t="s">
        <v>2059</v>
      </c>
      <c r="I1362" s="2" t="s">
        <v>4718</v>
      </c>
      <c r="J1362" s="2" t="s">
        <v>6537</v>
      </c>
      <c r="K1362" s="2" t="s">
        <v>4690</v>
      </c>
      <c r="L1362" s="2" t="s">
        <v>4691</v>
      </c>
      <c r="M1362" s="2" t="s">
        <v>4692</v>
      </c>
      <c r="N1362" s="2"/>
      <c r="O1362" s="2"/>
      <c r="P1362" s="2"/>
      <c r="Q1362" s="2"/>
    </row>
    <row r="1363" spans="1:17" x14ac:dyDescent="0.3">
      <c r="A1363" s="2">
        <v>5536</v>
      </c>
      <c r="B1363" s="2" t="s">
        <v>3508</v>
      </c>
      <c r="C1363" s="2" t="s">
        <v>3509</v>
      </c>
      <c r="D1363" s="2" t="s">
        <v>6037</v>
      </c>
      <c r="E1363" s="2" t="s">
        <v>3510</v>
      </c>
      <c r="F1363" s="2" t="s">
        <v>2</v>
      </c>
      <c r="G1363" s="2" t="s">
        <v>5173</v>
      </c>
      <c r="H1363" s="2" t="s">
        <v>451</v>
      </c>
      <c r="I1363" s="2" t="s">
        <v>4703</v>
      </c>
      <c r="J1363" s="2" t="s">
        <v>6464</v>
      </c>
      <c r="K1363" s="2" t="s">
        <v>4690</v>
      </c>
      <c r="L1363" s="2" t="s">
        <v>4691</v>
      </c>
      <c r="M1363" s="2" t="s">
        <v>4699</v>
      </c>
      <c r="N1363" s="2"/>
      <c r="O1363" s="2"/>
      <c r="P1363" s="2"/>
      <c r="Q1363" s="2"/>
    </row>
    <row r="1364" spans="1:17" x14ac:dyDescent="0.3">
      <c r="A1364" s="2">
        <v>5601</v>
      </c>
      <c r="B1364" s="2" t="s">
        <v>3511</v>
      </c>
      <c r="C1364" s="2" t="s">
        <v>3512</v>
      </c>
      <c r="D1364" s="2" t="s">
        <v>6020</v>
      </c>
      <c r="E1364" s="2" t="s">
        <v>3512</v>
      </c>
      <c r="F1364" s="2" t="s">
        <v>41</v>
      </c>
      <c r="G1364" s="2" t="s">
        <v>5174</v>
      </c>
      <c r="H1364" s="2" t="s">
        <v>431</v>
      </c>
      <c r="I1364" s="2" t="s">
        <v>4719</v>
      </c>
      <c r="J1364" s="2" t="s">
        <v>4696</v>
      </c>
      <c r="K1364" s="2" t="s">
        <v>4696</v>
      </c>
      <c r="L1364" s="2" t="s">
        <v>4696</v>
      </c>
      <c r="M1364" s="2" t="s">
        <v>2</v>
      </c>
      <c r="N1364" s="2"/>
      <c r="O1364" s="2"/>
      <c r="P1364" s="2"/>
      <c r="Q1364" s="2"/>
    </row>
    <row r="1365" spans="1:17" x14ac:dyDescent="0.3">
      <c r="A1365" s="2">
        <v>5603</v>
      </c>
      <c r="B1365" s="2" t="s">
        <v>3513</v>
      </c>
      <c r="C1365" s="2" t="s">
        <v>3514</v>
      </c>
      <c r="D1365" s="2" t="s">
        <v>6028</v>
      </c>
      <c r="E1365" s="2" t="s">
        <v>6558</v>
      </c>
      <c r="F1365" s="2" t="s">
        <v>41</v>
      </c>
      <c r="G1365" s="2" t="s">
        <v>5175</v>
      </c>
      <c r="H1365" s="2" t="s">
        <v>408</v>
      </c>
      <c r="I1365" s="2" t="s">
        <v>4721</v>
      </c>
      <c r="J1365" s="2" t="s">
        <v>4696</v>
      </c>
      <c r="K1365" s="2" t="s">
        <v>4696</v>
      </c>
      <c r="L1365" s="2" t="s">
        <v>4696</v>
      </c>
      <c r="M1365" s="2" t="s">
        <v>2</v>
      </c>
      <c r="N1365" s="2"/>
      <c r="O1365" s="2"/>
      <c r="P1365" s="2"/>
      <c r="Q1365" s="2"/>
    </row>
    <row r="1366" spans="1:17" x14ac:dyDescent="0.3">
      <c r="A1366" s="2">
        <v>5604</v>
      </c>
      <c r="B1366" s="2" t="s">
        <v>3515</v>
      </c>
      <c r="C1366" s="2" t="s">
        <v>3516</v>
      </c>
      <c r="D1366" s="2" t="s">
        <v>6141</v>
      </c>
      <c r="E1366" s="2" t="s">
        <v>3517</v>
      </c>
      <c r="F1366" s="2" t="s">
        <v>2</v>
      </c>
      <c r="G1366" s="2" t="s">
        <v>5176</v>
      </c>
      <c r="H1366" s="2" t="s">
        <v>408</v>
      </c>
      <c r="I1366" s="2" t="s">
        <v>30</v>
      </c>
      <c r="J1366" s="2" t="s">
        <v>4696</v>
      </c>
      <c r="K1366" s="2" t="s">
        <v>4696</v>
      </c>
      <c r="L1366" s="2" t="s">
        <v>4696</v>
      </c>
      <c r="M1366" s="2" t="s">
        <v>4696</v>
      </c>
      <c r="N1366" s="2"/>
      <c r="O1366" s="2"/>
      <c r="P1366" s="2"/>
      <c r="Q1366" s="2"/>
    </row>
    <row r="1367" spans="1:17" x14ac:dyDescent="0.3">
      <c r="A1367" s="2">
        <v>5609</v>
      </c>
      <c r="B1367" s="2" t="s">
        <v>237</v>
      </c>
      <c r="C1367" s="2" t="s">
        <v>3518</v>
      </c>
      <c r="D1367" s="2" t="s">
        <v>6025</v>
      </c>
      <c r="E1367" s="2" t="s">
        <v>3519</v>
      </c>
      <c r="F1367" s="2" t="s">
        <v>2</v>
      </c>
      <c r="G1367" s="2" t="s">
        <v>5177</v>
      </c>
      <c r="H1367" s="2" t="s">
        <v>424</v>
      </c>
      <c r="I1367" s="2" t="s">
        <v>25</v>
      </c>
      <c r="J1367" s="2" t="s">
        <v>4696</v>
      </c>
      <c r="K1367" s="2" t="s">
        <v>4696</v>
      </c>
      <c r="L1367" s="2" t="s">
        <v>4696</v>
      </c>
      <c r="M1367" s="2" t="s">
        <v>4696</v>
      </c>
      <c r="N1367" s="2"/>
      <c r="O1367" s="2"/>
      <c r="P1367" s="2"/>
      <c r="Q1367" s="2"/>
    </row>
    <row r="1368" spans="1:17" x14ac:dyDescent="0.3">
      <c r="A1368" s="2">
        <v>5701</v>
      </c>
      <c r="B1368" s="2" t="s">
        <v>100</v>
      </c>
      <c r="C1368" s="2" t="s">
        <v>3520</v>
      </c>
      <c r="D1368" s="2" t="s">
        <v>6051</v>
      </c>
      <c r="E1368" s="2" t="s">
        <v>3521</v>
      </c>
      <c r="F1368" s="2" t="s">
        <v>2</v>
      </c>
      <c r="G1368" s="2" t="s">
        <v>5178</v>
      </c>
      <c r="H1368" s="2" t="s">
        <v>431</v>
      </c>
      <c r="I1368" s="2" t="s">
        <v>4702</v>
      </c>
      <c r="J1368" s="2" t="s">
        <v>6557</v>
      </c>
      <c r="K1368" s="2" t="s">
        <v>4690</v>
      </c>
      <c r="L1368" s="2" t="s">
        <v>4691</v>
      </c>
      <c r="M1368" s="2" t="s">
        <v>4696</v>
      </c>
      <c r="N1368" s="2"/>
      <c r="O1368" s="2"/>
      <c r="P1368" s="2"/>
      <c r="Q1368" s="2"/>
    </row>
    <row r="1369" spans="1:17" x14ac:dyDescent="0.3">
      <c r="A1369" s="2">
        <v>5703</v>
      </c>
      <c r="B1369" s="2" t="s">
        <v>3522</v>
      </c>
      <c r="C1369" s="2" t="s">
        <v>3523</v>
      </c>
      <c r="D1369" s="2" t="s">
        <v>6020</v>
      </c>
      <c r="E1369" s="2" t="s">
        <v>6731</v>
      </c>
      <c r="F1369" s="2" t="s">
        <v>41</v>
      </c>
      <c r="G1369" s="2">
        <v>225971234</v>
      </c>
      <c r="H1369" s="2" t="s">
        <v>451</v>
      </c>
      <c r="I1369" s="2">
        <v>223892999</v>
      </c>
      <c r="J1369" s="2" t="s">
        <v>4696</v>
      </c>
      <c r="K1369" s="2" t="s">
        <v>4696</v>
      </c>
      <c r="L1369" s="2" t="s">
        <v>4696</v>
      </c>
      <c r="M1369" s="2" t="s">
        <v>4696</v>
      </c>
      <c r="N1369" s="2"/>
      <c r="O1369" s="2"/>
      <c r="P1369" s="2"/>
      <c r="Q1369" s="2"/>
    </row>
    <row r="1370" spans="1:17" x14ac:dyDescent="0.3">
      <c r="A1370" s="2">
        <v>5704</v>
      </c>
      <c r="B1370" s="2" t="s">
        <v>3524</v>
      </c>
      <c r="C1370" s="2" t="s">
        <v>3525</v>
      </c>
      <c r="D1370" s="2" t="s">
        <v>6014</v>
      </c>
      <c r="E1370" s="2" t="s">
        <v>3526</v>
      </c>
      <c r="F1370" s="2" t="s">
        <v>41</v>
      </c>
      <c r="G1370" s="2">
        <v>89510666</v>
      </c>
      <c r="H1370" s="2" t="s">
        <v>456</v>
      </c>
      <c r="I1370" s="2">
        <v>225048125</v>
      </c>
      <c r="J1370" s="2" t="s">
        <v>4696</v>
      </c>
      <c r="K1370" s="2" t="s">
        <v>4696</v>
      </c>
      <c r="L1370" s="2" t="s">
        <v>4696</v>
      </c>
      <c r="M1370" s="2" t="s">
        <v>2</v>
      </c>
      <c r="N1370" s="2"/>
      <c r="O1370" s="2"/>
      <c r="P1370" s="2"/>
      <c r="Q1370" s="2"/>
    </row>
    <row r="1371" spans="1:17" x14ac:dyDescent="0.3">
      <c r="A1371" s="2">
        <v>5820</v>
      </c>
      <c r="B1371" s="2" t="s">
        <v>3527</v>
      </c>
      <c r="C1371" s="2" t="s">
        <v>3528</v>
      </c>
      <c r="D1371" s="2" t="s">
        <v>6025</v>
      </c>
      <c r="E1371" s="2" t="s">
        <v>3529</v>
      </c>
      <c r="F1371" s="2" t="s">
        <v>2</v>
      </c>
      <c r="G1371" s="2" t="s">
        <v>5179</v>
      </c>
      <c r="H1371" s="2" t="s">
        <v>1911</v>
      </c>
      <c r="I1371" s="2">
        <v>25419977</v>
      </c>
      <c r="J1371" s="2" t="s">
        <v>6640</v>
      </c>
      <c r="K1371" s="2" t="s">
        <v>4690</v>
      </c>
      <c r="L1371" s="2" t="s">
        <v>4691</v>
      </c>
      <c r="M1371" s="2" t="s">
        <v>4692</v>
      </c>
      <c r="N1371" s="2"/>
      <c r="O1371" s="2"/>
      <c r="P1371" s="2"/>
      <c r="Q1371" s="2"/>
    </row>
    <row r="1372" spans="1:17" x14ac:dyDescent="0.3">
      <c r="A1372" s="2">
        <v>5878</v>
      </c>
      <c r="B1372" s="2" t="s">
        <v>3530</v>
      </c>
      <c r="C1372" s="2" t="s">
        <v>3531</v>
      </c>
      <c r="D1372" s="2" t="s">
        <v>6002</v>
      </c>
      <c r="E1372" s="2" t="s">
        <v>3532</v>
      </c>
      <c r="F1372" s="2" t="s">
        <v>41</v>
      </c>
      <c r="G1372" s="2" t="s">
        <v>5180</v>
      </c>
      <c r="H1372" s="2" t="s">
        <v>478</v>
      </c>
      <c r="I1372" s="2" t="s">
        <v>4731</v>
      </c>
      <c r="J1372" s="2" t="s">
        <v>4696</v>
      </c>
      <c r="K1372" s="2" t="s">
        <v>4696</v>
      </c>
      <c r="L1372" s="2" t="s">
        <v>4696</v>
      </c>
      <c r="M1372" s="2" t="s">
        <v>2</v>
      </c>
      <c r="N1372" s="2"/>
      <c r="O1372" s="2"/>
      <c r="P1372" s="2"/>
      <c r="Q1372" s="2"/>
    </row>
    <row r="1373" spans="1:17" x14ac:dyDescent="0.3">
      <c r="A1373" s="2">
        <v>5902</v>
      </c>
      <c r="B1373" s="2" t="s">
        <v>3533</v>
      </c>
      <c r="C1373" s="2" t="s">
        <v>6732</v>
      </c>
      <c r="D1373" s="2" t="s">
        <v>6021</v>
      </c>
      <c r="E1373" s="2" t="s">
        <v>6733</v>
      </c>
      <c r="F1373" s="2" t="s">
        <v>2</v>
      </c>
      <c r="G1373" s="2" t="s">
        <v>6734</v>
      </c>
      <c r="H1373" s="2" t="s">
        <v>2415</v>
      </c>
      <c r="I1373" s="2" t="s">
        <v>5181</v>
      </c>
      <c r="J1373" s="2" t="s">
        <v>4696</v>
      </c>
      <c r="K1373" s="2" t="s">
        <v>4696</v>
      </c>
      <c r="L1373" s="2" t="s">
        <v>4696</v>
      </c>
      <c r="M1373" s="2" t="s">
        <v>2</v>
      </c>
      <c r="N1373" s="2"/>
      <c r="O1373" s="2"/>
      <c r="P1373" s="2"/>
      <c r="Q1373" s="2"/>
    </row>
    <row r="1374" spans="1:17" x14ac:dyDescent="0.3">
      <c r="A1374" s="2">
        <v>5903</v>
      </c>
      <c r="B1374" s="2" t="s">
        <v>3534</v>
      </c>
      <c r="C1374" s="2" t="s">
        <v>3535</v>
      </c>
      <c r="D1374" s="2" t="s">
        <v>6004</v>
      </c>
      <c r="E1374" s="2" t="s">
        <v>3536</v>
      </c>
      <c r="F1374" s="2" t="s">
        <v>2</v>
      </c>
      <c r="G1374" s="2" t="s">
        <v>5182</v>
      </c>
      <c r="H1374" s="2" t="s">
        <v>505</v>
      </c>
      <c r="I1374" s="2" t="s">
        <v>4712</v>
      </c>
      <c r="J1374" s="2" t="s">
        <v>4696</v>
      </c>
      <c r="K1374" s="2" t="s">
        <v>4696</v>
      </c>
      <c r="L1374" s="2" t="s">
        <v>4696</v>
      </c>
      <c r="M1374" s="2" t="s">
        <v>2</v>
      </c>
      <c r="N1374" s="2"/>
      <c r="O1374" s="2"/>
      <c r="P1374" s="2"/>
      <c r="Q1374" s="2"/>
    </row>
    <row r="1375" spans="1:17" x14ac:dyDescent="0.3">
      <c r="A1375" s="2">
        <v>5904</v>
      </c>
      <c r="B1375" s="2" t="s">
        <v>3537</v>
      </c>
      <c r="C1375" s="2" t="s">
        <v>3538</v>
      </c>
      <c r="D1375" s="2" t="s">
        <v>6037</v>
      </c>
      <c r="E1375" s="2" t="s">
        <v>3539</v>
      </c>
      <c r="F1375" s="2" t="s">
        <v>2</v>
      </c>
      <c r="G1375" s="2" t="s">
        <v>5183</v>
      </c>
      <c r="H1375" s="2" t="s">
        <v>574</v>
      </c>
      <c r="I1375" s="2" t="s">
        <v>4732</v>
      </c>
      <c r="J1375" s="2" t="s">
        <v>6464</v>
      </c>
      <c r="K1375" s="2" t="s">
        <v>4690</v>
      </c>
      <c r="L1375" s="2" t="s">
        <v>4691</v>
      </c>
      <c r="M1375" s="2" t="s">
        <v>4699</v>
      </c>
      <c r="N1375" s="2"/>
      <c r="O1375" s="2"/>
      <c r="P1375" s="2"/>
      <c r="Q1375" s="2"/>
    </row>
    <row r="1376" spans="1:17" x14ac:dyDescent="0.3">
      <c r="A1376" s="2">
        <v>5905</v>
      </c>
      <c r="B1376" s="2" t="s">
        <v>339</v>
      </c>
      <c r="C1376" s="2" t="s">
        <v>6735</v>
      </c>
      <c r="D1376" s="2" t="s">
        <v>6001</v>
      </c>
      <c r="E1376" s="2" t="s">
        <v>3540</v>
      </c>
      <c r="F1376" s="2" t="s">
        <v>2</v>
      </c>
      <c r="G1376" s="2" t="s">
        <v>5184</v>
      </c>
      <c r="H1376" s="2" t="s">
        <v>996</v>
      </c>
      <c r="I1376" s="2" t="s">
        <v>4710</v>
      </c>
      <c r="J1376" s="2" t="s">
        <v>6442</v>
      </c>
      <c r="K1376" s="2" t="s">
        <v>4690</v>
      </c>
      <c r="L1376" s="2" t="s">
        <v>4691</v>
      </c>
      <c r="M1376" s="2" t="s">
        <v>4692</v>
      </c>
      <c r="N1376" s="2"/>
      <c r="O1376" s="2"/>
      <c r="P1376" s="2"/>
      <c r="Q1376" s="2"/>
    </row>
    <row r="1377" spans="1:17" x14ac:dyDescent="0.3">
      <c r="A1377" s="2">
        <v>6015</v>
      </c>
      <c r="B1377" s="2" t="s">
        <v>1264</v>
      </c>
      <c r="C1377" s="2" t="s">
        <v>3541</v>
      </c>
      <c r="D1377" s="2" t="s">
        <v>6134</v>
      </c>
      <c r="E1377" s="2" t="s">
        <v>3542</v>
      </c>
      <c r="F1377" s="2" t="s">
        <v>2</v>
      </c>
      <c r="G1377" s="2">
        <v>27008899</v>
      </c>
      <c r="H1377" s="2" t="s">
        <v>3543</v>
      </c>
      <c r="I1377" s="2">
        <v>77198899</v>
      </c>
      <c r="J1377" s="2" t="s">
        <v>6658</v>
      </c>
      <c r="K1377" s="2" t="s">
        <v>4690</v>
      </c>
      <c r="L1377" s="2" t="s">
        <v>4691</v>
      </c>
      <c r="M1377" s="2" t="s">
        <v>4692</v>
      </c>
      <c r="N1377" s="2"/>
      <c r="O1377" s="2"/>
      <c r="P1377" s="2"/>
      <c r="Q1377" s="2"/>
    </row>
    <row r="1378" spans="1:17" x14ac:dyDescent="0.3">
      <c r="A1378" s="2">
        <v>6016</v>
      </c>
      <c r="B1378" s="2" t="s">
        <v>3544</v>
      </c>
      <c r="C1378" s="2" t="s">
        <v>3545</v>
      </c>
      <c r="D1378" s="2" t="s">
        <v>6004</v>
      </c>
      <c r="E1378" s="2" t="s">
        <v>6736</v>
      </c>
      <c r="F1378" s="2" t="s">
        <v>2</v>
      </c>
      <c r="G1378" s="2">
        <v>87871888</v>
      </c>
      <c r="H1378" s="2" t="s">
        <v>6737</v>
      </c>
      <c r="I1378" s="2" t="s">
        <v>6738</v>
      </c>
      <c r="J1378" s="2" t="s">
        <v>6537</v>
      </c>
      <c r="K1378" s="2" t="s">
        <v>4690</v>
      </c>
      <c r="L1378" s="2" t="s">
        <v>4691</v>
      </c>
      <c r="M1378" s="2" t="s">
        <v>4692</v>
      </c>
      <c r="N1378" s="2"/>
      <c r="O1378" s="2"/>
      <c r="P1378" s="2"/>
      <c r="Q1378" s="2"/>
    </row>
    <row r="1379" spans="1:17" x14ac:dyDescent="0.3">
      <c r="A1379" s="2">
        <v>6020</v>
      </c>
      <c r="B1379" s="2" t="s">
        <v>3546</v>
      </c>
      <c r="C1379" s="2" t="s">
        <v>3547</v>
      </c>
      <c r="D1379" s="2" t="s">
        <v>6001</v>
      </c>
      <c r="E1379" s="2" t="s">
        <v>3548</v>
      </c>
      <c r="F1379" s="2" t="s">
        <v>2</v>
      </c>
      <c r="G1379" s="2">
        <v>25551234</v>
      </c>
      <c r="H1379" s="2" t="s">
        <v>996</v>
      </c>
      <c r="I1379" s="2" t="s">
        <v>4765</v>
      </c>
      <c r="J1379" s="2" t="s">
        <v>4696</v>
      </c>
      <c r="K1379" s="2" t="s">
        <v>4696</v>
      </c>
      <c r="L1379" s="2" t="s">
        <v>4696</v>
      </c>
      <c r="M1379" s="2" t="s">
        <v>4696</v>
      </c>
      <c r="N1379" s="2"/>
      <c r="O1379" s="2"/>
      <c r="P1379" s="2"/>
      <c r="Q1379" s="2"/>
    </row>
    <row r="1380" spans="1:17" x14ac:dyDescent="0.3">
      <c r="A1380" s="2">
        <v>6021</v>
      </c>
      <c r="B1380" s="2" t="s">
        <v>3549</v>
      </c>
      <c r="C1380" s="2" t="s">
        <v>3550</v>
      </c>
      <c r="D1380" s="2" t="s">
        <v>6015</v>
      </c>
      <c r="E1380" s="2" t="s">
        <v>3551</v>
      </c>
      <c r="F1380" s="2" t="s">
        <v>41</v>
      </c>
      <c r="G1380" s="2">
        <v>25084888</v>
      </c>
      <c r="H1380" s="2" t="s">
        <v>3552</v>
      </c>
      <c r="I1380" s="2" t="s">
        <v>4700</v>
      </c>
      <c r="J1380" s="2" t="s">
        <v>4696</v>
      </c>
      <c r="K1380" s="2" t="s">
        <v>4696</v>
      </c>
      <c r="L1380" s="2" t="s">
        <v>4696</v>
      </c>
      <c r="M1380" s="2" t="s">
        <v>4696</v>
      </c>
      <c r="N1380" s="2"/>
      <c r="O1380" s="2"/>
      <c r="P1380" s="2"/>
      <c r="Q1380" s="2"/>
    </row>
    <row r="1381" spans="1:17" x14ac:dyDescent="0.3">
      <c r="A1381" s="2">
        <v>6022</v>
      </c>
      <c r="B1381" s="2" t="s">
        <v>3553</v>
      </c>
      <c r="C1381" s="2" t="s">
        <v>3554</v>
      </c>
      <c r="D1381" s="2" t="s">
        <v>6024</v>
      </c>
      <c r="E1381" s="2" t="s">
        <v>3555</v>
      </c>
      <c r="F1381" s="2" t="s">
        <v>2</v>
      </c>
      <c r="G1381" s="2" t="s">
        <v>5185</v>
      </c>
      <c r="H1381" s="2" t="s">
        <v>431</v>
      </c>
      <c r="I1381" s="2" t="s">
        <v>4693</v>
      </c>
      <c r="J1381" s="2" t="s">
        <v>4696</v>
      </c>
      <c r="K1381" s="2" t="s">
        <v>4696</v>
      </c>
      <c r="L1381" s="2" t="s">
        <v>4696</v>
      </c>
      <c r="M1381" s="2" t="s">
        <v>4692</v>
      </c>
      <c r="N1381" s="2"/>
      <c r="O1381" s="2"/>
      <c r="P1381" s="2"/>
      <c r="Q1381" s="2"/>
    </row>
    <row r="1382" spans="1:17" x14ac:dyDescent="0.3">
      <c r="A1382" s="2">
        <v>6023</v>
      </c>
      <c r="B1382" s="2" t="s">
        <v>3556</v>
      </c>
      <c r="C1382" s="2" t="s">
        <v>6739</v>
      </c>
      <c r="D1382" s="2" t="s">
        <v>6080</v>
      </c>
      <c r="E1382" s="2" t="s">
        <v>3557</v>
      </c>
      <c r="F1382" s="2" t="s">
        <v>2</v>
      </c>
      <c r="G1382" s="2" t="s">
        <v>5186</v>
      </c>
      <c r="H1382" s="2" t="s">
        <v>6009</v>
      </c>
      <c r="I1382" s="2" t="s">
        <v>4708</v>
      </c>
      <c r="J1382" s="2" t="s">
        <v>6740</v>
      </c>
      <c r="K1382" s="2" t="s">
        <v>4690</v>
      </c>
      <c r="L1382" s="2" t="s">
        <v>4691</v>
      </c>
      <c r="M1382" s="2" t="s">
        <v>4699</v>
      </c>
      <c r="N1382" s="2"/>
      <c r="O1382" s="2"/>
      <c r="P1382" s="2"/>
      <c r="Q1382" s="2"/>
    </row>
    <row r="1383" spans="1:17" x14ac:dyDescent="0.3">
      <c r="A1383" s="2">
        <v>6024</v>
      </c>
      <c r="B1383" s="2" t="s">
        <v>3558</v>
      </c>
      <c r="C1383" s="2" t="s">
        <v>3559</v>
      </c>
      <c r="D1383" s="2" t="s">
        <v>6034</v>
      </c>
      <c r="E1383" s="2" t="s">
        <v>3560</v>
      </c>
      <c r="F1383" s="2" t="s">
        <v>2</v>
      </c>
      <c r="G1383" s="2" t="s">
        <v>5187</v>
      </c>
      <c r="H1383" s="2" t="s">
        <v>431</v>
      </c>
      <c r="I1383" s="2" t="s">
        <v>5188</v>
      </c>
      <c r="J1383" s="2" t="s">
        <v>4696</v>
      </c>
      <c r="K1383" s="2" t="s">
        <v>4696</v>
      </c>
      <c r="L1383" s="2" t="s">
        <v>4696</v>
      </c>
      <c r="M1383" s="2" t="s">
        <v>2</v>
      </c>
      <c r="N1383" s="2"/>
      <c r="O1383" s="2"/>
      <c r="P1383" s="2"/>
      <c r="Q1383" s="2"/>
    </row>
    <row r="1384" spans="1:17" x14ac:dyDescent="0.3">
      <c r="A1384" s="2">
        <v>6026</v>
      </c>
      <c r="B1384" s="2" t="s">
        <v>4480</v>
      </c>
      <c r="C1384" s="2" t="s">
        <v>6741</v>
      </c>
      <c r="D1384" s="2" t="s">
        <v>6001</v>
      </c>
      <c r="E1384" s="2" t="s">
        <v>6742</v>
      </c>
      <c r="F1384" s="2" t="s">
        <v>2</v>
      </c>
      <c r="G1384" s="2">
        <v>23836888</v>
      </c>
      <c r="H1384" s="2" t="s">
        <v>404</v>
      </c>
      <c r="I1384" s="2" t="s">
        <v>4727</v>
      </c>
      <c r="J1384" s="2" t="s">
        <v>4696</v>
      </c>
      <c r="K1384" s="2" t="s">
        <v>4696</v>
      </c>
      <c r="L1384" s="2" t="s">
        <v>4696</v>
      </c>
      <c r="M1384" s="2" t="s">
        <v>4696</v>
      </c>
      <c r="N1384" s="2"/>
      <c r="O1384" s="2"/>
      <c r="P1384" s="2"/>
      <c r="Q1384" s="2"/>
    </row>
    <row r="1385" spans="1:17" x14ac:dyDescent="0.3">
      <c r="A1385" s="2">
        <v>6101</v>
      </c>
      <c r="B1385" s="2" t="s">
        <v>3561</v>
      </c>
      <c r="C1385" s="2" t="s">
        <v>6743</v>
      </c>
      <c r="D1385" s="2" t="s">
        <v>6021</v>
      </c>
      <c r="E1385" s="2" t="s">
        <v>6744</v>
      </c>
      <c r="F1385" s="2" t="s">
        <v>2</v>
      </c>
      <c r="G1385" s="2" t="s">
        <v>6745</v>
      </c>
      <c r="H1385" s="2" t="s">
        <v>6006</v>
      </c>
      <c r="I1385" s="2" t="s">
        <v>25</v>
      </c>
      <c r="J1385" s="2" t="s">
        <v>4696</v>
      </c>
      <c r="K1385" s="2" t="s">
        <v>4696</v>
      </c>
      <c r="L1385" s="2" t="s">
        <v>4696</v>
      </c>
      <c r="M1385" s="2" t="s">
        <v>4696</v>
      </c>
      <c r="N1385" s="2"/>
      <c r="O1385" s="2"/>
      <c r="P1385" s="2"/>
      <c r="Q1385" s="2"/>
    </row>
    <row r="1386" spans="1:17" x14ac:dyDescent="0.3">
      <c r="A1386" s="2">
        <v>6103</v>
      </c>
      <c r="B1386" s="2" t="s">
        <v>3562</v>
      </c>
      <c r="C1386" s="2" t="s">
        <v>3563</v>
      </c>
      <c r="D1386" s="2" t="s">
        <v>6007</v>
      </c>
      <c r="E1386" s="2" t="s">
        <v>6746</v>
      </c>
      <c r="F1386" s="2" t="s">
        <v>2</v>
      </c>
      <c r="G1386" s="2" t="s">
        <v>5189</v>
      </c>
      <c r="H1386" s="2" t="s">
        <v>6006</v>
      </c>
      <c r="I1386" s="2" t="s">
        <v>25</v>
      </c>
      <c r="J1386" s="2" t="s">
        <v>4696</v>
      </c>
      <c r="K1386" s="2" t="s">
        <v>4696</v>
      </c>
      <c r="L1386" s="2" t="s">
        <v>4696</v>
      </c>
      <c r="M1386" s="2" t="s">
        <v>4696</v>
      </c>
      <c r="N1386" s="2"/>
      <c r="O1386" s="2"/>
      <c r="P1386" s="2"/>
      <c r="Q1386" s="2"/>
    </row>
    <row r="1387" spans="1:17" x14ac:dyDescent="0.3">
      <c r="A1387" s="2">
        <v>6104</v>
      </c>
      <c r="B1387" s="2" t="s">
        <v>3564</v>
      </c>
      <c r="C1387" s="2" t="s">
        <v>3565</v>
      </c>
      <c r="D1387" s="2" t="s">
        <v>6000</v>
      </c>
      <c r="E1387" s="2" t="s">
        <v>3566</v>
      </c>
      <c r="F1387" s="2" t="s">
        <v>41</v>
      </c>
      <c r="G1387" s="2" t="s">
        <v>5190</v>
      </c>
      <c r="H1387" s="2" t="s">
        <v>817</v>
      </c>
      <c r="I1387" s="2" t="s">
        <v>4727</v>
      </c>
      <c r="J1387" s="2" t="s">
        <v>4696</v>
      </c>
      <c r="K1387" s="2" t="s">
        <v>4696</v>
      </c>
      <c r="L1387" s="2" t="s">
        <v>4696</v>
      </c>
      <c r="M1387" s="2" t="s">
        <v>4696</v>
      </c>
      <c r="N1387" s="2"/>
      <c r="O1387" s="2"/>
      <c r="P1387" s="2"/>
      <c r="Q1387" s="2"/>
    </row>
    <row r="1388" spans="1:17" x14ac:dyDescent="0.3">
      <c r="A1388" s="2">
        <v>6105</v>
      </c>
      <c r="B1388" s="2" t="s">
        <v>3567</v>
      </c>
      <c r="C1388" s="2" t="s">
        <v>3568</v>
      </c>
      <c r="D1388" s="2" t="s">
        <v>6004</v>
      </c>
      <c r="E1388" s="2" t="s">
        <v>3569</v>
      </c>
      <c r="F1388" s="2" t="s">
        <v>2</v>
      </c>
      <c r="G1388" s="2" t="s">
        <v>5191</v>
      </c>
      <c r="H1388" s="2" t="s">
        <v>605</v>
      </c>
      <c r="I1388" s="2" t="s">
        <v>34</v>
      </c>
      <c r="J1388" s="2" t="s">
        <v>4696</v>
      </c>
      <c r="K1388" s="2" t="s">
        <v>4696</v>
      </c>
      <c r="L1388" s="2" t="s">
        <v>4696</v>
      </c>
      <c r="M1388" s="2" t="s">
        <v>4696</v>
      </c>
      <c r="N1388" s="2"/>
      <c r="O1388" s="2"/>
      <c r="P1388" s="2"/>
      <c r="Q1388" s="2"/>
    </row>
    <row r="1389" spans="1:17" x14ac:dyDescent="0.3">
      <c r="A1389" s="2">
        <v>6107</v>
      </c>
      <c r="B1389" s="2" t="s">
        <v>3570</v>
      </c>
      <c r="C1389" s="2" t="s">
        <v>3571</v>
      </c>
      <c r="D1389" s="2" t="s">
        <v>6051</v>
      </c>
      <c r="E1389" s="2" t="s">
        <v>3572</v>
      </c>
      <c r="F1389" s="2" t="s">
        <v>2</v>
      </c>
      <c r="G1389" s="2" t="s">
        <v>5192</v>
      </c>
      <c r="H1389" s="2" t="s">
        <v>3573</v>
      </c>
      <c r="I1389" s="2" t="s">
        <v>4753</v>
      </c>
      <c r="J1389" s="2" t="s">
        <v>4696</v>
      </c>
      <c r="K1389" s="2" t="s">
        <v>4696</v>
      </c>
      <c r="L1389" s="2" t="s">
        <v>4696</v>
      </c>
      <c r="M1389" s="2" t="s">
        <v>2</v>
      </c>
      <c r="N1389" s="2"/>
      <c r="O1389" s="2"/>
      <c r="P1389" s="2"/>
      <c r="Q1389" s="2"/>
    </row>
    <row r="1390" spans="1:17" x14ac:dyDescent="0.3">
      <c r="A1390" s="2">
        <v>6109</v>
      </c>
      <c r="B1390" s="2" t="s">
        <v>3574</v>
      </c>
      <c r="C1390" s="2" t="s">
        <v>3575</v>
      </c>
      <c r="D1390" s="2" t="s">
        <v>6021</v>
      </c>
      <c r="E1390" s="2" t="s">
        <v>3576</v>
      </c>
      <c r="F1390" s="2" t="s">
        <v>2</v>
      </c>
      <c r="G1390" s="2" t="s">
        <v>5193</v>
      </c>
      <c r="H1390" s="2" t="s">
        <v>456</v>
      </c>
      <c r="I1390" s="2" t="s">
        <v>4741</v>
      </c>
      <c r="J1390" s="2" t="s">
        <v>4696</v>
      </c>
      <c r="K1390" s="2" t="s">
        <v>4696</v>
      </c>
      <c r="L1390" s="2" t="s">
        <v>4696</v>
      </c>
      <c r="M1390" s="2" t="s">
        <v>2</v>
      </c>
      <c r="N1390" s="2"/>
      <c r="O1390" s="2"/>
      <c r="P1390" s="2"/>
      <c r="Q1390" s="2"/>
    </row>
    <row r="1391" spans="1:17" x14ac:dyDescent="0.3">
      <c r="A1391" s="2">
        <v>6111</v>
      </c>
      <c r="B1391" s="2" t="s">
        <v>3577</v>
      </c>
      <c r="C1391" s="2" t="s">
        <v>6747</v>
      </c>
      <c r="D1391" s="2" t="s">
        <v>6031</v>
      </c>
      <c r="E1391" s="2" t="s">
        <v>6748</v>
      </c>
      <c r="F1391" s="2" t="s">
        <v>2</v>
      </c>
      <c r="G1391" s="2" t="s">
        <v>6749</v>
      </c>
      <c r="H1391" s="2" t="s">
        <v>6009</v>
      </c>
      <c r="I1391" s="2" t="s">
        <v>4698</v>
      </c>
      <c r="J1391" s="2" t="s">
        <v>4696</v>
      </c>
      <c r="K1391" s="2" t="s">
        <v>4696</v>
      </c>
      <c r="L1391" s="2" t="s">
        <v>4696</v>
      </c>
      <c r="M1391" s="2" t="s">
        <v>2</v>
      </c>
      <c r="N1391" s="2"/>
      <c r="O1391" s="2"/>
      <c r="P1391" s="2"/>
      <c r="Q1391" s="2"/>
    </row>
    <row r="1392" spans="1:17" x14ac:dyDescent="0.3">
      <c r="A1392" s="2">
        <v>6113</v>
      </c>
      <c r="B1392" s="2" t="s">
        <v>3578</v>
      </c>
      <c r="C1392" s="2" t="s">
        <v>3579</v>
      </c>
      <c r="D1392" s="2" t="s">
        <v>6004</v>
      </c>
      <c r="E1392" s="2" t="s">
        <v>3580</v>
      </c>
      <c r="F1392" s="2" t="s">
        <v>2</v>
      </c>
      <c r="G1392" s="2" t="s">
        <v>5194</v>
      </c>
      <c r="H1392" s="2" t="s">
        <v>451</v>
      </c>
      <c r="I1392" s="2" t="s">
        <v>10</v>
      </c>
      <c r="J1392" s="2" t="s">
        <v>4696</v>
      </c>
      <c r="K1392" s="2" t="s">
        <v>4696</v>
      </c>
      <c r="L1392" s="2" t="s">
        <v>4696</v>
      </c>
      <c r="M1392" s="2" t="s">
        <v>2</v>
      </c>
      <c r="N1392" s="2"/>
      <c r="O1392" s="2"/>
      <c r="P1392" s="2"/>
      <c r="Q1392" s="2"/>
    </row>
    <row r="1393" spans="1:17" x14ac:dyDescent="0.3">
      <c r="A1393" s="2">
        <v>6114</v>
      </c>
      <c r="B1393" s="2" t="s">
        <v>6750</v>
      </c>
      <c r="C1393" s="2" t="s">
        <v>3581</v>
      </c>
      <c r="D1393" s="2" t="s">
        <v>6051</v>
      </c>
      <c r="E1393" s="2" t="s">
        <v>6751</v>
      </c>
      <c r="F1393" s="2" t="s">
        <v>41</v>
      </c>
      <c r="G1393" s="2" t="s">
        <v>5195</v>
      </c>
      <c r="H1393" s="2" t="s">
        <v>2418</v>
      </c>
      <c r="I1393" s="2" t="s">
        <v>4722</v>
      </c>
      <c r="J1393" s="2" t="s">
        <v>4696</v>
      </c>
      <c r="K1393" s="2" t="s">
        <v>4696</v>
      </c>
      <c r="L1393" s="2" t="s">
        <v>4696</v>
      </c>
      <c r="M1393" s="2" t="s">
        <v>4696</v>
      </c>
      <c r="N1393" s="2"/>
      <c r="O1393" s="2"/>
      <c r="P1393" s="2"/>
      <c r="Q1393" s="2"/>
    </row>
    <row r="1394" spans="1:17" x14ac:dyDescent="0.3">
      <c r="A1394" s="2">
        <v>6118</v>
      </c>
      <c r="B1394" s="2" t="s">
        <v>3582</v>
      </c>
      <c r="C1394" s="2" t="s">
        <v>3583</v>
      </c>
      <c r="D1394" s="2" t="s">
        <v>6002</v>
      </c>
      <c r="E1394" s="2" t="s">
        <v>6752</v>
      </c>
      <c r="F1394" s="2" t="s">
        <v>2</v>
      </c>
      <c r="G1394" s="2" t="s">
        <v>5196</v>
      </c>
      <c r="H1394" s="2" t="s">
        <v>404</v>
      </c>
      <c r="I1394" s="2" t="s">
        <v>1</v>
      </c>
      <c r="J1394" s="2" t="s">
        <v>4696</v>
      </c>
      <c r="K1394" s="2" t="s">
        <v>4696</v>
      </c>
      <c r="L1394" s="2" t="s">
        <v>4696</v>
      </c>
      <c r="M1394" s="2" t="s">
        <v>2</v>
      </c>
      <c r="N1394" s="2"/>
      <c r="O1394" s="2"/>
      <c r="P1394" s="2"/>
      <c r="Q1394" s="2"/>
    </row>
    <row r="1395" spans="1:17" x14ac:dyDescent="0.3">
      <c r="A1395" s="2">
        <v>6121</v>
      </c>
      <c r="B1395" s="2" t="s">
        <v>3584</v>
      </c>
      <c r="C1395" s="2" t="s">
        <v>3585</v>
      </c>
      <c r="D1395" s="2" t="s">
        <v>6021</v>
      </c>
      <c r="E1395" s="2" t="s">
        <v>3586</v>
      </c>
      <c r="F1395" s="2" t="s">
        <v>2</v>
      </c>
      <c r="G1395" s="2" t="s">
        <v>5197</v>
      </c>
      <c r="H1395" s="2" t="s">
        <v>456</v>
      </c>
      <c r="I1395" s="2" t="s">
        <v>4723</v>
      </c>
      <c r="J1395" s="2" t="s">
        <v>6710</v>
      </c>
      <c r="K1395" s="2" t="s">
        <v>4690</v>
      </c>
      <c r="L1395" s="2" t="s">
        <v>4691</v>
      </c>
      <c r="M1395" s="2" t="s">
        <v>4692</v>
      </c>
      <c r="N1395" s="2"/>
      <c r="O1395" s="2"/>
      <c r="P1395" s="2"/>
      <c r="Q1395" s="2"/>
    </row>
    <row r="1396" spans="1:17" x14ac:dyDescent="0.3">
      <c r="A1396" s="2">
        <v>6122</v>
      </c>
      <c r="B1396" s="2" t="s">
        <v>3587</v>
      </c>
      <c r="C1396" s="2" t="s">
        <v>3588</v>
      </c>
      <c r="D1396" s="2" t="s">
        <v>6001</v>
      </c>
      <c r="E1396" s="2" t="s">
        <v>3589</v>
      </c>
      <c r="F1396" s="2" t="s">
        <v>41</v>
      </c>
      <c r="G1396" s="2" t="s">
        <v>5198</v>
      </c>
      <c r="H1396" s="2" t="s">
        <v>3590</v>
      </c>
      <c r="I1396" s="2" t="s">
        <v>4758</v>
      </c>
      <c r="J1396" s="2" t="s">
        <v>4696</v>
      </c>
      <c r="K1396" s="2" t="s">
        <v>4696</v>
      </c>
      <c r="L1396" s="2" t="s">
        <v>4696</v>
      </c>
      <c r="M1396" s="2" t="s">
        <v>4696</v>
      </c>
      <c r="N1396" s="2"/>
      <c r="O1396" s="2"/>
      <c r="P1396" s="2"/>
      <c r="Q1396" s="2"/>
    </row>
    <row r="1397" spans="1:17" x14ac:dyDescent="0.3">
      <c r="A1397" s="2">
        <v>6123</v>
      </c>
      <c r="B1397" s="2" t="s">
        <v>3591</v>
      </c>
      <c r="C1397" s="2" t="s">
        <v>3592</v>
      </c>
      <c r="D1397" s="2" t="s">
        <v>6015</v>
      </c>
      <c r="E1397" s="2" t="s">
        <v>3593</v>
      </c>
      <c r="F1397" s="2" t="s">
        <v>41</v>
      </c>
      <c r="G1397" s="2" t="s">
        <v>5199</v>
      </c>
      <c r="H1397" s="2" t="s">
        <v>6006</v>
      </c>
      <c r="I1397" s="2" t="s">
        <v>25</v>
      </c>
      <c r="J1397" s="2" t="s">
        <v>4696</v>
      </c>
      <c r="K1397" s="2" t="s">
        <v>4696</v>
      </c>
      <c r="L1397" s="2" t="s">
        <v>4696</v>
      </c>
      <c r="M1397" s="2" t="s">
        <v>4696</v>
      </c>
      <c r="N1397" s="2"/>
      <c r="O1397" s="2"/>
      <c r="P1397" s="2"/>
      <c r="Q1397" s="2"/>
    </row>
    <row r="1398" spans="1:17" x14ac:dyDescent="0.3">
      <c r="A1398" s="2">
        <v>6124</v>
      </c>
      <c r="B1398" s="2" t="s">
        <v>3594</v>
      </c>
      <c r="C1398" s="2" t="s">
        <v>3595</v>
      </c>
      <c r="D1398" s="2" t="s">
        <v>6024</v>
      </c>
      <c r="E1398" s="2" t="s">
        <v>3596</v>
      </c>
      <c r="F1398" s="2" t="s">
        <v>41</v>
      </c>
      <c r="G1398" s="2" t="s">
        <v>5200</v>
      </c>
      <c r="H1398" s="2" t="s">
        <v>451</v>
      </c>
      <c r="I1398" s="2" t="s">
        <v>4724</v>
      </c>
      <c r="J1398" s="2" t="s">
        <v>4696</v>
      </c>
      <c r="K1398" s="2" t="s">
        <v>4696</v>
      </c>
      <c r="L1398" s="2" t="s">
        <v>4696</v>
      </c>
      <c r="M1398" s="2" t="s">
        <v>2</v>
      </c>
      <c r="N1398" s="2"/>
      <c r="O1398" s="2"/>
      <c r="P1398" s="2"/>
      <c r="Q1398" s="2"/>
    </row>
    <row r="1399" spans="1:17" x14ac:dyDescent="0.3">
      <c r="A1399" s="2">
        <v>6125</v>
      </c>
      <c r="B1399" s="2" t="s">
        <v>74</v>
      </c>
      <c r="C1399" s="2" t="s">
        <v>3597</v>
      </c>
      <c r="D1399" s="2" t="s">
        <v>6042</v>
      </c>
      <c r="E1399" s="2" t="s">
        <v>3598</v>
      </c>
      <c r="F1399" s="2" t="s">
        <v>41</v>
      </c>
      <c r="G1399" s="2" t="s">
        <v>5201</v>
      </c>
      <c r="H1399" s="2" t="s">
        <v>469</v>
      </c>
      <c r="I1399" s="2" t="s">
        <v>4701</v>
      </c>
      <c r="J1399" s="2" t="s">
        <v>6473</v>
      </c>
      <c r="K1399" s="2" t="s">
        <v>4690</v>
      </c>
      <c r="L1399" s="2" t="s">
        <v>4691</v>
      </c>
      <c r="M1399" s="2" t="s">
        <v>4692</v>
      </c>
      <c r="N1399" s="2"/>
      <c r="O1399" s="2"/>
      <c r="P1399" s="2"/>
      <c r="Q1399" s="2"/>
    </row>
    <row r="1400" spans="1:17" x14ac:dyDescent="0.3">
      <c r="A1400" s="2">
        <v>6126</v>
      </c>
      <c r="B1400" s="2" t="s">
        <v>3599</v>
      </c>
      <c r="C1400" s="2" t="s">
        <v>3600</v>
      </c>
      <c r="D1400" s="2" t="s">
        <v>6016</v>
      </c>
      <c r="E1400" s="2" t="s">
        <v>3601</v>
      </c>
      <c r="F1400" s="2" t="s">
        <v>41</v>
      </c>
      <c r="G1400" s="2" t="s">
        <v>5202</v>
      </c>
      <c r="H1400" s="2" t="s">
        <v>631</v>
      </c>
      <c r="I1400" s="2" t="s">
        <v>4718</v>
      </c>
      <c r="J1400" s="2" t="s">
        <v>4696</v>
      </c>
      <c r="K1400" s="2" t="s">
        <v>4696</v>
      </c>
      <c r="L1400" s="2" t="s">
        <v>4696</v>
      </c>
      <c r="M1400" s="2" t="s">
        <v>4696</v>
      </c>
      <c r="N1400" s="2"/>
      <c r="O1400" s="2"/>
      <c r="P1400" s="2"/>
      <c r="Q1400" s="2"/>
    </row>
    <row r="1401" spans="1:17" x14ac:dyDescent="0.3">
      <c r="A1401" s="2">
        <v>6127</v>
      </c>
      <c r="B1401" s="2" t="s">
        <v>3602</v>
      </c>
      <c r="C1401" s="2" t="s">
        <v>3603</v>
      </c>
      <c r="D1401" s="2" t="s">
        <v>6028</v>
      </c>
      <c r="E1401" s="2" t="s">
        <v>3604</v>
      </c>
      <c r="F1401" s="2" t="s">
        <v>2</v>
      </c>
      <c r="G1401" s="2" t="s">
        <v>5203</v>
      </c>
      <c r="H1401" s="2" t="s">
        <v>640</v>
      </c>
      <c r="I1401" s="2" t="s">
        <v>4740</v>
      </c>
      <c r="J1401" s="2" t="s">
        <v>4696</v>
      </c>
      <c r="K1401" s="2" t="s">
        <v>4696</v>
      </c>
      <c r="L1401" s="2" t="s">
        <v>4696</v>
      </c>
      <c r="M1401" s="2" t="s">
        <v>4696</v>
      </c>
      <c r="N1401" s="2"/>
      <c r="O1401" s="2"/>
      <c r="P1401" s="2"/>
      <c r="Q1401" s="2"/>
    </row>
    <row r="1402" spans="1:17" x14ac:dyDescent="0.3">
      <c r="A1402" s="2">
        <v>6129</v>
      </c>
      <c r="B1402" s="2" t="s">
        <v>3605</v>
      </c>
      <c r="C1402" s="2" t="s">
        <v>3606</v>
      </c>
      <c r="D1402" s="2" t="s">
        <v>6025</v>
      </c>
      <c r="E1402" s="2" t="s">
        <v>6753</v>
      </c>
      <c r="F1402" s="2" t="s">
        <v>2</v>
      </c>
      <c r="G1402" s="2" t="s">
        <v>5204</v>
      </c>
      <c r="H1402" s="2" t="s">
        <v>415</v>
      </c>
      <c r="I1402" s="2" t="s">
        <v>4694</v>
      </c>
      <c r="J1402" s="2" t="s">
        <v>4696</v>
      </c>
      <c r="K1402" s="2" t="s">
        <v>4696</v>
      </c>
      <c r="L1402" s="2" t="s">
        <v>4696</v>
      </c>
      <c r="M1402" s="2" t="s">
        <v>2</v>
      </c>
      <c r="N1402" s="2"/>
      <c r="O1402" s="2"/>
      <c r="P1402" s="2"/>
      <c r="Q1402" s="2"/>
    </row>
    <row r="1403" spans="1:17" x14ac:dyDescent="0.3">
      <c r="A1403" s="2">
        <v>6130</v>
      </c>
      <c r="B1403" s="2" t="s">
        <v>3607</v>
      </c>
      <c r="C1403" s="2" t="s">
        <v>3608</v>
      </c>
      <c r="D1403" s="2" t="s">
        <v>6015</v>
      </c>
      <c r="E1403" s="2" t="s">
        <v>3609</v>
      </c>
      <c r="F1403" s="2" t="s">
        <v>41</v>
      </c>
      <c r="G1403" s="2" t="s">
        <v>5205</v>
      </c>
      <c r="H1403" s="2" t="s">
        <v>465</v>
      </c>
      <c r="I1403" s="2" t="s">
        <v>4712</v>
      </c>
      <c r="J1403" s="2" t="s">
        <v>4696</v>
      </c>
      <c r="K1403" s="2" t="s">
        <v>4696</v>
      </c>
      <c r="L1403" s="2" t="s">
        <v>4696</v>
      </c>
      <c r="M1403" s="2" t="s">
        <v>4696</v>
      </c>
      <c r="N1403" s="2"/>
      <c r="O1403" s="2"/>
      <c r="P1403" s="2"/>
      <c r="Q1403" s="2"/>
    </row>
    <row r="1404" spans="1:17" x14ac:dyDescent="0.3">
      <c r="A1404" s="2">
        <v>6134</v>
      </c>
      <c r="B1404" s="2" t="s">
        <v>3610</v>
      </c>
      <c r="C1404" s="2" t="s">
        <v>3611</v>
      </c>
      <c r="D1404" s="2" t="s">
        <v>6021</v>
      </c>
      <c r="E1404" s="2" t="s">
        <v>6754</v>
      </c>
      <c r="F1404" s="2" t="s">
        <v>2</v>
      </c>
      <c r="G1404" s="2" t="s">
        <v>5206</v>
      </c>
      <c r="H1404" s="2" t="s">
        <v>3612</v>
      </c>
      <c r="I1404" s="2" t="s">
        <v>4730</v>
      </c>
      <c r="J1404" s="2" t="s">
        <v>4696</v>
      </c>
      <c r="K1404" s="2" t="s">
        <v>4696</v>
      </c>
      <c r="L1404" s="2" t="s">
        <v>4696</v>
      </c>
      <c r="M1404" s="2" t="s">
        <v>4696</v>
      </c>
      <c r="N1404" s="2"/>
      <c r="O1404" s="2"/>
      <c r="P1404" s="2"/>
      <c r="Q1404" s="2"/>
    </row>
    <row r="1405" spans="1:17" x14ac:dyDescent="0.3">
      <c r="A1405" s="2">
        <v>6138</v>
      </c>
      <c r="B1405" s="2" t="s">
        <v>3613</v>
      </c>
      <c r="C1405" s="2" t="s">
        <v>3614</v>
      </c>
      <c r="D1405" s="2" t="s">
        <v>6001</v>
      </c>
      <c r="E1405" s="2" t="s">
        <v>3615</v>
      </c>
      <c r="F1405" s="2" t="s">
        <v>2</v>
      </c>
      <c r="G1405" s="2" t="s">
        <v>5207</v>
      </c>
      <c r="H1405" s="2" t="s">
        <v>653</v>
      </c>
      <c r="I1405" s="2" t="s">
        <v>34</v>
      </c>
      <c r="J1405" s="2" t="s">
        <v>6442</v>
      </c>
      <c r="K1405" s="2" t="s">
        <v>4690</v>
      </c>
      <c r="L1405" s="2" t="s">
        <v>4691</v>
      </c>
      <c r="M1405" s="2" t="s">
        <v>4699</v>
      </c>
      <c r="N1405" s="2"/>
      <c r="O1405" s="2"/>
      <c r="P1405" s="2"/>
      <c r="Q1405" s="2"/>
    </row>
    <row r="1406" spans="1:17" x14ac:dyDescent="0.3">
      <c r="A1406" s="2">
        <v>6140</v>
      </c>
      <c r="B1406" s="2" t="s">
        <v>3616</v>
      </c>
      <c r="C1406" s="2" t="s">
        <v>3617</v>
      </c>
      <c r="D1406" s="2" t="s">
        <v>6007</v>
      </c>
      <c r="E1406" s="2" t="s">
        <v>6755</v>
      </c>
      <c r="F1406" s="2" t="s">
        <v>41</v>
      </c>
      <c r="G1406" s="2" t="s">
        <v>5208</v>
      </c>
      <c r="H1406" s="2" t="s">
        <v>431</v>
      </c>
      <c r="I1406" s="2" t="s">
        <v>4702</v>
      </c>
      <c r="J1406" s="2" t="s">
        <v>4696</v>
      </c>
      <c r="K1406" s="2" t="s">
        <v>4696</v>
      </c>
      <c r="L1406" s="2" t="s">
        <v>4696</v>
      </c>
      <c r="M1406" s="2" t="s">
        <v>4696</v>
      </c>
      <c r="N1406" s="2"/>
      <c r="O1406" s="2"/>
      <c r="P1406" s="2"/>
      <c r="Q1406" s="2"/>
    </row>
    <row r="1407" spans="1:17" x14ac:dyDescent="0.3">
      <c r="A1407" s="2">
        <v>6143</v>
      </c>
      <c r="B1407" s="2" t="s">
        <v>3618</v>
      </c>
      <c r="C1407" s="2" t="s">
        <v>3619</v>
      </c>
      <c r="D1407" s="2" t="s">
        <v>6021</v>
      </c>
      <c r="E1407" s="2" t="s">
        <v>3620</v>
      </c>
      <c r="F1407" s="2" t="s">
        <v>2</v>
      </c>
      <c r="G1407" s="2" t="s">
        <v>5209</v>
      </c>
      <c r="H1407" s="2" t="s">
        <v>6009</v>
      </c>
      <c r="I1407" s="2" t="s">
        <v>25</v>
      </c>
      <c r="J1407" s="2" t="s">
        <v>4696</v>
      </c>
      <c r="K1407" s="2" t="s">
        <v>4696</v>
      </c>
      <c r="L1407" s="2" t="s">
        <v>4696</v>
      </c>
      <c r="M1407" s="2" t="s">
        <v>4696</v>
      </c>
      <c r="N1407" s="2"/>
      <c r="O1407" s="2"/>
      <c r="P1407" s="2"/>
      <c r="Q1407" s="2"/>
    </row>
    <row r="1408" spans="1:17" x14ac:dyDescent="0.3">
      <c r="A1408" s="2">
        <v>6144</v>
      </c>
      <c r="B1408" s="2" t="s">
        <v>3621</v>
      </c>
      <c r="C1408" s="2" t="s">
        <v>6756</v>
      </c>
      <c r="D1408" s="2" t="s">
        <v>6025</v>
      </c>
      <c r="E1408" s="2" t="s">
        <v>3622</v>
      </c>
      <c r="F1408" s="2" t="s">
        <v>41</v>
      </c>
      <c r="G1408" s="2">
        <v>25962866</v>
      </c>
      <c r="H1408" s="2" t="s">
        <v>1553</v>
      </c>
      <c r="I1408" s="2" t="s">
        <v>4706</v>
      </c>
      <c r="J1408" s="2" t="s">
        <v>4696</v>
      </c>
      <c r="K1408" s="2" t="s">
        <v>4696</v>
      </c>
      <c r="L1408" s="2" t="s">
        <v>4696</v>
      </c>
      <c r="M1408" s="2" t="s">
        <v>2</v>
      </c>
      <c r="N1408" s="2"/>
      <c r="O1408" s="2"/>
      <c r="P1408" s="2"/>
      <c r="Q1408" s="2"/>
    </row>
    <row r="1409" spans="1:17" x14ac:dyDescent="0.3">
      <c r="A1409" s="2">
        <v>6146</v>
      </c>
      <c r="B1409" s="2" t="s">
        <v>294</v>
      </c>
      <c r="C1409" s="2" t="s">
        <v>3623</v>
      </c>
      <c r="D1409" s="2" t="s">
        <v>6051</v>
      </c>
      <c r="E1409" s="2" t="s">
        <v>3624</v>
      </c>
      <c r="F1409" s="2" t="s">
        <v>2</v>
      </c>
      <c r="G1409" s="2" t="s">
        <v>5210</v>
      </c>
      <c r="H1409" s="2" t="s">
        <v>451</v>
      </c>
      <c r="I1409" s="2" t="s">
        <v>10</v>
      </c>
      <c r="J1409" s="2" t="s">
        <v>4696</v>
      </c>
      <c r="K1409" s="2" t="s">
        <v>4696</v>
      </c>
      <c r="L1409" s="2" t="s">
        <v>4696</v>
      </c>
      <c r="M1409" s="2" t="s">
        <v>2</v>
      </c>
      <c r="N1409" s="2"/>
      <c r="O1409" s="2"/>
      <c r="P1409" s="2"/>
      <c r="Q1409" s="2"/>
    </row>
    <row r="1410" spans="1:17" x14ac:dyDescent="0.3">
      <c r="A1410" s="2">
        <v>6147</v>
      </c>
      <c r="B1410" s="2" t="s">
        <v>3625</v>
      </c>
      <c r="C1410" s="2" t="s">
        <v>3626</v>
      </c>
      <c r="D1410" s="2" t="s">
        <v>6002</v>
      </c>
      <c r="E1410" s="2" t="s">
        <v>3627</v>
      </c>
      <c r="F1410" s="2" t="s">
        <v>2</v>
      </c>
      <c r="G1410" s="2" t="s">
        <v>5211</v>
      </c>
      <c r="H1410" s="2" t="s">
        <v>6006</v>
      </c>
      <c r="I1410" s="2" t="s">
        <v>25</v>
      </c>
      <c r="J1410" s="2" t="s">
        <v>6519</v>
      </c>
      <c r="K1410" s="2" t="s">
        <v>4690</v>
      </c>
      <c r="L1410" s="2" t="s">
        <v>4691</v>
      </c>
      <c r="M1410" s="2" t="s">
        <v>4696</v>
      </c>
      <c r="N1410" s="2"/>
      <c r="O1410" s="2"/>
      <c r="P1410" s="2"/>
      <c r="Q1410" s="2"/>
    </row>
    <row r="1411" spans="1:17" x14ac:dyDescent="0.3">
      <c r="A1411" s="2">
        <v>6148</v>
      </c>
      <c r="B1411" s="2" t="s">
        <v>193</v>
      </c>
      <c r="C1411" s="2" t="s">
        <v>3628</v>
      </c>
      <c r="D1411" s="2" t="s">
        <v>6007</v>
      </c>
      <c r="E1411" s="2" t="s">
        <v>6757</v>
      </c>
      <c r="F1411" s="2" t="s">
        <v>41</v>
      </c>
      <c r="G1411" s="2" t="s">
        <v>5212</v>
      </c>
      <c r="H1411" s="2" t="s">
        <v>411</v>
      </c>
      <c r="I1411" s="2" t="s">
        <v>4693</v>
      </c>
      <c r="J1411" s="2" t="s">
        <v>4696</v>
      </c>
      <c r="K1411" s="2" t="s">
        <v>4696</v>
      </c>
      <c r="L1411" s="2" t="s">
        <v>4696</v>
      </c>
      <c r="M1411" s="2" t="s">
        <v>4696</v>
      </c>
      <c r="N1411" s="2"/>
      <c r="O1411" s="2"/>
      <c r="P1411" s="2"/>
      <c r="Q1411" s="2"/>
    </row>
    <row r="1412" spans="1:17" x14ac:dyDescent="0.3">
      <c r="A1412" s="2">
        <v>6150</v>
      </c>
      <c r="B1412" s="2" t="s">
        <v>3629</v>
      </c>
      <c r="C1412" s="2" t="s">
        <v>3630</v>
      </c>
      <c r="D1412" s="2" t="s">
        <v>6021</v>
      </c>
      <c r="E1412" s="2" t="s">
        <v>3631</v>
      </c>
      <c r="F1412" s="2" t="s">
        <v>41</v>
      </c>
      <c r="G1412" s="2">
        <v>86983000</v>
      </c>
      <c r="H1412" s="2" t="s">
        <v>565</v>
      </c>
      <c r="I1412" s="2">
        <v>23611300</v>
      </c>
      <c r="J1412" s="2" t="s">
        <v>4696</v>
      </c>
      <c r="K1412" s="2" t="s">
        <v>4696</v>
      </c>
      <c r="L1412" s="2" t="s">
        <v>4696</v>
      </c>
      <c r="M1412" s="2" t="s">
        <v>2</v>
      </c>
      <c r="N1412" s="2"/>
      <c r="O1412" s="2"/>
      <c r="P1412" s="2"/>
      <c r="Q1412" s="2"/>
    </row>
    <row r="1413" spans="1:17" x14ac:dyDescent="0.3">
      <c r="A1413" s="2">
        <v>6151</v>
      </c>
      <c r="B1413" s="2" t="s">
        <v>3632</v>
      </c>
      <c r="C1413" s="2" t="s">
        <v>3633</v>
      </c>
      <c r="D1413" s="2" t="s">
        <v>6091</v>
      </c>
      <c r="E1413" s="2" t="s">
        <v>3634</v>
      </c>
      <c r="F1413" s="2" t="s">
        <v>41</v>
      </c>
      <c r="G1413" s="2" t="s">
        <v>5213</v>
      </c>
      <c r="H1413" s="2" t="s">
        <v>469</v>
      </c>
      <c r="I1413" s="2" t="s">
        <v>4701</v>
      </c>
      <c r="J1413" s="2" t="s">
        <v>4696</v>
      </c>
      <c r="K1413" s="2" t="s">
        <v>4696</v>
      </c>
      <c r="L1413" s="2" t="s">
        <v>4696</v>
      </c>
      <c r="M1413" s="2" t="s">
        <v>2</v>
      </c>
      <c r="N1413" s="2"/>
      <c r="O1413" s="2"/>
      <c r="P1413" s="2"/>
      <c r="Q1413" s="2"/>
    </row>
    <row r="1414" spans="1:17" x14ac:dyDescent="0.3">
      <c r="A1414" s="2">
        <v>6154</v>
      </c>
      <c r="B1414" s="2" t="s">
        <v>3635</v>
      </c>
      <c r="C1414" s="2" t="s">
        <v>3636</v>
      </c>
      <c r="D1414" s="2" t="s">
        <v>6025</v>
      </c>
      <c r="E1414" s="2" t="s">
        <v>3637</v>
      </c>
      <c r="F1414" s="2" t="s">
        <v>2</v>
      </c>
      <c r="G1414" s="2" t="s">
        <v>5214</v>
      </c>
      <c r="H1414" s="2" t="s">
        <v>574</v>
      </c>
      <c r="I1414" s="2" t="s">
        <v>20</v>
      </c>
      <c r="J1414" s="2" t="s">
        <v>4696</v>
      </c>
      <c r="K1414" s="2" t="s">
        <v>4696</v>
      </c>
      <c r="L1414" s="2" t="s">
        <v>4696</v>
      </c>
      <c r="M1414" s="2" t="s">
        <v>2</v>
      </c>
      <c r="N1414" s="2"/>
      <c r="O1414" s="2"/>
      <c r="P1414" s="2"/>
      <c r="Q1414" s="2"/>
    </row>
    <row r="1415" spans="1:17" x14ac:dyDescent="0.3">
      <c r="A1415" s="2">
        <v>6156</v>
      </c>
      <c r="B1415" s="2" t="s">
        <v>3638</v>
      </c>
      <c r="C1415" s="2" t="s">
        <v>6758</v>
      </c>
      <c r="D1415" s="2" t="s">
        <v>6024</v>
      </c>
      <c r="E1415" s="2" t="s">
        <v>6759</v>
      </c>
      <c r="F1415" s="2" t="s">
        <v>41</v>
      </c>
      <c r="G1415" s="2" t="s">
        <v>5215</v>
      </c>
      <c r="H1415" s="2" t="s">
        <v>1553</v>
      </c>
      <c r="I1415" s="2" t="s">
        <v>4731</v>
      </c>
      <c r="J1415" s="2" t="s">
        <v>4696</v>
      </c>
      <c r="K1415" s="2" t="s">
        <v>4696</v>
      </c>
      <c r="L1415" s="2" t="s">
        <v>4696</v>
      </c>
      <c r="M1415" s="2" t="s">
        <v>2</v>
      </c>
      <c r="N1415" s="2"/>
      <c r="O1415" s="2"/>
      <c r="P1415" s="2"/>
      <c r="Q1415" s="2"/>
    </row>
    <row r="1416" spans="1:17" x14ac:dyDescent="0.3">
      <c r="A1416" s="2">
        <v>6158</v>
      </c>
      <c r="B1416" s="2" t="s">
        <v>129</v>
      </c>
      <c r="C1416" s="2" t="s">
        <v>3639</v>
      </c>
      <c r="D1416" s="2" t="s">
        <v>6024</v>
      </c>
      <c r="E1416" s="2" t="s">
        <v>3640</v>
      </c>
      <c r="F1416" s="2" t="s">
        <v>41</v>
      </c>
      <c r="G1416" s="2" t="s">
        <v>5216</v>
      </c>
      <c r="H1416" s="2" t="s">
        <v>6006</v>
      </c>
      <c r="I1416" s="2" t="s">
        <v>4698</v>
      </c>
      <c r="J1416" s="2" t="s">
        <v>4696</v>
      </c>
      <c r="K1416" s="2" t="s">
        <v>4696</v>
      </c>
      <c r="L1416" s="2" t="s">
        <v>4696</v>
      </c>
      <c r="M1416" s="2" t="s">
        <v>2</v>
      </c>
      <c r="N1416" s="2"/>
      <c r="O1416" s="2"/>
      <c r="P1416" s="2"/>
      <c r="Q1416" s="2"/>
    </row>
    <row r="1417" spans="1:17" x14ac:dyDescent="0.3">
      <c r="A1417" s="2">
        <v>6160</v>
      </c>
      <c r="B1417" s="2" t="s">
        <v>3641</v>
      </c>
      <c r="C1417" s="2" t="s">
        <v>3642</v>
      </c>
      <c r="D1417" s="2" t="s">
        <v>6000</v>
      </c>
      <c r="E1417" s="2" t="s">
        <v>6760</v>
      </c>
      <c r="F1417" s="2" t="s">
        <v>41</v>
      </c>
      <c r="G1417" s="2" t="s">
        <v>5217</v>
      </c>
      <c r="H1417" s="2" t="s">
        <v>6006</v>
      </c>
      <c r="I1417" s="2" t="s">
        <v>5165</v>
      </c>
      <c r="J1417" s="2" t="s">
        <v>4696</v>
      </c>
      <c r="K1417" s="2" t="s">
        <v>4696</v>
      </c>
      <c r="L1417" s="2" t="s">
        <v>4696</v>
      </c>
      <c r="M1417" s="2" t="s">
        <v>4696</v>
      </c>
      <c r="N1417" s="2"/>
      <c r="O1417" s="2"/>
      <c r="P1417" s="2"/>
      <c r="Q1417" s="2"/>
    </row>
    <row r="1418" spans="1:17" x14ac:dyDescent="0.3">
      <c r="A1418" s="2">
        <v>6161</v>
      </c>
      <c r="B1418" s="2" t="s">
        <v>260</v>
      </c>
      <c r="C1418" s="2" t="s">
        <v>3643</v>
      </c>
      <c r="D1418" s="2" t="s">
        <v>6000</v>
      </c>
      <c r="E1418" s="2" t="s">
        <v>3644</v>
      </c>
      <c r="F1418" s="2" t="s">
        <v>41</v>
      </c>
      <c r="G1418" s="2" t="s">
        <v>5218</v>
      </c>
      <c r="H1418" s="2" t="s">
        <v>431</v>
      </c>
      <c r="I1418" s="2" t="s">
        <v>5219</v>
      </c>
      <c r="J1418" s="2" t="s">
        <v>4696</v>
      </c>
      <c r="K1418" s="2" t="s">
        <v>4696</v>
      </c>
      <c r="L1418" s="2" t="s">
        <v>4696</v>
      </c>
      <c r="M1418" s="2" t="s">
        <v>2</v>
      </c>
      <c r="N1418" s="2"/>
      <c r="O1418" s="2"/>
      <c r="P1418" s="2"/>
      <c r="Q1418" s="2"/>
    </row>
    <row r="1419" spans="1:17" x14ac:dyDescent="0.3">
      <c r="A1419" s="2">
        <v>6163</v>
      </c>
      <c r="B1419" s="2" t="s">
        <v>167</v>
      </c>
      <c r="C1419" s="2" t="s">
        <v>3645</v>
      </c>
      <c r="D1419" s="2" t="s">
        <v>6000</v>
      </c>
      <c r="E1419" s="2" t="s">
        <v>6761</v>
      </c>
      <c r="F1419" s="2" t="s">
        <v>41</v>
      </c>
      <c r="G1419" s="2" t="s">
        <v>5220</v>
      </c>
      <c r="H1419" s="2" t="s">
        <v>667</v>
      </c>
      <c r="I1419" s="2" t="s">
        <v>5221</v>
      </c>
      <c r="J1419" s="2" t="s">
        <v>4696</v>
      </c>
      <c r="K1419" s="2" t="s">
        <v>4696</v>
      </c>
      <c r="L1419" s="2" t="s">
        <v>4696</v>
      </c>
      <c r="M1419" s="2" t="s">
        <v>2</v>
      </c>
      <c r="N1419" s="2"/>
      <c r="O1419" s="2"/>
      <c r="P1419" s="2"/>
      <c r="Q1419" s="2"/>
    </row>
    <row r="1420" spans="1:17" x14ac:dyDescent="0.3">
      <c r="A1420" s="2">
        <v>6167</v>
      </c>
      <c r="B1420" s="2" t="s">
        <v>3646</v>
      </c>
      <c r="C1420" s="2" t="s">
        <v>3647</v>
      </c>
      <c r="D1420" s="2" t="s">
        <v>6000</v>
      </c>
      <c r="E1420" s="2" t="s">
        <v>4604</v>
      </c>
      <c r="F1420" s="2" t="s">
        <v>2</v>
      </c>
      <c r="G1420" s="2" t="s">
        <v>5222</v>
      </c>
      <c r="H1420" s="2" t="s">
        <v>1028</v>
      </c>
      <c r="I1420" s="2" t="s">
        <v>4744</v>
      </c>
      <c r="J1420" s="2" t="s">
        <v>4696</v>
      </c>
      <c r="K1420" s="2" t="s">
        <v>4696</v>
      </c>
      <c r="L1420" s="2" t="s">
        <v>4696</v>
      </c>
      <c r="M1420" s="2" t="s">
        <v>2</v>
      </c>
      <c r="N1420" s="2"/>
      <c r="O1420" s="2"/>
      <c r="P1420" s="2"/>
      <c r="Q1420" s="2"/>
    </row>
    <row r="1421" spans="1:17" x14ac:dyDescent="0.3">
      <c r="A1421" s="2">
        <v>6169</v>
      </c>
      <c r="B1421" s="2" t="s">
        <v>3648</v>
      </c>
      <c r="C1421" s="2" t="s">
        <v>3649</v>
      </c>
      <c r="D1421" s="2" t="s">
        <v>6007</v>
      </c>
      <c r="E1421" s="2" t="s">
        <v>3650</v>
      </c>
      <c r="F1421" s="2" t="s">
        <v>41</v>
      </c>
      <c r="G1421" s="2" t="s">
        <v>5223</v>
      </c>
      <c r="H1421" s="2" t="s">
        <v>3651</v>
      </c>
      <c r="I1421" s="2" t="s">
        <v>4747</v>
      </c>
      <c r="J1421" s="2" t="s">
        <v>4696</v>
      </c>
      <c r="K1421" s="2" t="s">
        <v>4696</v>
      </c>
      <c r="L1421" s="2" t="s">
        <v>4696</v>
      </c>
      <c r="M1421" s="2" t="s">
        <v>2</v>
      </c>
      <c r="N1421" s="2"/>
      <c r="O1421" s="2"/>
      <c r="P1421" s="2"/>
      <c r="Q1421" s="2"/>
    </row>
    <row r="1422" spans="1:17" x14ac:dyDescent="0.3">
      <c r="A1422" s="2">
        <v>6170</v>
      </c>
      <c r="B1422" s="2" t="s">
        <v>146</v>
      </c>
      <c r="C1422" s="2" t="s">
        <v>3652</v>
      </c>
      <c r="D1422" s="2" t="s">
        <v>6021</v>
      </c>
      <c r="E1422" s="2" t="s">
        <v>3653</v>
      </c>
      <c r="F1422" s="2" t="s">
        <v>2</v>
      </c>
      <c r="G1422" s="2" t="s">
        <v>5224</v>
      </c>
      <c r="H1422" s="2" t="s">
        <v>640</v>
      </c>
      <c r="I1422" s="2" t="s">
        <v>6450</v>
      </c>
      <c r="J1422" s="2" t="s">
        <v>4696</v>
      </c>
      <c r="K1422" s="2" t="s">
        <v>4696</v>
      </c>
      <c r="L1422" s="2" t="s">
        <v>4696</v>
      </c>
      <c r="M1422" s="2" t="s">
        <v>2</v>
      </c>
      <c r="N1422" s="2"/>
      <c r="O1422" s="2"/>
      <c r="P1422" s="2"/>
      <c r="Q1422" s="2"/>
    </row>
    <row r="1423" spans="1:17" x14ac:dyDescent="0.3">
      <c r="A1423" s="2">
        <v>6171</v>
      </c>
      <c r="B1423" s="2" t="s">
        <v>3654</v>
      </c>
      <c r="C1423" s="2" t="s">
        <v>3655</v>
      </c>
      <c r="D1423" s="2" t="s">
        <v>6015</v>
      </c>
      <c r="E1423" s="2" t="s">
        <v>6762</v>
      </c>
      <c r="F1423" s="2" t="s">
        <v>2</v>
      </c>
      <c r="G1423" s="2" t="s">
        <v>5225</v>
      </c>
      <c r="H1423" s="2" t="s">
        <v>640</v>
      </c>
      <c r="I1423" s="2" t="s">
        <v>5471</v>
      </c>
      <c r="J1423" s="2" t="s">
        <v>4696</v>
      </c>
      <c r="K1423" s="2" t="s">
        <v>4696</v>
      </c>
      <c r="L1423" s="2" t="s">
        <v>4696</v>
      </c>
      <c r="M1423" s="2" t="s">
        <v>4696</v>
      </c>
      <c r="N1423" s="2"/>
      <c r="O1423" s="2"/>
      <c r="P1423" s="2"/>
      <c r="Q1423" s="2"/>
    </row>
    <row r="1424" spans="1:17" x14ac:dyDescent="0.3">
      <c r="A1424" s="2">
        <v>6173</v>
      </c>
      <c r="B1424" s="2" t="s">
        <v>3656</v>
      </c>
      <c r="C1424" s="2" t="s">
        <v>3657</v>
      </c>
      <c r="D1424" s="2" t="s">
        <v>6002</v>
      </c>
      <c r="E1424" s="2" t="s">
        <v>3658</v>
      </c>
      <c r="F1424" s="2" t="s">
        <v>2</v>
      </c>
      <c r="G1424" s="2" t="s">
        <v>5226</v>
      </c>
      <c r="H1424" s="2" t="s">
        <v>3659</v>
      </c>
      <c r="I1424" s="2" t="s">
        <v>4767</v>
      </c>
      <c r="J1424" s="2" t="s">
        <v>4696</v>
      </c>
      <c r="K1424" s="2" t="s">
        <v>4696</v>
      </c>
      <c r="L1424" s="2" t="s">
        <v>4696</v>
      </c>
      <c r="M1424" s="2" t="s">
        <v>2</v>
      </c>
      <c r="N1424" s="2"/>
      <c r="O1424" s="2"/>
      <c r="P1424" s="2"/>
      <c r="Q1424" s="2"/>
    </row>
    <row r="1425" spans="1:17" x14ac:dyDescent="0.3">
      <c r="A1425" s="2">
        <v>6174</v>
      </c>
      <c r="B1425" s="2" t="s">
        <v>3660</v>
      </c>
      <c r="C1425" s="2" t="s">
        <v>3661</v>
      </c>
      <c r="D1425" s="2" t="s">
        <v>6002</v>
      </c>
      <c r="E1425" s="2" t="s">
        <v>6763</v>
      </c>
      <c r="F1425" s="2" t="s">
        <v>2</v>
      </c>
      <c r="G1425" s="2" t="s">
        <v>5227</v>
      </c>
      <c r="H1425" s="2" t="s">
        <v>469</v>
      </c>
      <c r="I1425" s="2" t="s">
        <v>4738</v>
      </c>
      <c r="J1425" s="2" t="s">
        <v>4696</v>
      </c>
      <c r="K1425" s="2" t="s">
        <v>4696</v>
      </c>
      <c r="L1425" s="2" t="s">
        <v>4696</v>
      </c>
      <c r="M1425" s="2" t="s">
        <v>4696</v>
      </c>
      <c r="N1425" s="2"/>
      <c r="O1425" s="2"/>
      <c r="P1425" s="2"/>
      <c r="Q1425" s="2"/>
    </row>
    <row r="1426" spans="1:17" x14ac:dyDescent="0.3">
      <c r="A1426" s="2">
        <v>6175</v>
      </c>
      <c r="B1426" s="2" t="s">
        <v>3662</v>
      </c>
      <c r="C1426" s="2" t="s">
        <v>3663</v>
      </c>
      <c r="D1426" s="2" t="s">
        <v>6014</v>
      </c>
      <c r="E1426" s="2" t="s">
        <v>6764</v>
      </c>
      <c r="F1426" s="2" t="s">
        <v>2</v>
      </c>
      <c r="G1426" s="2" t="s">
        <v>5228</v>
      </c>
      <c r="H1426" s="2" t="s">
        <v>456</v>
      </c>
      <c r="I1426" s="2" t="s">
        <v>4752</v>
      </c>
      <c r="J1426" s="2" t="s">
        <v>4696</v>
      </c>
      <c r="K1426" s="2" t="s">
        <v>4696</v>
      </c>
      <c r="L1426" s="2" t="s">
        <v>4696</v>
      </c>
      <c r="M1426" s="2" t="s">
        <v>2</v>
      </c>
      <c r="N1426" s="2"/>
      <c r="O1426" s="2"/>
      <c r="P1426" s="2"/>
      <c r="Q1426" s="2"/>
    </row>
    <row r="1427" spans="1:17" x14ac:dyDescent="0.3">
      <c r="A1427" s="2">
        <v>6179</v>
      </c>
      <c r="B1427" s="2" t="s">
        <v>3664</v>
      </c>
      <c r="C1427" s="2" t="s">
        <v>3665</v>
      </c>
      <c r="D1427" s="2" t="s">
        <v>6037</v>
      </c>
      <c r="E1427" s="2" t="s">
        <v>3666</v>
      </c>
      <c r="F1427" s="2" t="s">
        <v>41</v>
      </c>
      <c r="G1427" s="2" t="s">
        <v>5229</v>
      </c>
      <c r="H1427" s="2" t="s">
        <v>404</v>
      </c>
      <c r="I1427" s="2" t="s">
        <v>4697</v>
      </c>
      <c r="J1427" s="2" t="s">
        <v>4696</v>
      </c>
      <c r="K1427" s="2" t="s">
        <v>4696</v>
      </c>
      <c r="L1427" s="2" t="s">
        <v>4696</v>
      </c>
      <c r="M1427" s="2" t="s">
        <v>2</v>
      </c>
      <c r="N1427" s="2"/>
      <c r="O1427" s="2"/>
      <c r="P1427" s="2"/>
      <c r="Q1427" s="2"/>
    </row>
    <row r="1428" spans="1:17" x14ac:dyDescent="0.3">
      <c r="A1428" s="2">
        <v>6180</v>
      </c>
      <c r="B1428" s="2" t="s">
        <v>3667</v>
      </c>
      <c r="C1428" s="2" t="s">
        <v>3668</v>
      </c>
      <c r="D1428" s="2" t="s">
        <v>6028</v>
      </c>
      <c r="E1428" s="2" t="s">
        <v>3669</v>
      </c>
      <c r="F1428" s="2" t="s">
        <v>2</v>
      </c>
      <c r="G1428" s="2" t="s">
        <v>5230</v>
      </c>
      <c r="H1428" s="2" t="s">
        <v>415</v>
      </c>
      <c r="I1428" s="2" t="s">
        <v>10</v>
      </c>
      <c r="J1428" s="2" t="s">
        <v>4696</v>
      </c>
      <c r="K1428" s="2" t="s">
        <v>4696</v>
      </c>
      <c r="L1428" s="2" t="s">
        <v>4696</v>
      </c>
      <c r="M1428" s="2" t="s">
        <v>2</v>
      </c>
      <c r="N1428" s="2"/>
      <c r="O1428" s="2"/>
      <c r="P1428" s="2"/>
      <c r="Q1428" s="2"/>
    </row>
    <row r="1429" spans="1:17" x14ac:dyDescent="0.3">
      <c r="A1429" s="2">
        <v>6182</v>
      </c>
      <c r="B1429" s="2" t="s">
        <v>308</v>
      </c>
      <c r="C1429" s="2" t="s">
        <v>3670</v>
      </c>
      <c r="D1429" s="2" t="s">
        <v>6007</v>
      </c>
      <c r="E1429" s="2" t="s">
        <v>3670</v>
      </c>
      <c r="F1429" s="2" t="s">
        <v>2</v>
      </c>
      <c r="G1429" s="2" t="s">
        <v>5231</v>
      </c>
      <c r="H1429" s="2" t="s">
        <v>415</v>
      </c>
      <c r="I1429" s="2" t="s">
        <v>10</v>
      </c>
      <c r="J1429" s="2" t="s">
        <v>6521</v>
      </c>
      <c r="K1429" s="2" t="s">
        <v>4690</v>
      </c>
      <c r="L1429" s="2" t="s">
        <v>4691</v>
      </c>
      <c r="M1429" s="2" t="s">
        <v>4696</v>
      </c>
      <c r="N1429" s="2"/>
      <c r="O1429" s="2"/>
      <c r="P1429" s="2"/>
      <c r="Q1429" s="2"/>
    </row>
    <row r="1430" spans="1:17" x14ac:dyDescent="0.3">
      <c r="A1430" s="2">
        <v>6185</v>
      </c>
      <c r="B1430" s="2" t="s">
        <v>3671</v>
      </c>
      <c r="C1430" s="2" t="s">
        <v>3672</v>
      </c>
      <c r="D1430" s="2" t="s">
        <v>6116</v>
      </c>
      <c r="E1430" s="2" t="s">
        <v>3673</v>
      </c>
      <c r="F1430" s="2" t="s">
        <v>2</v>
      </c>
      <c r="G1430" s="2">
        <v>22672346</v>
      </c>
      <c r="H1430" s="2" t="s">
        <v>631</v>
      </c>
      <c r="I1430" s="2">
        <v>25419977</v>
      </c>
      <c r="J1430" s="2" t="s">
        <v>4696</v>
      </c>
      <c r="K1430" s="2" t="s">
        <v>4696</v>
      </c>
      <c r="L1430" s="2" t="s">
        <v>4696</v>
      </c>
      <c r="M1430" s="2" t="s">
        <v>2</v>
      </c>
      <c r="N1430" s="2"/>
      <c r="O1430" s="2"/>
      <c r="P1430" s="2"/>
      <c r="Q1430" s="2"/>
    </row>
    <row r="1431" spans="1:17" x14ac:dyDescent="0.3">
      <c r="A1431" s="2">
        <v>6186</v>
      </c>
      <c r="B1431" s="2" t="s">
        <v>3674</v>
      </c>
      <c r="C1431" s="2" t="s">
        <v>3675</v>
      </c>
      <c r="D1431" s="2" t="s">
        <v>6007</v>
      </c>
      <c r="E1431" s="2" t="s">
        <v>3676</v>
      </c>
      <c r="F1431" s="2" t="s">
        <v>2</v>
      </c>
      <c r="G1431" s="2">
        <v>27491222</v>
      </c>
      <c r="H1431" s="2" t="s">
        <v>996</v>
      </c>
      <c r="I1431" s="2" t="s">
        <v>4710</v>
      </c>
      <c r="J1431" s="2" t="s">
        <v>4696</v>
      </c>
      <c r="K1431" s="2" t="s">
        <v>4696</v>
      </c>
      <c r="L1431" s="2" t="s">
        <v>4696</v>
      </c>
      <c r="M1431" s="2" t="s">
        <v>2</v>
      </c>
      <c r="N1431" s="2"/>
      <c r="O1431" s="2"/>
      <c r="P1431" s="2"/>
      <c r="Q1431" s="2"/>
    </row>
    <row r="1432" spans="1:17" x14ac:dyDescent="0.3">
      <c r="A1432" s="2">
        <v>6187</v>
      </c>
      <c r="B1432" s="2" t="s">
        <v>3677</v>
      </c>
      <c r="C1432" s="2" t="s">
        <v>3678</v>
      </c>
      <c r="D1432" s="2" t="s">
        <v>6002</v>
      </c>
      <c r="E1432" s="2" t="s">
        <v>3679</v>
      </c>
      <c r="F1432" s="2" t="s">
        <v>2</v>
      </c>
      <c r="G1432" s="2" t="s">
        <v>5232</v>
      </c>
      <c r="H1432" s="2" t="s">
        <v>469</v>
      </c>
      <c r="I1432" s="2" t="s">
        <v>4755</v>
      </c>
      <c r="J1432" s="2" t="s">
        <v>4696</v>
      </c>
      <c r="K1432" s="2" t="s">
        <v>4696</v>
      </c>
      <c r="L1432" s="2" t="s">
        <v>4696</v>
      </c>
      <c r="M1432" s="2" t="s">
        <v>4696</v>
      </c>
      <c r="N1432" s="2"/>
      <c r="O1432" s="2"/>
      <c r="P1432" s="2"/>
      <c r="Q1432" s="2"/>
    </row>
    <row r="1433" spans="1:17" x14ac:dyDescent="0.3">
      <c r="A1433" s="2">
        <v>6188</v>
      </c>
      <c r="B1433" s="2" t="s">
        <v>3680</v>
      </c>
      <c r="C1433" s="2" t="s">
        <v>3681</v>
      </c>
      <c r="D1433" s="2" t="s">
        <v>6014</v>
      </c>
      <c r="E1433" s="2" t="s">
        <v>3682</v>
      </c>
      <c r="F1433" s="2" t="s">
        <v>2</v>
      </c>
      <c r="G1433" s="2" t="s">
        <v>5233</v>
      </c>
      <c r="H1433" s="2" t="s">
        <v>3683</v>
      </c>
      <c r="I1433" s="2" t="s">
        <v>4700</v>
      </c>
      <c r="J1433" s="2" t="s">
        <v>6765</v>
      </c>
      <c r="K1433" s="2" t="s">
        <v>4690</v>
      </c>
      <c r="L1433" s="2" t="s">
        <v>4691</v>
      </c>
      <c r="M1433" s="2" t="s">
        <v>4696</v>
      </c>
      <c r="N1433" s="2"/>
      <c r="O1433" s="2"/>
      <c r="P1433" s="2"/>
      <c r="Q1433" s="2"/>
    </row>
    <row r="1434" spans="1:17" x14ac:dyDescent="0.3">
      <c r="A1434" s="2">
        <v>6190</v>
      </c>
      <c r="B1434" s="2" t="s">
        <v>107</v>
      </c>
      <c r="C1434" s="2" t="s">
        <v>6766</v>
      </c>
      <c r="D1434" s="2" t="s">
        <v>6028</v>
      </c>
      <c r="E1434" s="2" t="s">
        <v>6767</v>
      </c>
      <c r="F1434" s="2" t="s">
        <v>41</v>
      </c>
      <c r="G1434" s="2" t="s">
        <v>5234</v>
      </c>
      <c r="H1434" s="2" t="s">
        <v>631</v>
      </c>
      <c r="I1434" s="2" t="s">
        <v>4730</v>
      </c>
      <c r="J1434" s="2" t="s">
        <v>4696</v>
      </c>
      <c r="K1434" s="2" t="s">
        <v>4696</v>
      </c>
      <c r="L1434" s="2" t="s">
        <v>4696</v>
      </c>
      <c r="M1434" s="2" t="s">
        <v>4696</v>
      </c>
      <c r="N1434" s="2"/>
      <c r="O1434" s="2"/>
      <c r="P1434" s="2"/>
      <c r="Q1434" s="2"/>
    </row>
    <row r="1435" spans="1:17" x14ac:dyDescent="0.3">
      <c r="A1435" s="2">
        <v>6194</v>
      </c>
      <c r="B1435" s="2" t="s">
        <v>3684</v>
      </c>
      <c r="C1435" s="2" t="s">
        <v>3685</v>
      </c>
      <c r="D1435" s="2" t="s">
        <v>6028</v>
      </c>
      <c r="E1435" s="2" t="s">
        <v>3686</v>
      </c>
      <c r="F1435" s="2" t="s">
        <v>2</v>
      </c>
      <c r="G1435" s="2" t="s">
        <v>5235</v>
      </c>
      <c r="H1435" s="2" t="s">
        <v>6006</v>
      </c>
      <c r="I1435" s="2" t="s">
        <v>4698</v>
      </c>
      <c r="J1435" s="2" t="s">
        <v>4696</v>
      </c>
      <c r="K1435" s="2" t="s">
        <v>4696</v>
      </c>
      <c r="L1435" s="2" t="s">
        <v>4696</v>
      </c>
      <c r="M1435" s="2" t="s">
        <v>2</v>
      </c>
      <c r="N1435" s="2"/>
      <c r="O1435" s="2"/>
      <c r="P1435" s="2"/>
      <c r="Q1435" s="2"/>
    </row>
    <row r="1436" spans="1:17" x14ac:dyDescent="0.3">
      <c r="A1436" s="2">
        <v>6195</v>
      </c>
      <c r="B1436" s="2" t="s">
        <v>3687</v>
      </c>
      <c r="C1436" s="2" t="s">
        <v>3688</v>
      </c>
      <c r="D1436" s="2" t="s">
        <v>6000</v>
      </c>
      <c r="E1436" s="2" t="s">
        <v>6768</v>
      </c>
      <c r="F1436" s="2" t="s">
        <v>2</v>
      </c>
      <c r="G1436" s="2" t="s">
        <v>5236</v>
      </c>
      <c r="H1436" s="2" t="s">
        <v>451</v>
      </c>
      <c r="I1436" s="2" t="s">
        <v>4724</v>
      </c>
      <c r="J1436" s="2" t="s">
        <v>4696</v>
      </c>
      <c r="K1436" s="2" t="s">
        <v>4696</v>
      </c>
      <c r="L1436" s="2" t="s">
        <v>4696</v>
      </c>
      <c r="M1436" s="2" t="s">
        <v>4696</v>
      </c>
      <c r="N1436" s="2"/>
      <c r="O1436" s="2"/>
      <c r="P1436" s="2"/>
      <c r="Q1436" s="2"/>
    </row>
    <row r="1437" spans="1:17" x14ac:dyDescent="0.3">
      <c r="A1437" s="2">
        <v>6198</v>
      </c>
      <c r="B1437" s="2" t="s">
        <v>3689</v>
      </c>
      <c r="C1437" s="2" t="s">
        <v>3690</v>
      </c>
      <c r="D1437" s="2" t="s">
        <v>6024</v>
      </c>
      <c r="E1437" s="2" t="s">
        <v>6769</v>
      </c>
      <c r="F1437" s="2" t="s">
        <v>2</v>
      </c>
      <c r="G1437" s="2" t="s">
        <v>5237</v>
      </c>
      <c r="H1437" s="2" t="s">
        <v>1028</v>
      </c>
      <c r="I1437" s="2" t="s">
        <v>6</v>
      </c>
      <c r="J1437" s="2" t="s">
        <v>4696</v>
      </c>
      <c r="K1437" s="2" t="s">
        <v>4696</v>
      </c>
      <c r="L1437" s="2" t="s">
        <v>4696</v>
      </c>
      <c r="M1437" s="2" t="s">
        <v>2</v>
      </c>
      <c r="N1437" s="2"/>
      <c r="O1437" s="2"/>
      <c r="P1437" s="2"/>
      <c r="Q1437" s="2"/>
    </row>
    <row r="1438" spans="1:17" x14ac:dyDescent="0.3">
      <c r="A1438" s="2">
        <v>6199</v>
      </c>
      <c r="B1438" s="2" t="s">
        <v>6770</v>
      </c>
      <c r="C1438" s="2" t="s">
        <v>3691</v>
      </c>
      <c r="D1438" s="2" t="s">
        <v>6771</v>
      </c>
      <c r="E1438" s="2" t="s">
        <v>6772</v>
      </c>
      <c r="F1438" s="2" t="s">
        <v>41</v>
      </c>
      <c r="G1438" s="2" t="s">
        <v>5238</v>
      </c>
      <c r="H1438" s="2" t="s">
        <v>6006</v>
      </c>
      <c r="I1438" s="2" t="s">
        <v>25</v>
      </c>
      <c r="J1438" s="2" t="s">
        <v>4696</v>
      </c>
      <c r="K1438" s="2" t="s">
        <v>4696</v>
      </c>
      <c r="L1438" s="2" t="s">
        <v>4696</v>
      </c>
      <c r="M1438" s="2" t="s">
        <v>4770</v>
      </c>
      <c r="N1438" s="2"/>
      <c r="O1438" s="2"/>
      <c r="P1438" s="2"/>
      <c r="Q1438" s="2"/>
    </row>
    <row r="1439" spans="1:17" x14ac:dyDescent="0.3">
      <c r="A1439" s="2">
        <v>6203</v>
      </c>
      <c r="B1439" s="2" t="s">
        <v>3692</v>
      </c>
      <c r="C1439" s="2" t="s">
        <v>3693</v>
      </c>
      <c r="D1439" s="2" t="s">
        <v>6014</v>
      </c>
      <c r="E1439" s="2" t="s">
        <v>6773</v>
      </c>
      <c r="F1439" s="2" t="s">
        <v>2</v>
      </c>
      <c r="G1439" s="2" t="s">
        <v>5239</v>
      </c>
      <c r="H1439" s="2" t="s">
        <v>469</v>
      </c>
      <c r="I1439" s="2" t="s">
        <v>5240</v>
      </c>
      <c r="J1439" s="2" t="s">
        <v>4696</v>
      </c>
      <c r="K1439" s="2" t="s">
        <v>4696</v>
      </c>
      <c r="L1439" s="2" t="s">
        <v>4696</v>
      </c>
      <c r="M1439" s="2" t="s">
        <v>2</v>
      </c>
      <c r="N1439" s="2"/>
      <c r="O1439" s="2"/>
      <c r="P1439" s="2"/>
      <c r="Q1439" s="2"/>
    </row>
    <row r="1440" spans="1:17" x14ac:dyDescent="0.3">
      <c r="A1440" s="2">
        <v>6204</v>
      </c>
      <c r="B1440" s="2" t="s">
        <v>3694</v>
      </c>
      <c r="C1440" s="2" t="s">
        <v>3695</v>
      </c>
      <c r="D1440" s="2" t="s">
        <v>6080</v>
      </c>
      <c r="E1440" s="2" t="s">
        <v>6774</v>
      </c>
      <c r="F1440" s="2" t="s">
        <v>41</v>
      </c>
      <c r="G1440" s="2" t="s">
        <v>5241</v>
      </c>
      <c r="H1440" s="2" t="s">
        <v>1587</v>
      </c>
      <c r="I1440" s="2" t="s">
        <v>4722</v>
      </c>
      <c r="J1440" s="2" t="s">
        <v>4696</v>
      </c>
      <c r="K1440" s="2" t="s">
        <v>4696</v>
      </c>
      <c r="L1440" s="2" t="s">
        <v>4696</v>
      </c>
      <c r="M1440" s="2" t="s">
        <v>2</v>
      </c>
      <c r="N1440" s="2"/>
      <c r="O1440" s="2"/>
      <c r="P1440" s="2"/>
      <c r="Q1440" s="2"/>
    </row>
    <row r="1441" spans="1:17" x14ac:dyDescent="0.3">
      <c r="A1441" s="2">
        <v>6207</v>
      </c>
      <c r="B1441" s="2" t="s">
        <v>239</v>
      </c>
      <c r="C1441" s="2" t="s">
        <v>3696</v>
      </c>
      <c r="D1441" s="2" t="s">
        <v>6024</v>
      </c>
      <c r="E1441" s="2" t="s">
        <v>3697</v>
      </c>
      <c r="F1441" s="2" t="s">
        <v>41</v>
      </c>
      <c r="G1441" s="2" t="s">
        <v>5242</v>
      </c>
      <c r="H1441" s="2" t="s">
        <v>6006</v>
      </c>
      <c r="I1441" s="2" t="s">
        <v>4698</v>
      </c>
      <c r="J1441" s="2" t="s">
        <v>4696</v>
      </c>
      <c r="K1441" s="2" t="s">
        <v>4696</v>
      </c>
      <c r="L1441" s="2" t="s">
        <v>4696</v>
      </c>
      <c r="M1441" s="2" t="s">
        <v>2</v>
      </c>
      <c r="N1441" s="2"/>
      <c r="O1441" s="2"/>
      <c r="P1441" s="2"/>
      <c r="Q1441" s="2"/>
    </row>
    <row r="1442" spans="1:17" x14ac:dyDescent="0.3">
      <c r="A1442" s="2">
        <v>6208</v>
      </c>
      <c r="B1442" s="2" t="s">
        <v>3698</v>
      </c>
      <c r="C1442" s="2" t="s">
        <v>3699</v>
      </c>
      <c r="D1442" s="2" t="s">
        <v>6024</v>
      </c>
      <c r="E1442" s="2" t="s">
        <v>3700</v>
      </c>
      <c r="F1442" s="2" t="s">
        <v>41</v>
      </c>
      <c r="G1442" s="2" t="s">
        <v>5243</v>
      </c>
      <c r="H1442" s="2" t="s">
        <v>2059</v>
      </c>
      <c r="I1442" s="2" t="s">
        <v>4730</v>
      </c>
      <c r="J1442" s="2" t="s">
        <v>4696</v>
      </c>
      <c r="K1442" s="2" t="s">
        <v>4696</v>
      </c>
      <c r="L1442" s="2" t="s">
        <v>4696</v>
      </c>
      <c r="M1442" s="2" t="s">
        <v>2</v>
      </c>
      <c r="N1442" s="2"/>
      <c r="O1442" s="2"/>
      <c r="P1442" s="2"/>
      <c r="Q1442" s="2"/>
    </row>
    <row r="1443" spans="1:17" x14ac:dyDescent="0.3">
      <c r="A1443" s="2">
        <v>6210</v>
      </c>
      <c r="B1443" s="2" t="s">
        <v>3701</v>
      </c>
      <c r="C1443" s="2" t="s">
        <v>3702</v>
      </c>
      <c r="D1443" s="2" t="s">
        <v>6015</v>
      </c>
      <c r="E1443" s="2" t="s">
        <v>3702</v>
      </c>
      <c r="F1443" s="2" t="s">
        <v>2</v>
      </c>
      <c r="G1443" s="2" t="s">
        <v>5244</v>
      </c>
      <c r="H1443" s="2" t="s">
        <v>469</v>
      </c>
      <c r="I1443" s="2" t="s">
        <v>4</v>
      </c>
      <c r="J1443" s="2" t="s">
        <v>4696</v>
      </c>
      <c r="K1443" s="2" t="s">
        <v>4696</v>
      </c>
      <c r="L1443" s="2" t="s">
        <v>4696</v>
      </c>
      <c r="M1443" s="2" t="s">
        <v>4696</v>
      </c>
      <c r="N1443" s="2"/>
      <c r="O1443" s="2"/>
      <c r="P1443" s="2"/>
      <c r="Q1443" s="2"/>
    </row>
    <row r="1444" spans="1:17" x14ac:dyDescent="0.3">
      <c r="A1444" s="2">
        <v>6212</v>
      </c>
      <c r="B1444" s="2" t="s">
        <v>3703</v>
      </c>
      <c r="C1444" s="2" t="s">
        <v>6775</v>
      </c>
      <c r="D1444" s="2" t="s">
        <v>6007</v>
      </c>
      <c r="E1444" s="2" t="s">
        <v>6776</v>
      </c>
      <c r="F1444" s="2" t="s">
        <v>2</v>
      </c>
      <c r="G1444" s="2" t="s">
        <v>5245</v>
      </c>
      <c r="H1444" s="2" t="s">
        <v>456</v>
      </c>
      <c r="I1444" s="2" t="s">
        <v>26</v>
      </c>
      <c r="J1444" s="2" t="s">
        <v>4696</v>
      </c>
      <c r="K1444" s="2" t="s">
        <v>4696</v>
      </c>
      <c r="L1444" s="2" t="s">
        <v>4696</v>
      </c>
      <c r="M1444" s="2" t="s">
        <v>4696</v>
      </c>
      <c r="N1444" s="2"/>
      <c r="O1444" s="2"/>
      <c r="P1444" s="2"/>
      <c r="Q1444" s="2"/>
    </row>
    <row r="1445" spans="1:17" x14ac:dyDescent="0.3">
      <c r="A1445" s="2">
        <v>6217</v>
      </c>
      <c r="B1445" s="2" t="s">
        <v>3704</v>
      </c>
      <c r="C1445" s="2" t="s">
        <v>3705</v>
      </c>
      <c r="D1445" s="2" t="s">
        <v>6010</v>
      </c>
      <c r="E1445" s="2" t="s">
        <v>3706</v>
      </c>
      <c r="F1445" s="2" t="s">
        <v>41</v>
      </c>
      <c r="G1445" s="2" t="s">
        <v>5246</v>
      </c>
      <c r="H1445" s="2" t="s">
        <v>451</v>
      </c>
      <c r="I1445" s="2" t="s">
        <v>4694</v>
      </c>
      <c r="J1445" s="2" t="s">
        <v>4696</v>
      </c>
      <c r="K1445" s="2" t="s">
        <v>4696</v>
      </c>
      <c r="L1445" s="2" t="s">
        <v>4696</v>
      </c>
      <c r="M1445" s="2" t="s">
        <v>4696</v>
      </c>
      <c r="N1445" s="2"/>
      <c r="O1445" s="2"/>
      <c r="P1445" s="2"/>
      <c r="Q1445" s="2"/>
    </row>
    <row r="1446" spans="1:17" x14ac:dyDescent="0.3">
      <c r="A1446" s="2">
        <v>6218</v>
      </c>
      <c r="B1446" s="2" t="s">
        <v>3707</v>
      </c>
      <c r="C1446" s="2" t="s">
        <v>3708</v>
      </c>
      <c r="D1446" s="2" t="s">
        <v>6000</v>
      </c>
      <c r="E1446" s="2" t="s">
        <v>6777</v>
      </c>
      <c r="F1446" s="2" t="s">
        <v>2</v>
      </c>
      <c r="G1446" s="2" t="s">
        <v>5247</v>
      </c>
      <c r="H1446" s="2" t="s">
        <v>671</v>
      </c>
      <c r="I1446" s="2" t="s">
        <v>4724</v>
      </c>
      <c r="J1446" s="2" t="s">
        <v>4696</v>
      </c>
      <c r="K1446" s="2" t="s">
        <v>4696</v>
      </c>
      <c r="L1446" s="2" t="s">
        <v>4696</v>
      </c>
      <c r="M1446" s="2" t="s">
        <v>4696</v>
      </c>
      <c r="N1446" s="2"/>
      <c r="O1446" s="2"/>
      <c r="P1446" s="2"/>
      <c r="Q1446" s="2"/>
    </row>
    <row r="1447" spans="1:17" x14ac:dyDescent="0.3">
      <c r="A1447" s="2">
        <v>6219</v>
      </c>
      <c r="B1447" s="2" t="s">
        <v>3709</v>
      </c>
      <c r="C1447" s="2" t="s">
        <v>3710</v>
      </c>
      <c r="D1447" s="2" t="s">
        <v>6528</v>
      </c>
      <c r="E1447" s="2" t="s">
        <v>3711</v>
      </c>
      <c r="F1447" s="2" t="s">
        <v>41</v>
      </c>
      <c r="G1447" s="2" t="s">
        <v>5248</v>
      </c>
      <c r="H1447" s="2" t="s">
        <v>456</v>
      </c>
      <c r="I1447" s="2" t="s">
        <v>4723</v>
      </c>
      <c r="J1447" s="2" t="s">
        <v>4696</v>
      </c>
      <c r="K1447" s="2" t="s">
        <v>4696</v>
      </c>
      <c r="L1447" s="2" t="s">
        <v>4696</v>
      </c>
      <c r="M1447" s="2" t="s">
        <v>2</v>
      </c>
      <c r="N1447" s="2"/>
      <c r="O1447" s="2"/>
      <c r="P1447" s="2"/>
      <c r="Q1447" s="2"/>
    </row>
    <row r="1448" spans="1:17" x14ac:dyDescent="0.3">
      <c r="A1448" s="2">
        <v>6220</v>
      </c>
      <c r="B1448" s="2" t="s">
        <v>335</v>
      </c>
      <c r="C1448" s="2" t="s">
        <v>3712</v>
      </c>
      <c r="D1448" s="2" t="s">
        <v>5999</v>
      </c>
      <c r="E1448" s="2" t="s">
        <v>6778</v>
      </c>
      <c r="F1448" s="2" t="s">
        <v>41</v>
      </c>
      <c r="G1448" s="2" t="s">
        <v>5249</v>
      </c>
      <c r="H1448" s="2" t="s">
        <v>465</v>
      </c>
      <c r="I1448" s="2" t="s">
        <v>4707</v>
      </c>
      <c r="J1448" s="2" t="s">
        <v>4696</v>
      </c>
      <c r="K1448" s="2" t="s">
        <v>4696</v>
      </c>
      <c r="L1448" s="2" t="s">
        <v>4696</v>
      </c>
      <c r="M1448" s="2" t="s">
        <v>4696</v>
      </c>
      <c r="N1448" s="2"/>
      <c r="O1448" s="2"/>
      <c r="P1448" s="2"/>
      <c r="Q1448" s="2"/>
    </row>
    <row r="1449" spans="1:17" x14ac:dyDescent="0.3">
      <c r="A1449" s="2">
        <v>6221</v>
      </c>
      <c r="B1449" s="2" t="s">
        <v>3713</v>
      </c>
      <c r="C1449" s="2" t="s">
        <v>3714</v>
      </c>
      <c r="D1449" s="2" t="s">
        <v>6004</v>
      </c>
      <c r="E1449" s="2" t="s">
        <v>6779</v>
      </c>
      <c r="F1449" s="2" t="s">
        <v>2</v>
      </c>
      <c r="G1449" s="2" t="s">
        <v>5250</v>
      </c>
      <c r="H1449" s="2" t="s">
        <v>465</v>
      </c>
      <c r="I1449" s="2" t="s">
        <v>4707</v>
      </c>
      <c r="J1449" s="2" t="s">
        <v>4696</v>
      </c>
      <c r="K1449" s="2" t="s">
        <v>4696</v>
      </c>
      <c r="L1449" s="2" t="s">
        <v>4696</v>
      </c>
      <c r="M1449" s="2" t="s">
        <v>4696</v>
      </c>
      <c r="N1449" s="2"/>
      <c r="O1449" s="2"/>
      <c r="P1449" s="2"/>
      <c r="Q1449" s="2"/>
    </row>
    <row r="1450" spans="1:17" x14ac:dyDescent="0.3">
      <c r="A1450" s="2">
        <v>6222</v>
      </c>
      <c r="B1450" s="2" t="s">
        <v>3715</v>
      </c>
      <c r="C1450" s="2" t="s">
        <v>3716</v>
      </c>
      <c r="D1450" s="2" t="s">
        <v>6016</v>
      </c>
      <c r="E1450" s="2" t="s">
        <v>3717</v>
      </c>
      <c r="F1450" s="2" t="s">
        <v>41</v>
      </c>
      <c r="G1450" s="2">
        <v>26918000</v>
      </c>
      <c r="H1450" s="2" t="s">
        <v>424</v>
      </c>
      <c r="I1450" s="2" t="s">
        <v>5251</v>
      </c>
      <c r="J1450" s="2" t="s">
        <v>4696</v>
      </c>
      <c r="K1450" s="2" t="s">
        <v>4696</v>
      </c>
      <c r="L1450" s="2" t="s">
        <v>4696</v>
      </c>
      <c r="M1450" s="2" t="s">
        <v>2</v>
      </c>
      <c r="N1450" s="2"/>
      <c r="O1450" s="2"/>
      <c r="P1450" s="2"/>
      <c r="Q1450" s="2"/>
    </row>
    <row r="1451" spans="1:17" x14ac:dyDescent="0.3">
      <c r="A1451" s="2">
        <v>6223</v>
      </c>
      <c r="B1451" s="2" t="s">
        <v>148</v>
      </c>
      <c r="C1451" s="2" t="s">
        <v>3718</v>
      </c>
      <c r="D1451" s="2" t="s">
        <v>6028</v>
      </c>
      <c r="E1451" s="2" t="s">
        <v>6780</v>
      </c>
      <c r="F1451" s="2" t="s">
        <v>2</v>
      </c>
      <c r="G1451" s="2" t="s">
        <v>5252</v>
      </c>
      <c r="H1451" s="2" t="s">
        <v>574</v>
      </c>
      <c r="I1451" s="2" t="s">
        <v>5253</v>
      </c>
      <c r="J1451" s="2" t="s">
        <v>4696</v>
      </c>
      <c r="K1451" s="2" t="s">
        <v>4696</v>
      </c>
      <c r="L1451" s="2" t="s">
        <v>4696</v>
      </c>
      <c r="M1451" s="2" t="s">
        <v>4696</v>
      </c>
      <c r="N1451" s="2"/>
      <c r="O1451" s="2"/>
      <c r="P1451" s="2"/>
      <c r="Q1451" s="2"/>
    </row>
    <row r="1452" spans="1:17" x14ac:dyDescent="0.3">
      <c r="A1452" s="2">
        <v>6227</v>
      </c>
      <c r="B1452" s="2" t="s">
        <v>3719</v>
      </c>
      <c r="C1452" s="2" t="s">
        <v>3720</v>
      </c>
      <c r="D1452" s="2" t="s">
        <v>6028</v>
      </c>
      <c r="E1452" s="2" t="s">
        <v>3721</v>
      </c>
      <c r="F1452" s="2" t="s">
        <v>2</v>
      </c>
      <c r="G1452" s="2" t="s">
        <v>5254</v>
      </c>
      <c r="H1452" s="2" t="s">
        <v>431</v>
      </c>
      <c r="I1452" s="2">
        <v>27023999</v>
      </c>
      <c r="J1452" s="2" t="s">
        <v>4696</v>
      </c>
      <c r="K1452" s="2" t="s">
        <v>4696</v>
      </c>
      <c r="L1452" s="2" t="s">
        <v>4696</v>
      </c>
      <c r="M1452" s="2" t="s">
        <v>4696</v>
      </c>
      <c r="N1452" s="2"/>
      <c r="O1452" s="2"/>
      <c r="P1452" s="2"/>
      <c r="Q1452" s="2"/>
    </row>
    <row r="1453" spans="1:17" x14ac:dyDescent="0.3">
      <c r="A1453" s="2">
        <v>6228</v>
      </c>
      <c r="B1453" s="2" t="s">
        <v>3722</v>
      </c>
      <c r="C1453" s="2" t="s">
        <v>3723</v>
      </c>
      <c r="D1453" s="2" t="s">
        <v>6028</v>
      </c>
      <c r="E1453" s="2" t="s">
        <v>3724</v>
      </c>
      <c r="F1453" s="2" t="s">
        <v>2</v>
      </c>
      <c r="G1453" s="2">
        <v>86921800</v>
      </c>
      <c r="H1453" s="2" t="s">
        <v>456</v>
      </c>
      <c r="I1453" s="2">
        <v>25048125</v>
      </c>
      <c r="J1453" s="2" t="s">
        <v>4696</v>
      </c>
      <c r="K1453" s="2" t="s">
        <v>4696</v>
      </c>
      <c r="L1453" s="2" t="s">
        <v>4696</v>
      </c>
      <c r="M1453" s="2" t="s">
        <v>4696</v>
      </c>
      <c r="N1453" s="2"/>
      <c r="O1453" s="2"/>
      <c r="P1453" s="2"/>
      <c r="Q1453" s="2"/>
    </row>
    <row r="1454" spans="1:17" x14ac:dyDescent="0.3">
      <c r="A1454" s="2">
        <v>6229</v>
      </c>
      <c r="B1454" s="2" t="s">
        <v>248</v>
      </c>
      <c r="C1454" s="2" t="s">
        <v>3725</v>
      </c>
      <c r="D1454" s="2" t="s">
        <v>6015</v>
      </c>
      <c r="E1454" s="2" t="s">
        <v>6781</v>
      </c>
      <c r="F1454" s="2" t="s">
        <v>2</v>
      </c>
      <c r="G1454" s="2" t="s">
        <v>5255</v>
      </c>
      <c r="H1454" s="2" t="s">
        <v>456</v>
      </c>
      <c r="I1454" s="2" t="s">
        <v>4717</v>
      </c>
      <c r="J1454" s="2" t="s">
        <v>4696</v>
      </c>
      <c r="K1454" s="2" t="s">
        <v>4696</v>
      </c>
      <c r="L1454" s="2" t="s">
        <v>4696</v>
      </c>
      <c r="M1454" s="2" t="s">
        <v>4696</v>
      </c>
      <c r="N1454" s="2"/>
      <c r="O1454" s="2"/>
      <c r="P1454" s="2"/>
      <c r="Q1454" s="2"/>
    </row>
    <row r="1455" spans="1:17" x14ac:dyDescent="0.3">
      <c r="A1455" s="2">
        <v>6231</v>
      </c>
      <c r="B1455" s="2" t="s">
        <v>9</v>
      </c>
      <c r="C1455" s="2" t="s">
        <v>3726</v>
      </c>
      <c r="D1455" s="2" t="s">
        <v>6016</v>
      </c>
      <c r="E1455" s="2" t="s">
        <v>6782</v>
      </c>
      <c r="F1455" s="2" t="s">
        <v>41</v>
      </c>
      <c r="G1455" s="2">
        <v>66083688</v>
      </c>
      <c r="H1455" s="2" t="s">
        <v>451</v>
      </c>
      <c r="I1455" s="2">
        <v>23892999</v>
      </c>
      <c r="J1455" s="2" t="s">
        <v>4696</v>
      </c>
      <c r="K1455" s="2" t="s">
        <v>4696</v>
      </c>
      <c r="L1455" s="2" t="s">
        <v>4696</v>
      </c>
      <c r="M1455" s="2" t="s">
        <v>2</v>
      </c>
      <c r="N1455" s="2"/>
      <c r="O1455" s="2"/>
      <c r="P1455" s="2"/>
      <c r="Q1455" s="2"/>
    </row>
    <row r="1456" spans="1:17" x14ac:dyDescent="0.3">
      <c r="A1456" s="2">
        <v>6233</v>
      </c>
      <c r="B1456" s="2" t="s">
        <v>3727</v>
      </c>
      <c r="C1456" s="2" t="s">
        <v>3728</v>
      </c>
      <c r="D1456" s="2" t="s">
        <v>6025</v>
      </c>
      <c r="E1456" s="2" t="s">
        <v>3729</v>
      </c>
      <c r="F1456" s="2" t="s">
        <v>2</v>
      </c>
      <c r="G1456" s="2" t="s">
        <v>5256</v>
      </c>
      <c r="H1456" s="2" t="s">
        <v>671</v>
      </c>
      <c r="I1456" s="2" t="s">
        <v>4694</v>
      </c>
      <c r="J1456" s="2" t="s">
        <v>4696</v>
      </c>
      <c r="K1456" s="2" t="s">
        <v>4696</v>
      </c>
      <c r="L1456" s="2" t="s">
        <v>4696</v>
      </c>
      <c r="M1456" s="2" t="s">
        <v>2</v>
      </c>
      <c r="N1456" s="2"/>
      <c r="O1456" s="2"/>
      <c r="P1456" s="2"/>
      <c r="Q1456" s="2"/>
    </row>
    <row r="1457" spans="1:17" x14ac:dyDescent="0.3">
      <c r="A1457" s="2">
        <v>6234</v>
      </c>
      <c r="B1457" s="2" t="s">
        <v>367</v>
      </c>
      <c r="C1457" s="2" t="s">
        <v>3730</v>
      </c>
      <c r="D1457" s="2" t="s">
        <v>6025</v>
      </c>
      <c r="E1457" s="2" t="s">
        <v>3731</v>
      </c>
      <c r="F1457" s="2" t="s">
        <v>2</v>
      </c>
      <c r="G1457" s="2" t="s">
        <v>5257</v>
      </c>
      <c r="H1457" s="2" t="s">
        <v>451</v>
      </c>
      <c r="I1457" s="2" t="s">
        <v>4703</v>
      </c>
      <c r="J1457" s="2" t="s">
        <v>4696</v>
      </c>
      <c r="K1457" s="2" t="s">
        <v>4696</v>
      </c>
      <c r="L1457" s="2" t="s">
        <v>4696</v>
      </c>
      <c r="M1457" s="2" t="s">
        <v>2</v>
      </c>
      <c r="N1457" s="2"/>
      <c r="O1457" s="2"/>
      <c r="P1457" s="2"/>
      <c r="Q1457" s="2"/>
    </row>
    <row r="1458" spans="1:17" x14ac:dyDescent="0.3">
      <c r="A1458" s="2">
        <v>6236</v>
      </c>
      <c r="B1458" s="2" t="s">
        <v>3732</v>
      </c>
      <c r="C1458" s="2" t="s">
        <v>3733</v>
      </c>
      <c r="D1458" s="2" t="s">
        <v>6004</v>
      </c>
      <c r="E1458" s="2" t="s">
        <v>6783</v>
      </c>
      <c r="F1458" s="2" t="s">
        <v>41</v>
      </c>
      <c r="G1458" s="2" t="s">
        <v>5258</v>
      </c>
      <c r="H1458" s="2" t="s">
        <v>431</v>
      </c>
      <c r="I1458" s="2" t="s">
        <v>4719</v>
      </c>
      <c r="J1458" s="2" t="s">
        <v>4696</v>
      </c>
      <c r="K1458" s="2" t="s">
        <v>4696</v>
      </c>
      <c r="L1458" s="2" t="s">
        <v>4696</v>
      </c>
      <c r="M1458" s="2" t="s">
        <v>4696</v>
      </c>
      <c r="N1458" s="2"/>
      <c r="O1458" s="2"/>
      <c r="P1458" s="2"/>
      <c r="Q1458" s="2"/>
    </row>
    <row r="1459" spans="1:17" x14ac:dyDescent="0.3">
      <c r="A1459" s="2">
        <v>6237</v>
      </c>
      <c r="B1459" s="2" t="s">
        <v>115</v>
      </c>
      <c r="C1459" s="2" t="s">
        <v>3734</v>
      </c>
      <c r="D1459" s="2" t="s">
        <v>5999</v>
      </c>
      <c r="E1459" s="2" t="s">
        <v>6784</v>
      </c>
      <c r="F1459" s="2" t="s">
        <v>2</v>
      </c>
      <c r="G1459" s="2" t="s">
        <v>5259</v>
      </c>
      <c r="H1459" s="2" t="s">
        <v>475</v>
      </c>
      <c r="I1459" s="2" t="s">
        <v>4759</v>
      </c>
      <c r="J1459" s="2" t="s">
        <v>4696</v>
      </c>
      <c r="K1459" s="2" t="s">
        <v>4696</v>
      </c>
      <c r="L1459" s="2" t="s">
        <v>4696</v>
      </c>
      <c r="M1459" s="2" t="s">
        <v>4696</v>
      </c>
      <c r="N1459" s="2"/>
      <c r="O1459" s="2"/>
      <c r="P1459" s="2"/>
      <c r="Q1459" s="2"/>
    </row>
    <row r="1460" spans="1:17" x14ac:dyDescent="0.3">
      <c r="A1460" s="2">
        <v>6238</v>
      </c>
      <c r="B1460" s="2" t="s">
        <v>3735</v>
      </c>
      <c r="C1460" s="2" t="s">
        <v>6785</v>
      </c>
      <c r="D1460" s="2" t="s">
        <v>6037</v>
      </c>
      <c r="E1460" s="2" t="s">
        <v>3736</v>
      </c>
      <c r="F1460" s="2" t="s">
        <v>41</v>
      </c>
      <c r="G1460" s="2" t="s">
        <v>6786</v>
      </c>
      <c r="H1460" s="2" t="s">
        <v>431</v>
      </c>
      <c r="I1460" s="2" t="s">
        <v>14</v>
      </c>
      <c r="J1460" s="2" t="s">
        <v>4696</v>
      </c>
      <c r="K1460" s="2" t="s">
        <v>4696</v>
      </c>
      <c r="L1460" s="2" t="s">
        <v>4696</v>
      </c>
      <c r="M1460" s="2" t="s">
        <v>2</v>
      </c>
      <c r="N1460" s="2"/>
      <c r="O1460" s="2"/>
      <c r="P1460" s="2"/>
      <c r="Q1460" s="2"/>
    </row>
    <row r="1461" spans="1:17" x14ac:dyDescent="0.3">
      <c r="A1461" s="2">
        <v>6240</v>
      </c>
      <c r="B1461" s="2" t="s">
        <v>3737</v>
      </c>
      <c r="C1461" s="2" t="s">
        <v>3738</v>
      </c>
      <c r="D1461" s="2" t="s">
        <v>6001</v>
      </c>
      <c r="E1461" s="2" t="s">
        <v>3739</v>
      </c>
      <c r="F1461" s="2" t="s">
        <v>2</v>
      </c>
      <c r="G1461" s="2" t="s">
        <v>5260</v>
      </c>
      <c r="H1461" s="2" t="s">
        <v>469</v>
      </c>
      <c r="I1461" s="2" t="s">
        <v>4746</v>
      </c>
      <c r="J1461" s="2" t="s">
        <v>4696</v>
      </c>
      <c r="K1461" s="2" t="s">
        <v>4696</v>
      </c>
      <c r="L1461" s="2" t="s">
        <v>4696</v>
      </c>
      <c r="M1461" s="2" t="s">
        <v>4696</v>
      </c>
      <c r="N1461" s="2"/>
      <c r="O1461" s="2"/>
      <c r="P1461" s="2"/>
      <c r="Q1461" s="2"/>
    </row>
    <row r="1462" spans="1:17" x14ac:dyDescent="0.3">
      <c r="A1462" s="2">
        <v>6241</v>
      </c>
      <c r="B1462" s="2" t="s">
        <v>3740</v>
      </c>
      <c r="C1462" s="2" t="s">
        <v>3741</v>
      </c>
      <c r="D1462" s="2" t="s">
        <v>6016</v>
      </c>
      <c r="E1462" s="2" t="s">
        <v>3742</v>
      </c>
      <c r="F1462" s="2" t="s">
        <v>2</v>
      </c>
      <c r="G1462" s="2" t="s">
        <v>5261</v>
      </c>
      <c r="H1462" s="2" t="s">
        <v>640</v>
      </c>
      <c r="I1462" s="2" t="s">
        <v>6450</v>
      </c>
      <c r="J1462" s="2" t="s">
        <v>4696</v>
      </c>
      <c r="K1462" s="2" t="s">
        <v>4696</v>
      </c>
      <c r="L1462" s="2" t="s">
        <v>4696</v>
      </c>
      <c r="M1462" s="2" t="s">
        <v>4696</v>
      </c>
      <c r="N1462" s="2"/>
      <c r="O1462" s="2"/>
      <c r="P1462" s="2"/>
      <c r="Q1462" s="2"/>
    </row>
    <row r="1463" spans="1:17" x14ac:dyDescent="0.3">
      <c r="A1463" s="2">
        <v>6242</v>
      </c>
      <c r="B1463" s="2" t="s">
        <v>3743</v>
      </c>
      <c r="C1463" s="2" t="s">
        <v>3744</v>
      </c>
      <c r="D1463" s="2" t="s">
        <v>6037</v>
      </c>
      <c r="E1463" s="2" t="s">
        <v>3745</v>
      </c>
      <c r="F1463" s="2" t="s">
        <v>2</v>
      </c>
      <c r="G1463" s="2" t="s">
        <v>5262</v>
      </c>
      <c r="H1463" s="2" t="s">
        <v>1926</v>
      </c>
      <c r="I1463" s="2" t="s">
        <v>4693</v>
      </c>
      <c r="J1463" s="2" t="s">
        <v>4696</v>
      </c>
      <c r="K1463" s="2" t="s">
        <v>4696</v>
      </c>
      <c r="L1463" s="2" t="s">
        <v>4696</v>
      </c>
      <c r="M1463" s="2" t="s">
        <v>2</v>
      </c>
      <c r="N1463" s="2"/>
      <c r="O1463" s="2"/>
      <c r="P1463" s="2"/>
      <c r="Q1463" s="2"/>
    </row>
    <row r="1464" spans="1:17" x14ac:dyDescent="0.3">
      <c r="A1464" s="2">
        <v>6244</v>
      </c>
      <c r="B1464" s="2" t="s">
        <v>149</v>
      </c>
      <c r="C1464" s="2" t="s">
        <v>3746</v>
      </c>
      <c r="D1464" s="2" t="s">
        <v>6021</v>
      </c>
      <c r="E1464" s="2" t="s">
        <v>3747</v>
      </c>
      <c r="F1464" s="2" t="s">
        <v>41</v>
      </c>
      <c r="G1464" s="2" t="s">
        <v>5263</v>
      </c>
      <c r="H1464" s="2" t="s">
        <v>404</v>
      </c>
      <c r="I1464" s="2" t="s">
        <v>4697</v>
      </c>
      <c r="J1464" s="2" t="s">
        <v>6710</v>
      </c>
      <c r="K1464" s="2" t="s">
        <v>4690</v>
      </c>
      <c r="L1464" s="2" t="s">
        <v>4691</v>
      </c>
      <c r="M1464" s="2" t="s">
        <v>4692</v>
      </c>
      <c r="N1464" s="2"/>
      <c r="O1464" s="2"/>
      <c r="P1464" s="2"/>
      <c r="Q1464" s="2"/>
    </row>
    <row r="1465" spans="1:17" x14ac:dyDescent="0.3">
      <c r="A1465" s="2">
        <v>6245</v>
      </c>
      <c r="B1465" s="2" t="s">
        <v>3748</v>
      </c>
      <c r="C1465" s="2" t="s">
        <v>3749</v>
      </c>
      <c r="D1465" s="2" t="s">
        <v>6028</v>
      </c>
      <c r="E1465" s="2" t="s">
        <v>3750</v>
      </c>
      <c r="F1465" s="2" t="s">
        <v>41</v>
      </c>
      <c r="G1465" s="2" t="s">
        <v>5264</v>
      </c>
      <c r="H1465" s="2" t="s">
        <v>1063</v>
      </c>
      <c r="I1465" s="2" t="s">
        <v>4749</v>
      </c>
      <c r="J1465" s="2" t="s">
        <v>4696</v>
      </c>
      <c r="K1465" s="2" t="s">
        <v>4696</v>
      </c>
      <c r="L1465" s="2" t="s">
        <v>4696</v>
      </c>
      <c r="M1465" s="2" t="s">
        <v>4696</v>
      </c>
      <c r="N1465" s="2"/>
      <c r="O1465" s="2"/>
      <c r="P1465" s="2"/>
      <c r="Q1465" s="2"/>
    </row>
    <row r="1466" spans="1:17" x14ac:dyDescent="0.3">
      <c r="A1466" s="2">
        <v>6246</v>
      </c>
      <c r="B1466" s="2" t="s">
        <v>336</v>
      </c>
      <c r="C1466" s="2" t="s">
        <v>3751</v>
      </c>
      <c r="D1466" s="2" t="s">
        <v>6000</v>
      </c>
      <c r="E1466" s="2" t="s">
        <v>3752</v>
      </c>
      <c r="F1466" s="2" t="s">
        <v>41</v>
      </c>
      <c r="G1466" s="2" t="s">
        <v>5265</v>
      </c>
      <c r="H1466" s="2" t="s">
        <v>574</v>
      </c>
      <c r="I1466" s="2" t="s">
        <v>20</v>
      </c>
      <c r="J1466" s="2" t="s">
        <v>4696</v>
      </c>
      <c r="K1466" s="2" t="s">
        <v>4696</v>
      </c>
      <c r="L1466" s="2" t="s">
        <v>4696</v>
      </c>
      <c r="M1466" s="2" t="s">
        <v>4696</v>
      </c>
      <c r="N1466" s="2"/>
      <c r="O1466" s="2"/>
      <c r="P1466" s="2"/>
      <c r="Q1466" s="2"/>
    </row>
    <row r="1467" spans="1:17" x14ac:dyDescent="0.3">
      <c r="A1467" s="2">
        <v>6247</v>
      </c>
      <c r="B1467" s="2" t="s">
        <v>3753</v>
      </c>
      <c r="C1467" s="2" t="s">
        <v>3754</v>
      </c>
      <c r="D1467" s="2" t="s">
        <v>6007</v>
      </c>
      <c r="E1467" s="2" t="s">
        <v>3755</v>
      </c>
      <c r="F1467" s="2" t="s">
        <v>41</v>
      </c>
      <c r="G1467" s="2" t="s">
        <v>5266</v>
      </c>
      <c r="H1467" s="2" t="s">
        <v>469</v>
      </c>
      <c r="I1467" s="2" t="s">
        <v>5267</v>
      </c>
      <c r="J1467" s="2" t="s">
        <v>4696</v>
      </c>
      <c r="K1467" s="2" t="s">
        <v>4696</v>
      </c>
      <c r="L1467" s="2" t="s">
        <v>4696</v>
      </c>
      <c r="M1467" s="2" t="s">
        <v>4696</v>
      </c>
      <c r="N1467" s="2"/>
      <c r="O1467" s="2"/>
      <c r="P1467" s="2"/>
      <c r="Q1467" s="2"/>
    </row>
    <row r="1468" spans="1:17" x14ac:dyDescent="0.3">
      <c r="A1468" s="2">
        <v>6248</v>
      </c>
      <c r="B1468" s="2" t="s">
        <v>3756</v>
      </c>
      <c r="C1468" s="2" t="s">
        <v>3757</v>
      </c>
      <c r="D1468" s="2" t="s">
        <v>6014</v>
      </c>
      <c r="E1468" s="2" t="s">
        <v>6787</v>
      </c>
      <c r="F1468" s="2" t="s">
        <v>41</v>
      </c>
      <c r="G1468" s="2" t="s">
        <v>5268</v>
      </c>
      <c r="H1468" s="2" t="s">
        <v>1406</v>
      </c>
      <c r="I1468" s="2" t="s">
        <v>6450</v>
      </c>
      <c r="J1468" s="2" t="s">
        <v>4696</v>
      </c>
      <c r="K1468" s="2" t="s">
        <v>4696</v>
      </c>
      <c r="L1468" s="2" t="s">
        <v>4696</v>
      </c>
      <c r="M1468" s="2" t="s">
        <v>4696</v>
      </c>
      <c r="N1468" s="2"/>
      <c r="O1468" s="2"/>
      <c r="P1468" s="2"/>
      <c r="Q1468" s="2"/>
    </row>
    <row r="1469" spans="1:17" x14ac:dyDescent="0.3">
      <c r="A1469" s="2">
        <v>6250</v>
      </c>
      <c r="B1469" s="2" t="s">
        <v>3758</v>
      </c>
      <c r="C1469" s="2" t="s">
        <v>6788</v>
      </c>
      <c r="D1469" s="2" t="s">
        <v>6031</v>
      </c>
      <c r="E1469" s="2" t="s">
        <v>6789</v>
      </c>
      <c r="F1469" s="2" t="s">
        <v>41</v>
      </c>
      <c r="G1469" s="2" t="s">
        <v>6790</v>
      </c>
      <c r="H1469" s="2" t="s">
        <v>996</v>
      </c>
      <c r="I1469" s="2" t="s">
        <v>4765</v>
      </c>
      <c r="J1469" s="2" t="s">
        <v>4696</v>
      </c>
      <c r="K1469" s="2" t="s">
        <v>4696</v>
      </c>
      <c r="L1469" s="2" t="s">
        <v>4696</v>
      </c>
      <c r="M1469" s="2" t="s">
        <v>4696</v>
      </c>
      <c r="N1469" s="2"/>
      <c r="O1469" s="2"/>
      <c r="P1469" s="2"/>
      <c r="Q1469" s="2"/>
    </row>
    <row r="1470" spans="1:17" x14ac:dyDescent="0.3">
      <c r="A1470" s="2">
        <v>6259</v>
      </c>
      <c r="B1470" s="2" t="s">
        <v>327</v>
      </c>
      <c r="C1470" s="2" t="s">
        <v>3759</v>
      </c>
      <c r="D1470" s="2" t="s">
        <v>6028</v>
      </c>
      <c r="E1470" s="2" t="s">
        <v>3760</v>
      </c>
      <c r="F1470" s="2" t="s">
        <v>41</v>
      </c>
      <c r="G1470" s="2" t="s">
        <v>5269</v>
      </c>
      <c r="H1470" s="2" t="s">
        <v>996</v>
      </c>
      <c r="I1470" s="2" t="s">
        <v>4710</v>
      </c>
      <c r="J1470" s="2" t="s">
        <v>4696</v>
      </c>
      <c r="K1470" s="2" t="s">
        <v>4696</v>
      </c>
      <c r="L1470" s="2" t="s">
        <v>4696</v>
      </c>
      <c r="M1470" s="2" t="s">
        <v>2</v>
      </c>
      <c r="N1470" s="2"/>
      <c r="O1470" s="2"/>
      <c r="P1470" s="2"/>
      <c r="Q1470" s="2"/>
    </row>
    <row r="1471" spans="1:17" x14ac:dyDescent="0.3">
      <c r="A1471" s="2">
        <v>6261</v>
      </c>
      <c r="B1471" s="2" t="s">
        <v>323</v>
      </c>
      <c r="C1471" s="2" t="s">
        <v>3761</v>
      </c>
      <c r="D1471" s="2" t="s">
        <v>6024</v>
      </c>
      <c r="E1471" s="2" t="s">
        <v>3762</v>
      </c>
      <c r="F1471" s="2" t="s">
        <v>2</v>
      </c>
      <c r="G1471" s="2" t="s">
        <v>5270</v>
      </c>
      <c r="H1471" s="2" t="s">
        <v>431</v>
      </c>
      <c r="I1471" s="2" t="s">
        <v>4702</v>
      </c>
      <c r="J1471" s="2" t="s">
        <v>4696</v>
      </c>
      <c r="K1471" s="2" t="s">
        <v>4696</v>
      </c>
      <c r="L1471" s="2" t="s">
        <v>4696</v>
      </c>
      <c r="M1471" s="2" t="s">
        <v>2</v>
      </c>
      <c r="N1471" s="2"/>
      <c r="O1471" s="2"/>
      <c r="P1471" s="2"/>
      <c r="Q1471" s="2"/>
    </row>
    <row r="1472" spans="1:17" x14ac:dyDescent="0.3">
      <c r="A1472" s="2">
        <v>6263</v>
      </c>
      <c r="B1472" s="2" t="s">
        <v>3763</v>
      </c>
      <c r="C1472" s="2" t="s">
        <v>3764</v>
      </c>
      <c r="D1472" s="2" t="s">
        <v>6025</v>
      </c>
      <c r="E1472" s="2" t="s">
        <v>6791</v>
      </c>
      <c r="F1472" s="2" t="s">
        <v>2</v>
      </c>
      <c r="G1472" s="2" t="s">
        <v>5271</v>
      </c>
      <c r="H1472" s="2" t="s">
        <v>6792</v>
      </c>
      <c r="I1472" s="2" t="s">
        <v>4714</v>
      </c>
      <c r="J1472" s="2" t="s">
        <v>4696</v>
      </c>
      <c r="K1472" s="2" t="s">
        <v>4696</v>
      </c>
      <c r="L1472" s="2" t="s">
        <v>4696</v>
      </c>
      <c r="M1472" s="2" t="s">
        <v>2</v>
      </c>
      <c r="N1472" s="2"/>
      <c r="O1472" s="2"/>
      <c r="P1472" s="2"/>
      <c r="Q1472" s="2"/>
    </row>
    <row r="1473" spans="1:17" x14ac:dyDescent="0.3">
      <c r="A1473" s="2">
        <v>6264</v>
      </c>
      <c r="B1473" s="2" t="s">
        <v>3765</v>
      </c>
      <c r="C1473" s="2" t="s">
        <v>3766</v>
      </c>
      <c r="D1473" s="2" t="s">
        <v>6014</v>
      </c>
      <c r="E1473" s="2" t="s">
        <v>3767</v>
      </c>
      <c r="F1473" s="2" t="s">
        <v>41</v>
      </c>
      <c r="G1473" s="2" t="s">
        <v>5272</v>
      </c>
      <c r="H1473" s="2" t="s">
        <v>582</v>
      </c>
      <c r="I1473" s="2" t="s">
        <v>4708</v>
      </c>
      <c r="J1473" s="2" t="s">
        <v>4696</v>
      </c>
      <c r="K1473" s="2" t="s">
        <v>4696</v>
      </c>
      <c r="L1473" s="2" t="s">
        <v>4696</v>
      </c>
      <c r="M1473" s="2" t="s">
        <v>4696</v>
      </c>
      <c r="N1473" s="2"/>
      <c r="O1473" s="2"/>
      <c r="P1473" s="2"/>
      <c r="Q1473" s="2"/>
    </row>
    <row r="1474" spans="1:17" x14ac:dyDescent="0.3">
      <c r="A1474" s="2">
        <v>6265</v>
      </c>
      <c r="B1474" s="2" t="s">
        <v>324</v>
      </c>
      <c r="C1474" s="2" t="s">
        <v>3768</v>
      </c>
      <c r="D1474" s="2" t="s">
        <v>6028</v>
      </c>
      <c r="E1474" s="2" t="s">
        <v>3769</v>
      </c>
      <c r="F1474" s="2" t="s">
        <v>41</v>
      </c>
      <c r="G1474" s="2" t="s">
        <v>5273</v>
      </c>
      <c r="H1474" s="2" t="s">
        <v>1291</v>
      </c>
      <c r="I1474" s="2" t="s">
        <v>4697</v>
      </c>
      <c r="J1474" s="2" t="s">
        <v>4696</v>
      </c>
      <c r="K1474" s="2" t="s">
        <v>4696</v>
      </c>
      <c r="L1474" s="2" t="s">
        <v>4696</v>
      </c>
      <c r="M1474" s="2" t="s">
        <v>2</v>
      </c>
      <c r="N1474" s="2"/>
      <c r="O1474" s="2"/>
      <c r="P1474" s="2"/>
      <c r="Q1474" s="2"/>
    </row>
    <row r="1475" spans="1:17" x14ac:dyDescent="0.3">
      <c r="A1475" s="2">
        <v>6266</v>
      </c>
      <c r="B1475" s="2" t="s">
        <v>3770</v>
      </c>
      <c r="C1475" s="2" t="s">
        <v>3771</v>
      </c>
      <c r="D1475" s="2" t="s">
        <v>6034</v>
      </c>
      <c r="E1475" s="2" t="s">
        <v>3772</v>
      </c>
      <c r="F1475" s="2" t="s">
        <v>2</v>
      </c>
      <c r="G1475" s="2" t="s">
        <v>5274</v>
      </c>
      <c r="H1475" s="2" t="s">
        <v>465</v>
      </c>
      <c r="I1475" s="2" t="s">
        <v>4707</v>
      </c>
      <c r="J1475" s="2" t="s">
        <v>4696</v>
      </c>
      <c r="K1475" s="2" t="s">
        <v>4696</v>
      </c>
      <c r="L1475" s="2" t="s">
        <v>4696</v>
      </c>
      <c r="M1475" s="2" t="s">
        <v>4696</v>
      </c>
      <c r="N1475" s="2"/>
      <c r="O1475" s="2"/>
      <c r="P1475" s="2"/>
      <c r="Q1475" s="2"/>
    </row>
    <row r="1476" spans="1:17" x14ac:dyDescent="0.3">
      <c r="A1476" s="2">
        <v>6270</v>
      </c>
      <c r="B1476" s="2" t="s">
        <v>3773</v>
      </c>
      <c r="C1476" s="2" t="s">
        <v>3774</v>
      </c>
      <c r="D1476" s="2" t="s">
        <v>6007</v>
      </c>
      <c r="E1476" s="2" t="s">
        <v>3775</v>
      </c>
      <c r="F1476" s="2" t="s">
        <v>41</v>
      </c>
      <c r="G1476" s="2" t="s">
        <v>5275</v>
      </c>
      <c r="H1476" s="2" t="s">
        <v>451</v>
      </c>
      <c r="I1476" s="2" t="s">
        <v>4703</v>
      </c>
      <c r="J1476" s="2" t="s">
        <v>4696</v>
      </c>
      <c r="K1476" s="2" t="s">
        <v>4696</v>
      </c>
      <c r="L1476" s="2" t="s">
        <v>4696</v>
      </c>
      <c r="M1476" s="2" t="s">
        <v>4696</v>
      </c>
      <c r="N1476" s="2"/>
      <c r="O1476" s="2"/>
      <c r="P1476" s="2"/>
      <c r="Q1476" s="2"/>
    </row>
    <row r="1477" spans="1:17" x14ac:dyDescent="0.3">
      <c r="A1477" s="2">
        <v>6274</v>
      </c>
      <c r="B1477" s="2" t="s">
        <v>341</v>
      </c>
      <c r="C1477" s="2" t="s">
        <v>3776</v>
      </c>
      <c r="D1477" s="2" t="s">
        <v>6002</v>
      </c>
      <c r="E1477" s="2" t="s">
        <v>3777</v>
      </c>
      <c r="F1477" s="2" t="s">
        <v>2</v>
      </c>
      <c r="G1477" s="2" t="s">
        <v>5276</v>
      </c>
      <c r="H1477" s="2" t="s">
        <v>465</v>
      </c>
      <c r="I1477" s="2" t="s">
        <v>4707</v>
      </c>
      <c r="J1477" s="2" t="s">
        <v>6519</v>
      </c>
      <c r="K1477" s="2" t="s">
        <v>4690</v>
      </c>
      <c r="L1477" s="2" t="s">
        <v>4691</v>
      </c>
      <c r="M1477" s="2" t="s">
        <v>4696</v>
      </c>
      <c r="N1477" s="2"/>
      <c r="O1477" s="2"/>
      <c r="P1477" s="2"/>
      <c r="Q1477" s="2"/>
    </row>
    <row r="1478" spans="1:17" x14ac:dyDescent="0.3">
      <c r="A1478" s="2">
        <v>6275</v>
      </c>
      <c r="B1478" s="2" t="s">
        <v>3778</v>
      </c>
      <c r="C1478" s="2" t="s">
        <v>3779</v>
      </c>
      <c r="D1478" s="2" t="s">
        <v>6001</v>
      </c>
      <c r="E1478" s="2" t="s">
        <v>6793</v>
      </c>
      <c r="F1478" s="2" t="s">
        <v>2</v>
      </c>
      <c r="G1478" s="2" t="s">
        <v>5277</v>
      </c>
      <c r="H1478" s="2" t="s">
        <v>6006</v>
      </c>
      <c r="I1478" s="2" t="s">
        <v>4708</v>
      </c>
      <c r="J1478" s="2" t="s">
        <v>4696</v>
      </c>
      <c r="K1478" s="2" t="s">
        <v>4696</v>
      </c>
      <c r="L1478" s="2" t="s">
        <v>4696</v>
      </c>
      <c r="M1478" s="2" t="s">
        <v>4696</v>
      </c>
      <c r="N1478" s="2"/>
      <c r="O1478" s="2"/>
      <c r="P1478" s="2"/>
      <c r="Q1478" s="2"/>
    </row>
    <row r="1479" spans="1:17" x14ac:dyDescent="0.3">
      <c r="A1479" s="2">
        <v>6276</v>
      </c>
      <c r="B1479" s="2" t="s">
        <v>3780</v>
      </c>
      <c r="C1479" s="2" t="s">
        <v>3781</v>
      </c>
      <c r="D1479" s="2" t="s">
        <v>6010</v>
      </c>
      <c r="E1479" s="2" t="s">
        <v>3782</v>
      </c>
      <c r="F1479" s="2" t="s">
        <v>2</v>
      </c>
      <c r="G1479" s="2" t="s">
        <v>5278</v>
      </c>
      <c r="H1479" s="2" t="s">
        <v>1028</v>
      </c>
      <c r="I1479" s="2" t="s">
        <v>4707</v>
      </c>
      <c r="J1479" s="2" t="s">
        <v>4696</v>
      </c>
      <c r="K1479" s="2" t="s">
        <v>4696</v>
      </c>
      <c r="L1479" s="2" t="s">
        <v>4696</v>
      </c>
      <c r="M1479" s="2" t="s">
        <v>2</v>
      </c>
      <c r="N1479" s="2"/>
      <c r="O1479" s="2"/>
      <c r="P1479" s="2"/>
      <c r="Q1479" s="2"/>
    </row>
    <row r="1480" spans="1:17" x14ac:dyDescent="0.3">
      <c r="A1480" s="2">
        <v>6279</v>
      </c>
      <c r="B1480" s="2" t="s">
        <v>3783</v>
      </c>
      <c r="C1480" s="2" t="s">
        <v>3784</v>
      </c>
      <c r="D1480" s="2" t="s">
        <v>6001</v>
      </c>
      <c r="E1480" s="2" t="s">
        <v>3785</v>
      </c>
      <c r="F1480" s="2" t="s">
        <v>2</v>
      </c>
      <c r="G1480" s="2">
        <v>26940551</v>
      </c>
      <c r="H1480" s="2" t="s">
        <v>465</v>
      </c>
      <c r="I1480" s="2" t="s">
        <v>4707</v>
      </c>
      <c r="J1480" s="2" t="s">
        <v>4696</v>
      </c>
      <c r="K1480" s="2" t="s">
        <v>4696</v>
      </c>
      <c r="L1480" s="2" t="s">
        <v>4696</v>
      </c>
      <c r="M1480" s="2" t="s">
        <v>4696</v>
      </c>
      <c r="N1480" s="2"/>
      <c r="O1480" s="2"/>
      <c r="P1480" s="2"/>
      <c r="Q1480" s="2"/>
    </row>
    <row r="1481" spans="1:17" x14ac:dyDescent="0.3">
      <c r="A1481" s="2">
        <v>6284</v>
      </c>
      <c r="B1481" s="2" t="s">
        <v>3786</v>
      </c>
      <c r="C1481" s="2" t="s">
        <v>3787</v>
      </c>
      <c r="D1481" s="2" t="s">
        <v>6004</v>
      </c>
      <c r="E1481" s="2" t="s">
        <v>3788</v>
      </c>
      <c r="F1481" s="2" t="s">
        <v>2</v>
      </c>
      <c r="G1481" s="2" t="s">
        <v>5279</v>
      </c>
      <c r="H1481" s="2" t="s">
        <v>556</v>
      </c>
      <c r="I1481" s="2" t="s">
        <v>6450</v>
      </c>
      <c r="J1481" s="2" t="s">
        <v>4696</v>
      </c>
      <c r="K1481" s="2" t="s">
        <v>4696</v>
      </c>
      <c r="L1481" s="2" t="s">
        <v>4696</v>
      </c>
      <c r="M1481" s="2" t="s">
        <v>4696</v>
      </c>
      <c r="N1481" s="2"/>
      <c r="O1481" s="2"/>
      <c r="P1481" s="2"/>
      <c r="Q1481" s="2"/>
    </row>
    <row r="1482" spans="1:17" x14ac:dyDescent="0.3">
      <c r="A1482" s="2">
        <v>6287</v>
      </c>
      <c r="B1482" s="2" t="s">
        <v>3789</v>
      </c>
      <c r="C1482" s="2" t="s">
        <v>3790</v>
      </c>
      <c r="D1482" s="2" t="s">
        <v>6080</v>
      </c>
      <c r="E1482" s="2" t="s">
        <v>3791</v>
      </c>
      <c r="F1482" s="2" t="s">
        <v>2</v>
      </c>
      <c r="G1482" s="2" t="s">
        <v>5280</v>
      </c>
      <c r="H1482" s="2" t="s">
        <v>465</v>
      </c>
      <c r="I1482" s="2" t="s">
        <v>4707</v>
      </c>
      <c r="J1482" s="2" t="s">
        <v>4696</v>
      </c>
      <c r="K1482" s="2" t="s">
        <v>4696</v>
      </c>
      <c r="L1482" s="2" t="s">
        <v>4696</v>
      </c>
      <c r="M1482" s="2" t="s">
        <v>2</v>
      </c>
      <c r="N1482" s="2"/>
      <c r="O1482" s="2"/>
      <c r="P1482" s="2"/>
      <c r="Q1482" s="2"/>
    </row>
    <row r="1483" spans="1:17" x14ac:dyDescent="0.3">
      <c r="A1483" s="2">
        <v>6290</v>
      </c>
      <c r="B1483" s="2" t="s">
        <v>3792</v>
      </c>
      <c r="C1483" s="2" t="s">
        <v>3793</v>
      </c>
      <c r="D1483" s="2" t="s">
        <v>6001</v>
      </c>
      <c r="E1483" s="2" t="s">
        <v>6794</v>
      </c>
      <c r="F1483" s="2" t="s">
        <v>2</v>
      </c>
      <c r="G1483" s="2" t="s">
        <v>5281</v>
      </c>
      <c r="H1483" s="2" t="s">
        <v>1291</v>
      </c>
      <c r="I1483" s="2" t="s">
        <v>4700</v>
      </c>
      <c r="J1483" s="2" t="s">
        <v>4696</v>
      </c>
      <c r="K1483" s="2" t="s">
        <v>4696</v>
      </c>
      <c r="L1483" s="2" t="s">
        <v>4696</v>
      </c>
      <c r="M1483" s="2" t="s">
        <v>2</v>
      </c>
      <c r="N1483" s="2"/>
      <c r="O1483" s="2"/>
      <c r="P1483" s="2"/>
      <c r="Q1483" s="2"/>
    </row>
    <row r="1484" spans="1:17" x14ac:dyDescent="0.3">
      <c r="A1484" s="2">
        <v>6291</v>
      </c>
      <c r="B1484" s="2" t="s">
        <v>330</v>
      </c>
      <c r="C1484" s="2" t="s">
        <v>6795</v>
      </c>
      <c r="D1484" s="2" t="s">
        <v>6015</v>
      </c>
      <c r="E1484" s="2" t="s">
        <v>3794</v>
      </c>
      <c r="F1484" s="2" t="s">
        <v>2</v>
      </c>
      <c r="G1484" s="2" t="s">
        <v>5282</v>
      </c>
      <c r="H1484" s="2" t="s">
        <v>404</v>
      </c>
      <c r="I1484" s="2" t="s">
        <v>4700</v>
      </c>
      <c r="J1484" s="2" t="s">
        <v>4696</v>
      </c>
      <c r="K1484" s="2" t="s">
        <v>4696</v>
      </c>
      <c r="L1484" s="2" t="s">
        <v>4696</v>
      </c>
      <c r="M1484" s="2" t="s">
        <v>4696</v>
      </c>
      <c r="N1484" s="2"/>
      <c r="O1484" s="2"/>
      <c r="P1484" s="2"/>
      <c r="Q1484" s="2"/>
    </row>
    <row r="1485" spans="1:17" x14ac:dyDescent="0.3">
      <c r="A1485" s="2">
        <v>6292</v>
      </c>
      <c r="B1485" s="2" t="s">
        <v>3795</v>
      </c>
      <c r="C1485" s="2" t="s">
        <v>3796</v>
      </c>
      <c r="D1485" s="2" t="s">
        <v>6051</v>
      </c>
      <c r="E1485" s="2" t="s">
        <v>3797</v>
      </c>
      <c r="F1485" s="2" t="s">
        <v>2</v>
      </c>
      <c r="G1485" s="2" t="s">
        <v>5283</v>
      </c>
      <c r="H1485" s="2" t="s">
        <v>465</v>
      </c>
      <c r="I1485" s="2" t="s">
        <v>4707</v>
      </c>
      <c r="J1485" s="2" t="s">
        <v>4696</v>
      </c>
      <c r="K1485" s="2" t="s">
        <v>4696</v>
      </c>
      <c r="L1485" s="2" t="s">
        <v>4696</v>
      </c>
      <c r="M1485" s="2" t="s">
        <v>4696</v>
      </c>
      <c r="N1485" s="2"/>
      <c r="O1485" s="2"/>
      <c r="P1485" s="2"/>
      <c r="Q1485" s="2"/>
    </row>
    <row r="1486" spans="1:17" x14ac:dyDescent="0.3">
      <c r="A1486" s="2">
        <v>6294</v>
      </c>
      <c r="B1486" s="2" t="s">
        <v>3798</v>
      </c>
      <c r="C1486" s="2" t="s">
        <v>3799</v>
      </c>
      <c r="D1486" s="2" t="s">
        <v>6015</v>
      </c>
      <c r="E1486" s="2" t="s">
        <v>3800</v>
      </c>
      <c r="F1486" s="2" t="s">
        <v>2</v>
      </c>
      <c r="G1486" s="2" t="s">
        <v>5284</v>
      </c>
      <c r="H1486" s="2" t="s">
        <v>556</v>
      </c>
      <c r="I1486" s="2" t="s">
        <v>6454</v>
      </c>
      <c r="J1486" s="2" t="s">
        <v>4696</v>
      </c>
      <c r="K1486" s="2" t="s">
        <v>4696</v>
      </c>
      <c r="L1486" s="2" t="s">
        <v>4696</v>
      </c>
      <c r="M1486" s="2" t="s">
        <v>4696</v>
      </c>
      <c r="N1486" s="2"/>
      <c r="O1486" s="2"/>
      <c r="P1486" s="2"/>
      <c r="Q1486" s="2"/>
    </row>
    <row r="1487" spans="1:17" x14ac:dyDescent="0.3">
      <c r="A1487" s="2">
        <v>6298</v>
      </c>
      <c r="B1487" s="2" t="s">
        <v>3801</v>
      </c>
      <c r="C1487" s="2" t="s">
        <v>3802</v>
      </c>
      <c r="D1487" s="2" t="s">
        <v>6025</v>
      </c>
      <c r="E1487" s="2" t="s">
        <v>3803</v>
      </c>
      <c r="F1487" s="2" t="s">
        <v>41</v>
      </c>
      <c r="G1487" s="2" t="s">
        <v>5285</v>
      </c>
      <c r="H1487" s="2" t="s">
        <v>640</v>
      </c>
      <c r="I1487" s="2" t="s">
        <v>6450</v>
      </c>
      <c r="J1487" s="2" t="s">
        <v>4696</v>
      </c>
      <c r="K1487" s="2" t="s">
        <v>4696</v>
      </c>
      <c r="L1487" s="2" t="s">
        <v>4696</v>
      </c>
      <c r="M1487" s="2" t="s">
        <v>2</v>
      </c>
      <c r="N1487" s="2"/>
      <c r="O1487" s="2"/>
      <c r="P1487" s="2"/>
      <c r="Q1487" s="2"/>
    </row>
    <row r="1488" spans="1:17" x14ac:dyDescent="0.3">
      <c r="A1488" s="2">
        <v>6404</v>
      </c>
      <c r="B1488" s="2" t="s">
        <v>215</v>
      </c>
      <c r="C1488" s="2" t="s">
        <v>3804</v>
      </c>
      <c r="D1488" s="2" t="s">
        <v>6014</v>
      </c>
      <c r="E1488" s="2" t="s">
        <v>6796</v>
      </c>
      <c r="F1488" s="2" t="s">
        <v>2</v>
      </c>
      <c r="G1488" s="2" t="s">
        <v>5286</v>
      </c>
      <c r="H1488" s="2" t="s">
        <v>456</v>
      </c>
      <c r="I1488" s="2" t="s">
        <v>4723</v>
      </c>
      <c r="J1488" s="2" t="s">
        <v>6765</v>
      </c>
      <c r="K1488" s="2" t="s">
        <v>4690</v>
      </c>
      <c r="L1488" s="2" t="s">
        <v>4691</v>
      </c>
      <c r="M1488" s="2" t="s">
        <v>4696</v>
      </c>
      <c r="N1488" s="2"/>
      <c r="O1488" s="2"/>
      <c r="P1488" s="2"/>
      <c r="Q1488" s="2"/>
    </row>
    <row r="1489" spans="1:17" x14ac:dyDescent="0.3">
      <c r="A1489" s="2">
        <v>6411</v>
      </c>
      <c r="B1489" s="2" t="s">
        <v>309</v>
      </c>
      <c r="C1489" s="2" t="s">
        <v>3805</v>
      </c>
      <c r="D1489" s="2" t="s">
        <v>6021</v>
      </c>
      <c r="E1489" s="2" t="s">
        <v>6797</v>
      </c>
      <c r="F1489" s="2" t="s">
        <v>2</v>
      </c>
      <c r="G1489" s="2" t="s">
        <v>5287</v>
      </c>
      <c r="H1489" s="2" t="s">
        <v>431</v>
      </c>
      <c r="I1489" s="2" t="s">
        <v>14</v>
      </c>
      <c r="J1489" s="2" t="s">
        <v>4696</v>
      </c>
      <c r="K1489" s="2" t="s">
        <v>4696</v>
      </c>
      <c r="L1489" s="2" t="s">
        <v>4696</v>
      </c>
      <c r="M1489" s="2" t="s">
        <v>4696</v>
      </c>
      <c r="N1489" s="2"/>
      <c r="O1489" s="2"/>
      <c r="P1489" s="2"/>
      <c r="Q1489" s="2"/>
    </row>
    <row r="1490" spans="1:17" x14ac:dyDescent="0.3">
      <c r="A1490" s="2">
        <v>6417</v>
      </c>
      <c r="B1490" s="2" t="s">
        <v>4498</v>
      </c>
      <c r="C1490" s="2" t="s">
        <v>4499</v>
      </c>
      <c r="D1490" s="2" t="s">
        <v>6141</v>
      </c>
      <c r="E1490" s="2" t="s">
        <v>6798</v>
      </c>
      <c r="F1490" s="2" t="s">
        <v>41</v>
      </c>
      <c r="G1490" s="2" t="s">
        <v>5422</v>
      </c>
      <c r="H1490" s="2" t="s">
        <v>539</v>
      </c>
      <c r="I1490" s="2" t="s">
        <v>4698</v>
      </c>
      <c r="J1490" s="2" t="s">
        <v>4696</v>
      </c>
      <c r="K1490" s="2" t="s">
        <v>4696</v>
      </c>
      <c r="L1490" s="2" t="s">
        <v>4696</v>
      </c>
      <c r="M1490" s="2" t="s">
        <v>2</v>
      </c>
      <c r="N1490" s="2"/>
      <c r="O1490" s="2"/>
      <c r="P1490" s="2"/>
      <c r="Q1490" s="2"/>
    </row>
    <row r="1491" spans="1:17" x14ac:dyDescent="0.3">
      <c r="A1491" s="2">
        <v>6419</v>
      </c>
      <c r="B1491" s="2" t="s">
        <v>3806</v>
      </c>
      <c r="C1491" s="2" t="s">
        <v>3807</v>
      </c>
      <c r="D1491" s="2" t="s">
        <v>6020</v>
      </c>
      <c r="E1491" s="2" t="s">
        <v>3808</v>
      </c>
      <c r="F1491" s="2" t="s">
        <v>2</v>
      </c>
      <c r="G1491" s="2" t="s">
        <v>5288</v>
      </c>
      <c r="H1491" s="2" t="s">
        <v>1028</v>
      </c>
      <c r="I1491" s="2" t="s">
        <v>6</v>
      </c>
      <c r="J1491" s="2" t="s">
        <v>4696</v>
      </c>
      <c r="K1491" s="2" t="s">
        <v>4696</v>
      </c>
      <c r="L1491" s="2" t="s">
        <v>4696</v>
      </c>
      <c r="M1491" s="2" t="s">
        <v>2</v>
      </c>
      <c r="N1491" s="2"/>
      <c r="O1491" s="2"/>
      <c r="P1491" s="2"/>
      <c r="Q1491" s="2"/>
    </row>
    <row r="1492" spans="1:17" x14ac:dyDescent="0.3">
      <c r="A1492" s="2">
        <v>6426</v>
      </c>
      <c r="B1492" s="2" t="s">
        <v>3809</v>
      </c>
      <c r="C1492" s="2" t="s">
        <v>3810</v>
      </c>
      <c r="D1492" s="2" t="s">
        <v>6024</v>
      </c>
      <c r="E1492" s="2" t="s">
        <v>3811</v>
      </c>
      <c r="F1492" s="2" t="s">
        <v>41</v>
      </c>
      <c r="G1492" s="2" t="s">
        <v>5289</v>
      </c>
      <c r="H1492" s="2" t="s">
        <v>745</v>
      </c>
      <c r="I1492" s="2" t="s">
        <v>4722</v>
      </c>
      <c r="J1492" s="2" t="s">
        <v>4696</v>
      </c>
      <c r="K1492" s="2" t="s">
        <v>4696</v>
      </c>
      <c r="L1492" s="2" t="s">
        <v>4696</v>
      </c>
      <c r="M1492" s="2" t="s">
        <v>2</v>
      </c>
      <c r="N1492" s="2"/>
      <c r="O1492" s="2"/>
      <c r="P1492" s="2"/>
      <c r="Q1492" s="2"/>
    </row>
    <row r="1493" spans="1:17" x14ac:dyDescent="0.3">
      <c r="A1493" s="2">
        <v>6432</v>
      </c>
      <c r="B1493" s="2" t="s">
        <v>4506</v>
      </c>
      <c r="C1493" s="2" t="s">
        <v>4507</v>
      </c>
      <c r="D1493" s="2" t="s">
        <v>6028</v>
      </c>
      <c r="E1493" s="2" t="s">
        <v>6799</v>
      </c>
      <c r="F1493" s="2" t="s">
        <v>41</v>
      </c>
      <c r="G1493" s="2" t="s">
        <v>5423</v>
      </c>
      <c r="H1493" s="2" t="s">
        <v>1028</v>
      </c>
      <c r="I1493" s="2" t="s">
        <v>4707</v>
      </c>
      <c r="J1493" s="2" t="s">
        <v>4696</v>
      </c>
      <c r="K1493" s="2" t="s">
        <v>4696</v>
      </c>
      <c r="L1493" s="2" t="s">
        <v>4696</v>
      </c>
      <c r="M1493" s="2" t="s">
        <v>2</v>
      </c>
      <c r="N1493" s="2"/>
      <c r="O1493" s="2"/>
      <c r="P1493" s="2"/>
      <c r="Q1493" s="2"/>
    </row>
    <row r="1494" spans="1:17" x14ac:dyDescent="0.3">
      <c r="A1494" s="2">
        <v>6435</v>
      </c>
      <c r="B1494" s="2" t="s">
        <v>4511</v>
      </c>
      <c r="C1494" s="2" t="s">
        <v>4512</v>
      </c>
      <c r="D1494" s="2" t="s">
        <v>6001</v>
      </c>
      <c r="E1494" s="2" t="s">
        <v>6800</v>
      </c>
      <c r="F1494" s="2" t="s">
        <v>2</v>
      </c>
      <c r="G1494" s="2" t="s">
        <v>5424</v>
      </c>
      <c r="H1494" s="2" t="s">
        <v>415</v>
      </c>
      <c r="I1494" s="2" t="s">
        <v>4724</v>
      </c>
      <c r="J1494" s="2" t="s">
        <v>6801</v>
      </c>
      <c r="K1494" s="2" t="s">
        <v>4690</v>
      </c>
      <c r="L1494" s="2" t="s">
        <v>4691</v>
      </c>
      <c r="M1494" s="2" t="s">
        <v>4696</v>
      </c>
      <c r="N1494" s="2"/>
      <c r="O1494" s="2"/>
      <c r="P1494" s="2"/>
      <c r="Q1494" s="2"/>
    </row>
    <row r="1495" spans="1:17" x14ac:dyDescent="0.3">
      <c r="A1495" s="2">
        <v>6457</v>
      </c>
      <c r="B1495" s="2" t="s">
        <v>4534</v>
      </c>
      <c r="C1495" s="2" t="s">
        <v>4535</v>
      </c>
      <c r="D1495" s="2" t="s">
        <v>6034</v>
      </c>
      <c r="E1495" s="2" t="s">
        <v>6802</v>
      </c>
      <c r="F1495" s="2" t="s">
        <v>41</v>
      </c>
      <c r="G1495" s="2" t="s">
        <v>5425</v>
      </c>
      <c r="H1495" s="2" t="s">
        <v>653</v>
      </c>
      <c r="I1495" s="2" t="s">
        <v>4722</v>
      </c>
      <c r="J1495" s="2" t="s">
        <v>4696</v>
      </c>
      <c r="K1495" s="2" t="s">
        <v>4696</v>
      </c>
      <c r="L1495" s="2" t="s">
        <v>4696</v>
      </c>
      <c r="M1495" s="2" t="s">
        <v>2</v>
      </c>
      <c r="N1495" s="2"/>
      <c r="O1495" s="2"/>
      <c r="P1495" s="2"/>
      <c r="Q1495" s="2"/>
    </row>
    <row r="1496" spans="1:17" x14ac:dyDescent="0.3">
      <c r="A1496" s="2">
        <v>6462</v>
      </c>
      <c r="B1496" s="2" t="s">
        <v>4539</v>
      </c>
      <c r="C1496" s="2" t="s">
        <v>4540</v>
      </c>
      <c r="D1496" s="2" t="s">
        <v>6007</v>
      </c>
      <c r="E1496" s="2" t="s">
        <v>2280</v>
      </c>
      <c r="F1496" s="2" t="s">
        <v>2</v>
      </c>
      <c r="G1496" s="2" t="s">
        <v>5426</v>
      </c>
      <c r="H1496" s="2" t="s">
        <v>6009</v>
      </c>
      <c r="I1496" s="2" t="s">
        <v>25</v>
      </c>
      <c r="J1496" s="2" t="s">
        <v>4696</v>
      </c>
      <c r="K1496" s="2" t="s">
        <v>4696</v>
      </c>
      <c r="L1496" s="2" t="s">
        <v>4696</v>
      </c>
      <c r="M1496" s="2" t="s">
        <v>4696</v>
      </c>
      <c r="N1496" s="2"/>
      <c r="O1496" s="2"/>
      <c r="P1496" s="2"/>
      <c r="Q1496" s="2"/>
    </row>
    <row r="1497" spans="1:17" x14ac:dyDescent="0.3">
      <c r="A1497" s="2">
        <v>6465</v>
      </c>
      <c r="B1497" s="2" t="s">
        <v>4542</v>
      </c>
      <c r="C1497" s="2" t="s">
        <v>6803</v>
      </c>
      <c r="D1497" s="2" t="s">
        <v>6051</v>
      </c>
      <c r="E1497" s="2" t="s">
        <v>6804</v>
      </c>
      <c r="F1497" s="2" t="s">
        <v>2</v>
      </c>
      <c r="G1497" s="2" t="s">
        <v>5427</v>
      </c>
      <c r="H1497" s="2" t="s">
        <v>806</v>
      </c>
      <c r="I1497" s="2" t="s">
        <v>4858</v>
      </c>
      <c r="J1497" s="2" t="s">
        <v>6557</v>
      </c>
      <c r="K1497" s="2" t="s">
        <v>4690</v>
      </c>
      <c r="L1497" s="2" t="s">
        <v>4691</v>
      </c>
      <c r="M1497" s="2" t="s">
        <v>4699</v>
      </c>
      <c r="N1497" s="2"/>
      <c r="O1497" s="2"/>
      <c r="P1497" s="2"/>
      <c r="Q1497" s="2"/>
    </row>
    <row r="1498" spans="1:17" x14ac:dyDescent="0.3">
      <c r="A1498" s="2">
        <v>6469</v>
      </c>
      <c r="B1498" s="2" t="s">
        <v>4546</v>
      </c>
      <c r="C1498" s="2" t="s">
        <v>4547</v>
      </c>
      <c r="D1498" s="2" t="s">
        <v>6014</v>
      </c>
      <c r="E1498" s="2" t="s">
        <v>4547</v>
      </c>
      <c r="F1498" s="2" t="s">
        <v>2</v>
      </c>
      <c r="G1498" s="2" t="s">
        <v>6805</v>
      </c>
      <c r="H1498" s="2" t="s">
        <v>456</v>
      </c>
      <c r="I1498" s="2" t="s">
        <v>4717</v>
      </c>
      <c r="J1498" s="2" t="s">
        <v>6439</v>
      </c>
      <c r="K1498" s="2" t="s">
        <v>4690</v>
      </c>
      <c r="L1498" s="2" t="s">
        <v>4691</v>
      </c>
      <c r="M1498" s="2" t="s">
        <v>4696</v>
      </c>
      <c r="N1498" s="2"/>
      <c r="O1498" s="2"/>
      <c r="P1498" s="2"/>
      <c r="Q1498" s="2"/>
    </row>
    <row r="1499" spans="1:17" x14ac:dyDescent="0.3">
      <c r="A1499" s="2">
        <v>6470</v>
      </c>
      <c r="B1499" s="2" t="s">
        <v>4548</v>
      </c>
      <c r="C1499" s="2" t="s">
        <v>4549</v>
      </c>
      <c r="D1499" s="2" t="s">
        <v>6037</v>
      </c>
      <c r="E1499" s="2" t="s">
        <v>6806</v>
      </c>
      <c r="F1499" s="2" t="s">
        <v>2</v>
      </c>
      <c r="G1499" s="2" t="s">
        <v>5428</v>
      </c>
      <c r="H1499" s="2" t="s">
        <v>1063</v>
      </c>
      <c r="I1499" s="2" t="s">
        <v>4705</v>
      </c>
      <c r="J1499" s="2" t="s">
        <v>4696</v>
      </c>
      <c r="K1499" s="2" t="s">
        <v>4696</v>
      </c>
      <c r="L1499" s="2" t="s">
        <v>4696</v>
      </c>
      <c r="M1499" s="2" t="s">
        <v>2</v>
      </c>
      <c r="N1499" s="2"/>
      <c r="O1499" s="2"/>
      <c r="P1499" s="2"/>
      <c r="Q1499" s="2"/>
    </row>
    <row r="1500" spans="1:17" x14ac:dyDescent="0.3">
      <c r="A1500" s="2">
        <v>6485</v>
      </c>
      <c r="B1500" s="2" t="s">
        <v>4573</v>
      </c>
      <c r="C1500" s="2" t="s">
        <v>4574</v>
      </c>
      <c r="D1500" s="2" t="s">
        <v>6016</v>
      </c>
      <c r="E1500" s="2" t="s">
        <v>6807</v>
      </c>
      <c r="F1500" s="2" t="s">
        <v>2</v>
      </c>
      <c r="G1500" s="2" t="s">
        <v>5429</v>
      </c>
      <c r="H1500" s="2" t="s">
        <v>539</v>
      </c>
      <c r="I1500" s="2" t="s">
        <v>4708</v>
      </c>
      <c r="J1500" s="2" t="s">
        <v>4696</v>
      </c>
      <c r="K1500" s="2" t="s">
        <v>4696</v>
      </c>
      <c r="L1500" s="2" t="s">
        <v>4696</v>
      </c>
      <c r="M1500" s="2" t="s">
        <v>4696</v>
      </c>
      <c r="N1500" s="2"/>
      <c r="O1500" s="2"/>
      <c r="P1500" s="2"/>
      <c r="Q1500" s="2"/>
    </row>
    <row r="1501" spans="1:17" x14ac:dyDescent="0.3">
      <c r="A1501" s="2">
        <v>6488</v>
      </c>
      <c r="B1501" s="2" t="s">
        <v>4581</v>
      </c>
      <c r="C1501" s="2" t="s">
        <v>3470</v>
      </c>
      <c r="D1501" s="2" t="s">
        <v>5999</v>
      </c>
      <c r="E1501" s="2" t="s">
        <v>4582</v>
      </c>
      <c r="F1501" s="2" t="s">
        <v>2</v>
      </c>
      <c r="G1501" s="2" t="s">
        <v>5430</v>
      </c>
      <c r="H1501" s="2" t="s">
        <v>582</v>
      </c>
      <c r="I1501" s="2" t="s">
        <v>4725</v>
      </c>
      <c r="J1501" s="2" t="s">
        <v>6484</v>
      </c>
      <c r="K1501" s="2" t="s">
        <v>4690</v>
      </c>
      <c r="L1501" s="2" t="s">
        <v>4691</v>
      </c>
      <c r="M1501" s="2" t="s">
        <v>4696</v>
      </c>
      <c r="N1501" s="2"/>
      <c r="O1501" s="2"/>
      <c r="P1501" s="2"/>
      <c r="Q1501" s="2"/>
    </row>
    <row r="1502" spans="1:17" x14ac:dyDescent="0.3">
      <c r="A1502" s="2">
        <v>6496</v>
      </c>
      <c r="B1502" s="2" t="s">
        <v>4600</v>
      </c>
      <c r="C1502" s="2" t="s">
        <v>4601</v>
      </c>
      <c r="D1502" s="2" t="s">
        <v>6000</v>
      </c>
      <c r="E1502" s="2" t="s">
        <v>6808</v>
      </c>
      <c r="F1502" s="2" t="s">
        <v>2</v>
      </c>
      <c r="G1502" s="2" t="s">
        <v>5431</v>
      </c>
      <c r="H1502" s="2" t="s">
        <v>1587</v>
      </c>
      <c r="I1502" s="2" t="s">
        <v>4722</v>
      </c>
      <c r="J1502" s="2" t="s">
        <v>6605</v>
      </c>
      <c r="K1502" s="2" t="s">
        <v>4690</v>
      </c>
      <c r="L1502" s="2" t="s">
        <v>4691</v>
      </c>
      <c r="M1502" s="2" t="s">
        <v>4696</v>
      </c>
      <c r="N1502" s="2"/>
      <c r="O1502" s="2"/>
      <c r="P1502" s="2"/>
      <c r="Q1502" s="2"/>
    </row>
    <row r="1503" spans="1:17" x14ac:dyDescent="0.3">
      <c r="A1503" s="2"/>
      <c r="B1503" s="2"/>
      <c r="C1503" s="2"/>
      <c r="D1503" s="2"/>
      <c r="E1503" s="2"/>
      <c r="F1503" s="2"/>
      <c r="G1503" s="2"/>
      <c r="H1503" s="2"/>
      <c r="I1503" s="2"/>
      <c r="J1503" s="2"/>
      <c r="K1503" s="2"/>
      <c r="L1503" s="2"/>
      <c r="M1503" s="2"/>
      <c r="N1503" s="2"/>
      <c r="O1503" s="2"/>
      <c r="P1503" s="2"/>
      <c r="Q1503" s="2"/>
    </row>
    <row r="1504" spans="1:17" x14ac:dyDescent="0.3">
      <c r="A1504" s="2">
        <v>6506</v>
      </c>
      <c r="B1504" s="2" t="s">
        <v>3812</v>
      </c>
      <c r="C1504" s="2" t="s">
        <v>3813</v>
      </c>
      <c r="D1504" s="2" t="s">
        <v>6010</v>
      </c>
      <c r="E1504" s="2" t="s">
        <v>6809</v>
      </c>
      <c r="F1504" s="2" t="s">
        <v>2</v>
      </c>
      <c r="G1504" s="2" t="s">
        <v>5290</v>
      </c>
      <c r="H1504" s="2" t="s">
        <v>431</v>
      </c>
      <c r="I1504" s="2" t="s">
        <v>4702</v>
      </c>
      <c r="J1504" s="2" t="s">
        <v>4696</v>
      </c>
      <c r="K1504" s="2" t="s">
        <v>4696</v>
      </c>
      <c r="L1504" s="2" t="s">
        <v>4696</v>
      </c>
      <c r="M1504" s="2" t="s">
        <v>4696</v>
      </c>
      <c r="N1504" s="2"/>
      <c r="O1504" s="2"/>
      <c r="P1504" s="2"/>
      <c r="Q1504" s="2"/>
    </row>
    <row r="1505" spans="1:17" x14ac:dyDescent="0.3">
      <c r="A1505" s="2">
        <v>6508</v>
      </c>
      <c r="B1505" s="2" t="s">
        <v>3814</v>
      </c>
      <c r="C1505" s="2" t="s">
        <v>3815</v>
      </c>
      <c r="D1505" s="2" t="s">
        <v>6014</v>
      </c>
      <c r="E1505" s="2" t="s">
        <v>3816</v>
      </c>
      <c r="F1505" s="2" t="s">
        <v>2</v>
      </c>
      <c r="G1505" s="2" t="s">
        <v>5291</v>
      </c>
      <c r="H1505" s="2" t="s">
        <v>1028</v>
      </c>
      <c r="I1505" s="2" t="s">
        <v>4707</v>
      </c>
      <c r="J1505" s="2" t="s">
        <v>4696</v>
      </c>
      <c r="K1505" s="2" t="s">
        <v>4696</v>
      </c>
      <c r="L1505" s="2" t="s">
        <v>4696</v>
      </c>
      <c r="M1505" s="2" t="s">
        <v>4696</v>
      </c>
      <c r="N1505" s="2"/>
      <c r="O1505" s="2"/>
      <c r="P1505" s="2"/>
      <c r="Q1505" s="2"/>
    </row>
    <row r="1506" spans="1:17" x14ac:dyDescent="0.3">
      <c r="A1506" s="2">
        <v>6509</v>
      </c>
      <c r="B1506" s="2" t="s">
        <v>191</v>
      </c>
      <c r="C1506" s="2" t="s">
        <v>3817</v>
      </c>
      <c r="D1506" s="2" t="s">
        <v>6007</v>
      </c>
      <c r="E1506" s="2" t="s">
        <v>3818</v>
      </c>
      <c r="F1506" s="2" t="s">
        <v>2</v>
      </c>
      <c r="G1506" s="2" t="s">
        <v>5292</v>
      </c>
      <c r="H1506" s="2" t="s">
        <v>404</v>
      </c>
      <c r="I1506" s="2" t="s">
        <v>4727</v>
      </c>
      <c r="J1506" s="2" t="s">
        <v>4696</v>
      </c>
      <c r="K1506" s="2" t="s">
        <v>4696</v>
      </c>
      <c r="L1506" s="2" t="s">
        <v>4696</v>
      </c>
      <c r="M1506" s="2" t="s">
        <v>4696</v>
      </c>
      <c r="N1506" s="2"/>
      <c r="O1506" s="2"/>
      <c r="P1506" s="2"/>
      <c r="Q1506" s="2"/>
    </row>
    <row r="1507" spans="1:17" x14ac:dyDescent="0.3">
      <c r="A1507" s="2">
        <v>6510</v>
      </c>
      <c r="B1507" s="2" t="s">
        <v>4612</v>
      </c>
      <c r="C1507" s="2" t="s">
        <v>4613</v>
      </c>
      <c r="D1507" s="2" t="s">
        <v>6025</v>
      </c>
      <c r="E1507" s="2" t="s">
        <v>6810</v>
      </c>
      <c r="F1507" s="2" t="s">
        <v>2</v>
      </c>
      <c r="G1507" s="2" t="s">
        <v>5432</v>
      </c>
      <c r="H1507" s="2" t="s">
        <v>456</v>
      </c>
      <c r="I1507" s="2" t="s">
        <v>26</v>
      </c>
      <c r="J1507" s="2" t="s">
        <v>6640</v>
      </c>
      <c r="K1507" s="2" t="s">
        <v>4690</v>
      </c>
      <c r="L1507" s="2" t="s">
        <v>4691</v>
      </c>
      <c r="M1507" s="2" t="s">
        <v>4692</v>
      </c>
      <c r="N1507" s="2"/>
      <c r="O1507" s="2"/>
      <c r="P1507" s="2"/>
      <c r="Q1507" s="2"/>
    </row>
    <row r="1508" spans="1:17" x14ac:dyDescent="0.3">
      <c r="A1508" s="2"/>
      <c r="B1508" s="2"/>
      <c r="C1508" s="2"/>
      <c r="D1508" s="2"/>
      <c r="E1508" s="2"/>
      <c r="F1508" s="2"/>
      <c r="G1508" s="2"/>
      <c r="H1508" s="2"/>
      <c r="I1508" s="2"/>
      <c r="J1508" s="2"/>
      <c r="K1508" s="2"/>
      <c r="L1508" s="2"/>
      <c r="M1508" s="2"/>
      <c r="N1508" s="2"/>
      <c r="O1508" s="2"/>
      <c r="P1508" s="2"/>
      <c r="Q1508" s="2"/>
    </row>
    <row r="1509" spans="1:17" x14ac:dyDescent="0.3">
      <c r="A1509" s="2">
        <v>6512</v>
      </c>
      <c r="B1509" s="2" t="s">
        <v>4614</v>
      </c>
      <c r="C1509" s="2" t="s">
        <v>4615</v>
      </c>
      <c r="D1509" s="2" t="s">
        <v>6000</v>
      </c>
      <c r="E1509" s="2" t="s">
        <v>4616</v>
      </c>
      <c r="F1509" s="2" t="s">
        <v>41</v>
      </c>
      <c r="G1509" s="2" t="s">
        <v>5433</v>
      </c>
      <c r="H1509" s="2" t="s">
        <v>996</v>
      </c>
      <c r="I1509" s="2" t="s">
        <v>4710</v>
      </c>
      <c r="J1509" s="2" t="s">
        <v>6605</v>
      </c>
      <c r="K1509" s="2" t="s">
        <v>4690</v>
      </c>
      <c r="L1509" s="2" t="s">
        <v>4691</v>
      </c>
      <c r="M1509" s="2" t="s">
        <v>4699</v>
      </c>
      <c r="N1509" s="2"/>
      <c r="O1509" s="2"/>
      <c r="P1509" s="2"/>
      <c r="Q1509" s="2"/>
    </row>
    <row r="1510" spans="1:17" x14ac:dyDescent="0.3">
      <c r="A1510" s="2">
        <v>6514</v>
      </c>
      <c r="B1510" s="2" t="s">
        <v>6811</v>
      </c>
      <c r="C1510" s="2" t="s">
        <v>6812</v>
      </c>
      <c r="D1510" s="2" t="s">
        <v>6025</v>
      </c>
      <c r="E1510" s="2" t="s">
        <v>6550</v>
      </c>
      <c r="F1510" s="2" t="s">
        <v>2</v>
      </c>
      <c r="G1510" s="2" t="s">
        <v>6813</v>
      </c>
      <c r="H1510" s="2" t="s">
        <v>404</v>
      </c>
      <c r="I1510" s="2" t="s">
        <v>1</v>
      </c>
      <c r="J1510" s="2" t="s">
        <v>6814</v>
      </c>
      <c r="K1510" s="2" t="s">
        <v>4690</v>
      </c>
      <c r="L1510" s="2" t="s">
        <v>4691</v>
      </c>
      <c r="M1510" s="2" t="s">
        <v>4699</v>
      </c>
      <c r="N1510" s="2"/>
      <c r="O1510" s="2"/>
      <c r="P1510" s="2"/>
      <c r="Q1510" s="2"/>
    </row>
    <row r="1511" spans="1:17" x14ac:dyDescent="0.3">
      <c r="A1511" s="2">
        <v>6603</v>
      </c>
      <c r="B1511" s="2" t="s">
        <v>3819</v>
      </c>
      <c r="C1511" s="2" t="s">
        <v>3820</v>
      </c>
      <c r="D1511" s="2" t="s">
        <v>6037</v>
      </c>
      <c r="E1511" s="2" t="s">
        <v>6815</v>
      </c>
      <c r="F1511" s="2" t="s">
        <v>41</v>
      </c>
      <c r="G1511" s="2" t="s">
        <v>5293</v>
      </c>
      <c r="H1511" s="2" t="s">
        <v>404</v>
      </c>
      <c r="I1511" s="2" t="s">
        <v>4700</v>
      </c>
      <c r="J1511" s="2" t="s">
        <v>4696</v>
      </c>
      <c r="K1511" s="2" t="s">
        <v>4696</v>
      </c>
      <c r="L1511" s="2" t="s">
        <v>4696</v>
      </c>
      <c r="M1511" s="2" t="s">
        <v>2</v>
      </c>
      <c r="N1511" s="2"/>
      <c r="O1511" s="2"/>
      <c r="P1511" s="2"/>
      <c r="Q1511" s="2"/>
    </row>
    <row r="1512" spans="1:17" x14ac:dyDescent="0.3">
      <c r="A1512" s="2">
        <v>6609</v>
      </c>
      <c r="B1512" s="2" t="s">
        <v>3821</v>
      </c>
      <c r="C1512" s="2" t="s">
        <v>6816</v>
      </c>
      <c r="D1512" s="2" t="s">
        <v>6020</v>
      </c>
      <c r="E1512" s="2" t="s">
        <v>3822</v>
      </c>
      <c r="F1512" s="2" t="s">
        <v>41</v>
      </c>
      <c r="G1512" s="2" t="s">
        <v>5294</v>
      </c>
      <c r="H1512" s="2" t="s">
        <v>431</v>
      </c>
      <c r="I1512" s="2" t="s">
        <v>4729</v>
      </c>
      <c r="J1512" s="2" t="s">
        <v>4696</v>
      </c>
      <c r="K1512" s="2" t="s">
        <v>4696</v>
      </c>
      <c r="L1512" s="2" t="s">
        <v>4696</v>
      </c>
      <c r="M1512" s="2" t="s">
        <v>4696</v>
      </c>
      <c r="N1512" s="2"/>
      <c r="O1512" s="2"/>
      <c r="P1512" s="2"/>
      <c r="Q1512" s="2"/>
    </row>
    <row r="1513" spans="1:17" x14ac:dyDescent="0.3">
      <c r="A1513" s="2">
        <v>6803</v>
      </c>
      <c r="B1513" s="2" t="s">
        <v>3823</v>
      </c>
      <c r="C1513" s="2" t="s">
        <v>3824</v>
      </c>
      <c r="D1513" s="2" t="s">
        <v>6000</v>
      </c>
      <c r="E1513" s="2" t="s">
        <v>3825</v>
      </c>
      <c r="F1513" s="2" t="s">
        <v>2</v>
      </c>
      <c r="G1513" s="2" t="s">
        <v>5295</v>
      </c>
      <c r="H1513" s="2" t="s">
        <v>415</v>
      </c>
      <c r="I1513" s="2" t="s">
        <v>4724</v>
      </c>
      <c r="J1513" s="2" t="s">
        <v>6725</v>
      </c>
      <c r="K1513" s="2" t="s">
        <v>4690</v>
      </c>
      <c r="L1513" s="2" t="s">
        <v>4691</v>
      </c>
      <c r="M1513" s="2" t="s">
        <v>4696</v>
      </c>
      <c r="N1513" s="2"/>
      <c r="O1513" s="2"/>
      <c r="P1513" s="2"/>
      <c r="Q1513" s="2"/>
    </row>
    <row r="1514" spans="1:17" x14ac:dyDescent="0.3">
      <c r="A1514" s="2">
        <v>7402</v>
      </c>
      <c r="B1514" s="2" t="s">
        <v>4623</v>
      </c>
      <c r="C1514" s="2" t="s">
        <v>4624</v>
      </c>
      <c r="D1514" s="2" t="s">
        <v>6007</v>
      </c>
      <c r="E1514" s="2" t="s">
        <v>6817</v>
      </c>
      <c r="F1514" s="2" t="s">
        <v>41</v>
      </c>
      <c r="G1514" s="2" t="s">
        <v>5434</v>
      </c>
      <c r="H1514" s="2" t="s">
        <v>456</v>
      </c>
      <c r="I1514" s="2" t="s">
        <v>4723</v>
      </c>
      <c r="J1514" s="2" t="s">
        <v>6521</v>
      </c>
      <c r="K1514" s="2" t="s">
        <v>4690</v>
      </c>
      <c r="L1514" s="2" t="s">
        <v>4691</v>
      </c>
      <c r="M1514" s="2" t="s">
        <v>4696</v>
      </c>
      <c r="N1514" s="2"/>
      <c r="O1514" s="2"/>
      <c r="P1514" s="2"/>
      <c r="Q1514" s="2"/>
    </row>
    <row r="1515" spans="1:17" x14ac:dyDescent="0.3">
      <c r="A1515" s="2">
        <v>8024</v>
      </c>
      <c r="B1515" s="2" t="s">
        <v>3826</v>
      </c>
      <c r="C1515" s="2" t="s">
        <v>3827</v>
      </c>
      <c r="D1515" s="2" t="s">
        <v>6028</v>
      </c>
      <c r="E1515" s="2" t="s">
        <v>3828</v>
      </c>
      <c r="F1515" s="2" t="s">
        <v>2</v>
      </c>
      <c r="G1515" s="2" t="s">
        <v>5296</v>
      </c>
      <c r="H1515" s="2" t="s">
        <v>465</v>
      </c>
      <c r="I1515" s="2" t="s">
        <v>4707</v>
      </c>
      <c r="J1515" s="2" t="s">
        <v>4696</v>
      </c>
      <c r="K1515" s="2" t="s">
        <v>4696</v>
      </c>
      <c r="L1515" s="2" t="s">
        <v>4696</v>
      </c>
      <c r="M1515" s="2" t="s">
        <v>4696</v>
      </c>
      <c r="N1515" s="2"/>
      <c r="O1515" s="2"/>
      <c r="P1515" s="2"/>
      <c r="Q1515" s="2"/>
    </row>
    <row r="1516" spans="1:17" x14ac:dyDescent="0.3">
      <c r="A1516" s="2">
        <v>8027</v>
      </c>
      <c r="B1516" s="2" t="s">
        <v>4625</v>
      </c>
      <c r="C1516" s="2" t="s">
        <v>4626</v>
      </c>
      <c r="D1516" s="2" t="s">
        <v>6015</v>
      </c>
      <c r="E1516" s="2" t="s">
        <v>4627</v>
      </c>
      <c r="F1516" s="2" t="s">
        <v>2</v>
      </c>
      <c r="G1516" s="2" t="s">
        <v>5435</v>
      </c>
      <c r="H1516" s="2" t="s">
        <v>465</v>
      </c>
      <c r="I1516" s="2" t="s">
        <v>6</v>
      </c>
      <c r="J1516" s="2" t="s">
        <v>4696</v>
      </c>
      <c r="K1516" s="2" t="s">
        <v>4696</v>
      </c>
      <c r="L1516" s="2" t="s">
        <v>4696</v>
      </c>
      <c r="M1516" s="2" t="s">
        <v>2</v>
      </c>
      <c r="N1516" s="2"/>
      <c r="O1516" s="2"/>
      <c r="P1516" s="2"/>
      <c r="Q1516" s="2"/>
    </row>
    <row r="1517" spans="1:17" x14ac:dyDescent="0.3">
      <c r="A1517" s="2">
        <v>8032</v>
      </c>
      <c r="B1517" s="2" t="s">
        <v>3829</v>
      </c>
      <c r="C1517" s="2" t="s">
        <v>3830</v>
      </c>
      <c r="D1517" s="2" t="s">
        <v>6015</v>
      </c>
      <c r="E1517" s="2" t="s">
        <v>3831</v>
      </c>
      <c r="F1517" s="2" t="s">
        <v>2</v>
      </c>
      <c r="G1517" s="2" t="s">
        <v>5297</v>
      </c>
      <c r="H1517" s="2" t="s">
        <v>456</v>
      </c>
      <c r="I1517" s="2" t="s">
        <v>4717</v>
      </c>
      <c r="J1517" s="2" t="s">
        <v>4696</v>
      </c>
      <c r="K1517" s="2" t="s">
        <v>4696</v>
      </c>
      <c r="L1517" s="2" t="s">
        <v>4696</v>
      </c>
      <c r="M1517" s="2" t="s">
        <v>4696</v>
      </c>
      <c r="N1517" s="2"/>
      <c r="O1517" s="2"/>
      <c r="P1517" s="2"/>
      <c r="Q1517" s="2"/>
    </row>
    <row r="1518" spans="1:17" x14ac:dyDescent="0.3">
      <c r="A1518" s="2">
        <v>8034</v>
      </c>
      <c r="B1518" s="2" t="s">
        <v>3832</v>
      </c>
      <c r="C1518" s="2" t="s">
        <v>3833</v>
      </c>
      <c r="D1518" s="2" t="s">
        <v>6002</v>
      </c>
      <c r="E1518" s="2" t="s">
        <v>6818</v>
      </c>
      <c r="F1518" s="2" t="s">
        <v>2</v>
      </c>
      <c r="G1518" s="2" t="s">
        <v>5298</v>
      </c>
      <c r="H1518" s="2" t="s">
        <v>1028</v>
      </c>
      <c r="I1518" s="2" t="s">
        <v>4707</v>
      </c>
      <c r="J1518" s="2" t="s">
        <v>4696</v>
      </c>
      <c r="K1518" s="2" t="s">
        <v>4696</v>
      </c>
      <c r="L1518" s="2" t="s">
        <v>4696</v>
      </c>
      <c r="M1518" s="2" t="s">
        <v>4696</v>
      </c>
      <c r="N1518" s="2"/>
      <c r="O1518" s="2"/>
      <c r="P1518" s="2"/>
      <c r="Q1518" s="2"/>
    </row>
    <row r="1519" spans="1:17" x14ac:dyDescent="0.3">
      <c r="A1519" s="2">
        <v>8038</v>
      </c>
      <c r="B1519" s="2" t="s">
        <v>331</v>
      </c>
      <c r="C1519" s="2" t="s">
        <v>3834</v>
      </c>
      <c r="D1519" s="2" t="s">
        <v>6010</v>
      </c>
      <c r="E1519" s="2" t="s">
        <v>3835</v>
      </c>
      <c r="F1519" s="2" t="s">
        <v>41</v>
      </c>
      <c r="G1519" s="2" t="s">
        <v>5299</v>
      </c>
      <c r="H1519" s="2" t="s">
        <v>6006</v>
      </c>
      <c r="I1519" s="2" t="s">
        <v>4725</v>
      </c>
      <c r="J1519" s="2" t="s">
        <v>4696</v>
      </c>
      <c r="K1519" s="2" t="s">
        <v>4696</v>
      </c>
      <c r="L1519" s="2" t="s">
        <v>4696</v>
      </c>
      <c r="M1519" s="2" t="s">
        <v>4696</v>
      </c>
      <c r="N1519" s="2"/>
      <c r="O1519" s="2"/>
      <c r="P1519" s="2"/>
      <c r="Q1519" s="2"/>
    </row>
    <row r="1520" spans="1:17" x14ac:dyDescent="0.3">
      <c r="A1520" s="2">
        <v>8040</v>
      </c>
      <c r="B1520" s="2" t="s">
        <v>3836</v>
      </c>
      <c r="C1520" s="2" t="s">
        <v>3837</v>
      </c>
      <c r="D1520" s="2" t="s">
        <v>6020</v>
      </c>
      <c r="E1520" s="2" t="s">
        <v>6819</v>
      </c>
      <c r="F1520" s="2" t="s">
        <v>2</v>
      </c>
      <c r="G1520" s="2" t="s">
        <v>5300</v>
      </c>
      <c r="H1520" s="2" t="s">
        <v>465</v>
      </c>
      <c r="I1520" s="2" t="s">
        <v>4707</v>
      </c>
      <c r="J1520" s="2" t="s">
        <v>4696</v>
      </c>
      <c r="K1520" s="2" t="s">
        <v>4696</v>
      </c>
      <c r="L1520" s="2" t="s">
        <v>4696</v>
      </c>
      <c r="M1520" s="2" t="s">
        <v>4696</v>
      </c>
      <c r="N1520" s="2"/>
      <c r="O1520" s="2"/>
      <c r="P1520" s="2"/>
      <c r="Q1520" s="2"/>
    </row>
    <row r="1521" spans="1:17" x14ac:dyDescent="0.3">
      <c r="A1521" s="2">
        <v>8042</v>
      </c>
      <c r="B1521" s="2" t="s">
        <v>3838</v>
      </c>
      <c r="C1521" s="2" t="s">
        <v>3839</v>
      </c>
      <c r="D1521" s="2" t="s">
        <v>6028</v>
      </c>
      <c r="E1521" s="2" t="s">
        <v>6820</v>
      </c>
      <c r="F1521" s="2" t="s">
        <v>2</v>
      </c>
      <c r="G1521" s="2" t="s">
        <v>5301</v>
      </c>
      <c r="H1521" s="2" t="s">
        <v>2774</v>
      </c>
      <c r="I1521" s="2" t="s">
        <v>6821</v>
      </c>
      <c r="J1521" s="2" t="s">
        <v>4696</v>
      </c>
      <c r="K1521" s="2" t="s">
        <v>4696</v>
      </c>
      <c r="L1521" s="2" t="s">
        <v>4696</v>
      </c>
      <c r="M1521" s="2" t="s">
        <v>4696</v>
      </c>
      <c r="N1521" s="2"/>
      <c r="O1521" s="2"/>
      <c r="P1521" s="2"/>
      <c r="Q1521" s="2"/>
    </row>
    <row r="1522" spans="1:17" x14ac:dyDescent="0.3">
      <c r="A1522" s="2">
        <v>8043</v>
      </c>
      <c r="B1522" s="2" t="s">
        <v>3840</v>
      </c>
      <c r="C1522" s="2" t="s">
        <v>3841</v>
      </c>
      <c r="D1522" s="2" t="s">
        <v>6021</v>
      </c>
      <c r="E1522" s="2" t="s">
        <v>3842</v>
      </c>
      <c r="F1522" s="2" t="s">
        <v>2</v>
      </c>
      <c r="G1522" s="2" t="s">
        <v>5302</v>
      </c>
      <c r="H1522" s="2" t="s">
        <v>451</v>
      </c>
      <c r="I1522" s="2" t="s">
        <v>4716</v>
      </c>
      <c r="J1522" s="2" t="s">
        <v>4696</v>
      </c>
      <c r="K1522" s="2" t="s">
        <v>4696</v>
      </c>
      <c r="L1522" s="2" t="s">
        <v>4696</v>
      </c>
      <c r="M1522" s="2" t="s">
        <v>2</v>
      </c>
      <c r="N1522" s="2"/>
      <c r="O1522" s="2"/>
      <c r="P1522" s="2"/>
      <c r="Q1522" s="2"/>
    </row>
    <row r="1523" spans="1:17" x14ac:dyDescent="0.3">
      <c r="A1523" s="2">
        <v>8044</v>
      </c>
      <c r="B1523" s="2" t="s">
        <v>3843</v>
      </c>
      <c r="C1523" s="2" t="s">
        <v>3844</v>
      </c>
      <c r="D1523" s="2" t="s">
        <v>6000</v>
      </c>
      <c r="E1523" s="2" t="s">
        <v>6822</v>
      </c>
      <c r="F1523" s="2" t="s">
        <v>2</v>
      </c>
      <c r="G1523" s="2" t="s">
        <v>5303</v>
      </c>
      <c r="H1523" s="2" t="s">
        <v>456</v>
      </c>
      <c r="I1523" s="2" t="s">
        <v>4756</v>
      </c>
      <c r="J1523" s="2" t="s">
        <v>4696</v>
      </c>
      <c r="K1523" s="2" t="s">
        <v>4696</v>
      </c>
      <c r="L1523" s="2" t="s">
        <v>4696</v>
      </c>
      <c r="M1523" s="2" t="s">
        <v>2</v>
      </c>
      <c r="N1523" s="2"/>
      <c r="O1523" s="2"/>
      <c r="P1523" s="2"/>
      <c r="Q1523" s="2"/>
    </row>
    <row r="1524" spans="1:17" x14ac:dyDescent="0.3">
      <c r="A1524" s="2">
        <v>8047</v>
      </c>
      <c r="B1524" s="2" t="s">
        <v>3845</v>
      </c>
      <c r="C1524" s="2" t="s">
        <v>3846</v>
      </c>
      <c r="D1524" s="2" t="s">
        <v>6015</v>
      </c>
      <c r="E1524" s="2" t="s">
        <v>3847</v>
      </c>
      <c r="F1524" s="2" t="s">
        <v>41</v>
      </c>
      <c r="G1524" s="2" t="s">
        <v>5304</v>
      </c>
      <c r="H1524" s="2" t="s">
        <v>631</v>
      </c>
      <c r="I1524" s="2" t="s">
        <v>5305</v>
      </c>
      <c r="J1524" s="2" t="s">
        <v>4696</v>
      </c>
      <c r="K1524" s="2" t="s">
        <v>4696</v>
      </c>
      <c r="L1524" s="2" t="s">
        <v>4696</v>
      </c>
      <c r="M1524" s="2" t="s">
        <v>4696</v>
      </c>
      <c r="N1524" s="2"/>
      <c r="O1524" s="2"/>
      <c r="P1524" s="2"/>
      <c r="Q1524" s="2"/>
    </row>
    <row r="1525" spans="1:17" x14ac:dyDescent="0.3">
      <c r="A1525" s="2">
        <v>8048</v>
      </c>
      <c r="B1525" s="2" t="s">
        <v>3848</v>
      </c>
      <c r="C1525" s="2" t="s">
        <v>3849</v>
      </c>
      <c r="D1525" s="2" t="s">
        <v>6016</v>
      </c>
      <c r="E1525" s="2" t="s">
        <v>6823</v>
      </c>
      <c r="F1525" s="2" t="s">
        <v>2</v>
      </c>
      <c r="G1525" s="2" t="s">
        <v>5306</v>
      </c>
      <c r="H1525" s="2" t="s">
        <v>6006</v>
      </c>
      <c r="I1525" s="2" t="s">
        <v>4725</v>
      </c>
      <c r="J1525" s="2" t="s">
        <v>4696</v>
      </c>
      <c r="K1525" s="2" t="s">
        <v>4696</v>
      </c>
      <c r="L1525" s="2" t="s">
        <v>4696</v>
      </c>
      <c r="M1525" s="2" t="s">
        <v>4696</v>
      </c>
      <c r="N1525" s="2"/>
      <c r="O1525" s="2"/>
      <c r="P1525" s="2"/>
      <c r="Q1525" s="2"/>
    </row>
    <row r="1526" spans="1:17" x14ac:dyDescent="0.3">
      <c r="A1526" s="2">
        <v>8049</v>
      </c>
      <c r="B1526" s="2" t="s">
        <v>3850</v>
      </c>
      <c r="C1526" s="2" t="s">
        <v>3851</v>
      </c>
      <c r="D1526" s="2" t="s">
        <v>6015</v>
      </c>
      <c r="E1526" s="2" t="s">
        <v>3852</v>
      </c>
      <c r="F1526" s="2" t="s">
        <v>41</v>
      </c>
      <c r="G1526" s="2" t="s">
        <v>5307</v>
      </c>
      <c r="H1526" s="2" t="s">
        <v>465</v>
      </c>
      <c r="I1526" s="2" t="s">
        <v>4712</v>
      </c>
      <c r="J1526" s="2" t="s">
        <v>4696</v>
      </c>
      <c r="K1526" s="2" t="s">
        <v>4696</v>
      </c>
      <c r="L1526" s="2" t="s">
        <v>4696</v>
      </c>
      <c r="M1526" s="2" t="s">
        <v>4696</v>
      </c>
      <c r="N1526" s="2"/>
      <c r="O1526" s="2"/>
      <c r="P1526" s="2"/>
      <c r="Q1526" s="2"/>
    </row>
    <row r="1527" spans="1:17" x14ac:dyDescent="0.3">
      <c r="A1527" s="2">
        <v>8050</v>
      </c>
      <c r="B1527" s="2" t="s">
        <v>3853</v>
      </c>
      <c r="C1527" s="2" t="s">
        <v>3854</v>
      </c>
      <c r="D1527" s="2" t="s">
        <v>6010</v>
      </c>
      <c r="E1527" s="2" t="s">
        <v>3855</v>
      </c>
      <c r="F1527" s="2" t="s">
        <v>2</v>
      </c>
      <c r="G1527" s="2">
        <v>26557588</v>
      </c>
      <c r="H1527" s="2" t="s">
        <v>456</v>
      </c>
      <c r="I1527" s="2">
        <v>25048125</v>
      </c>
      <c r="J1527" s="2" t="s">
        <v>4696</v>
      </c>
      <c r="K1527" s="2" t="s">
        <v>4696</v>
      </c>
      <c r="L1527" s="2" t="s">
        <v>4696</v>
      </c>
      <c r="M1527" s="2" t="s">
        <v>4696</v>
      </c>
      <c r="N1527" s="2"/>
      <c r="O1527" s="2"/>
      <c r="P1527" s="2"/>
      <c r="Q1527" s="2"/>
    </row>
    <row r="1528" spans="1:17" x14ac:dyDescent="0.3">
      <c r="A1528" s="2">
        <v>8053</v>
      </c>
      <c r="B1528" s="2" t="s">
        <v>3856</v>
      </c>
      <c r="C1528" s="2" t="s">
        <v>3857</v>
      </c>
      <c r="D1528" s="2" t="s">
        <v>6001</v>
      </c>
      <c r="E1528" s="2" t="s">
        <v>6824</v>
      </c>
      <c r="F1528" s="2" t="s">
        <v>2</v>
      </c>
      <c r="G1528" s="2" t="s">
        <v>5308</v>
      </c>
      <c r="H1528" s="2" t="s">
        <v>431</v>
      </c>
      <c r="I1528" s="2" t="s">
        <v>4811</v>
      </c>
      <c r="J1528" s="2" t="s">
        <v>4696</v>
      </c>
      <c r="K1528" s="2" t="s">
        <v>4696</v>
      </c>
      <c r="L1528" s="2" t="s">
        <v>4696</v>
      </c>
      <c r="M1528" s="2" t="s">
        <v>4696</v>
      </c>
      <c r="N1528" s="2"/>
      <c r="O1528" s="2"/>
      <c r="P1528" s="2"/>
      <c r="Q1528" s="2"/>
    </row>
    <row r="1529" spans="1:17" x14ac:dyDescent="0.3">
      <c r="A1529" s="2">
        <v>8054</v>
      </c>
      <c r="B1529" s="2" t="s">
        <v>108</v>
      </c>
      <c r="C1529" s="2" t="s">
        <v>3858</v>
      </c>
      <c r="D1529" s="2" t="s">
        <v>6016</v>
      </c>
      <c r="E1529" s="2" t="s">
        <v>3859</v>
      </c>
      <c r="F1529" s="2" t="s">
        <v>2</v>
      </c>
      <c r="G1529" s="2" t="s">
        <v>5309</v>
      </c>
      <c r="H1529" s="2" t="s">
        <v>640</v>
      </c>
      <c r="I1529" s="2" t="s">
        <v>6450</v>
      </c>
      <c r="J1529" s="2" t="s">
        <v>4696</v>
      </c>
      <c r="K1529" s="2" t="s">
        <v>4696</v>
      </c>
      <c r="L1529" s="2" t="s">
        <v>4696</v>
      </c>
      <c r="M1529" s="2" t="s">
        <v>4696</v>
      </c>
      <c r="N1529" s="2"/>
      <c r="O1529" s="2"/>
      <c r="P1529" s="2"/>
      <c r="Q1529" s="2"/>
    </row>
    <row r="1530" spans="1:17" x14ac:dyDescent="0.3">
      <c r="A1530" s="2">
        <v>8059</v>
      </c>
      <c r="B1530" s="2" t="s">
        <v>3860</v>
      </c>
      <c r="C1530" s="2" t="s">
        <v>3861</v>
      </c>
      <c r="D1530" s="2" t="s">
        <v>6332</v>
      </c>
      <c r="E1530" s="2" t="s">
        <v>6825</v>
      </c>
      <c r="F1530" s="2" t="s">
        <v>41</v>
      </c>
      <c r="G1530" s="2" t="s">
        <v>5310</v>
      </c>
      <c r="H1530" s="2" t="s">
        <v>653</v>
      </c>
      <c r="I1530" s="2" t="s">
        <v>4736</v>
      </c>
      <c r="J1530" s="2" t="s">
        <v>4696</v>
      </c>
      <c r="K1530" s="2" t="s">
        <v>4696</v>
      </c>
      <c r="L1530" s="2" t="s">
        <v>4696</v>
      </c>
      <c r="M1530" s="2" t="s">
        <v>2</v>
      </c>
      <c r="N1530" s="2"/>
      <c r="O1530" s="2"/>
      <c r="P1530" s="2"/>
      <c r="Q1530" s="2"/>
    </row>
    <row r="1531" spans="1:17" x14ac:dyDescent="0.3">
      <c r="A1531" s="2">
        <v>8064</v>
      </c>
      <c r="B1531" s="2" t="s">
        <v>127</v>
      </c>
      <c r="C1531" s="2" t="s">
        <v>3862</v>
      </c>
      <c r="D1531" s="2" t="s">
        <v>6025</v>
      </c>
      <c r="E1531" s="2" t="s">
        <v>6826</v>
      </c>
      <c r="F1531" s="2" t="s">
        <v>2</v>
      </c>
      <c r="G1531" s="2" t="s">
        <v>5311</v>
      </c>
      <c r="H1531" s="2" t="s">
        <v>431</v>
      </c>
      <c r="I1531" s="2" t="s">
        <v>14</v>
      </c>
      <c r="J1531" s="2" t="s">
        <v>4696</v>
      </c>
      <c r="K1531" s="2" t="s">
        <v>4696</v>
      </c>
      <c r="L1531" s="2" t="s">
        <v>4696</v>
      </c>
      <c r="M1531" s="2" t="s">
        <v>2</v>
      </c>
      <c r="N1531" s="2"/>
      <c r="O1531" s="2"/>
      <c r="P1531" s="2"/>
      <c r="Q1531" s="2"/>
    </row>
    <row r="1532" spans="1:17" x14ac:dyDescent="0.3">
      <c r="A1532" s="2">
        <v>8066</v>
      </c>
      <c r="B1532" s="2" t="s">
        <v>3863</v>
      </c>
      <c r="C1532" s="2" t="s">
        <v>3864</v>
      </c>
      <c r="D1532" s="2" t="s">
        <v>6091</v>
      </c>
      <c r="E1532" s="2" t="s">
        <v>6827</v>
      </c>
      <c r="F1532" s="2" t="s">
        <v>2</v>
      </c>
      <c r="G1532" s="2" t="s">
        <v>5312</v>
      </c>
      <c r="H1532" s="2" t="s">
        <v>753</v>
      </c>
      <c r="I1532" s="2" t="s">
        <v>4719</v>
      </c>
      <c r="J1532" s="2" t="s">
        <v>4696</v>
      </c>
      <c r="K1532" s="2" t="s">
        <v>4696</v>
      </c>
      <c r="L1532" s="2" t="s">
        <v>4696</v>
      </c>
      <c r="M1532" s="2" t="s">
        <v>2</v>
      </c>
      <c r="N1532" s="2"/>
      <c r="O1532" s="2"/>
      <c r="P1532" s="2"/>
      <c r="Q1532" s="2"/>
    </row>
    <row r="1533" spans="1:17" x14ac:dyDescent="0.3">
      <c r="A1533" s="2">
        <v>8067</v>
      </c>
      <c r="B1533" s="2" t="s">
        <v>3865</v>
      </c>
      <c r="C1533" s="2" t="s">
        <v>3866</v>
      </c>
      <c r="D1533" s="2" t="s">
        <v>6000</v>
      </c>
      <c r="E1533" s="2" t="s">
        <v>6828</v>
      </c>
      <c r="F1533" s="2" t="s">
        <v>2</v>
      </c>
      <c r="G1533" s="2" t="s">
        <v>5313</v>
      </c>
      <c r="H1533" s="2" t="s">
        <v>1911</v>
      </c>
      <c r="I1533" s="2" t="s">
        <v>4762</v>
      </c>
      <c r="J1533" s="2" t="s">
        <v>4696</v>
      </c>
      <c r="K1533" s="2" t="s">
        <v>4696</v>
      </c>
      <c r="L1533" s="2" t="s">
        <v>4696</v>
      </c>
      <c r="M1533" s="2" t="s">
        <v>2</v>
      </c>
      <c r="N1533" s="2"/>
      <c r="O1533" s="2"/>
      <c r="P1533" s="2"/>
      <c r="Q1533" s="2"/>
    </row>
    <row r="1534" spans="1:17" x14ac:dyDescent="0.3">
      <c r="A1534" s="2">
        <v>8068</v>
      </c>
      <c r="B1534" s="2" t="s">
        <v>3867</v>
      </c>
      <c r="C1534" s="2" t="s">
        <v>3868</v>
      </c>
      <c r="D1534" s="2" t="s">
        <v>6014</v>
      </c>
      <c r="E1534" s="2" t="s">
        <v>3869</v>
      </c>
      <c r="F1534" s="2" t="s">
        <v>2</v>
      </c>
      <c r="G1534" s="2" t="s">
        <v>5314</v>
      </c>
      <c r="H1534" s="2" t="s">
        <v>404</v>
      </c>
      <c r="I1534" s="2" t="s">
        <v>1</v>
      </c>
      <c r="J1534" s="2" t="s">
        <v>4696</v>
      </c>
      <c r="K1534" s="2" t="s">
        <v>4696</v>
      </c>
      <c r="L1534" s="2" t="s">
        <v>4696</v>
      </c>
      <c r="M1534" s="2" t="s">
        <v>4696</v>
      </c>
      <c r="N1534" s="2"/>
      <c r="O1534" s="2"/>
      <c r="P1534" s="2"/>
      <c r="Q1534" s="2"/>
    </row>
    <row r="1535" spans="1:17" x14ac:dyDescent="0.3">
      <c r="A1535" s="2">
        <v>8069</v>
      </c>
      <c r="B1535" s="2" t="s">
        <v>3870</v>
      </c>
      <c r="C1535" s="2" t="s">
        <v>3871</v>
      </c>
      <c r="D1535" s="2" t="s">
        <v>5999</v>
      </c>
      <c r="E1535" s="2" t="s">
        <v>3872</v>
      </c>
      <c r="F1535" s="2" t="s">
        <v>2</v>
      </c>
      <c r="G1535" s="2" t="s">
        <v>6829</v>
      </c>
      <c r="H1535" s="2" t="s">
        <v>465</v>
      </c>
      <c r="I1535" s="2" t="s">
        <v>4707</v>
      </c>
      <c r="J1535" s="2" t="s">
        <v>6484</v>
      </c>
      <c r="K1535" s="2" t="s">
        <v>4690</v>
      </c>
      <c r="L1535" s="2" t="s">
        <v>4691</v>
      </c>
      <c r="M1535" s="2" t="s">
        <v>4696</v>
      </c>
      <c r="N1535" s="2"/>
      <c r="O1535" s="2"/>
      <c r="P1535" s="2"/>
      <c r="Q1535" s="2"/>
    </row>
    <row r="1536" spans="1:17" x14ac:dyDescent="0.3">
      <c r="A1536" s="2">
        <v>8071</v>
      </c>
      <c r="B1536" s="2" t="s">
        <v>3873</v>
      </c>
      <c r="C1536" s="2" t="s">
        <v>3874</v>
      </c>
      <c r="D1536" s="2" t="s">
        <v>6007</v>
      </c>
      <c r="E1536" s="2" t="s">
        <v>3875</v>
      </c>
      <c r="F1536" s="2" t="s">
        <v>2</v>
      </c>
      <c r="G1536" s="2" t="s">
        <v>5315</v>
      </c>
      <c r="H1536" s="2" t="s">
        <v>574</v>
      </c>
      <c r="I1536" s="2" t="s">
        <v>20</v>
      </c>
      <c r="J1536" s="2" t="s">
        <v>4696</v>
      </c>
      <c r="K1536" s="2" t="s">
        <v>4696</v>
      </c>
      <c r="L1536" s="2" t="s">
        <v>4696</v>
      </c>
      <c r="M1536" s="2" t="s">
        <v>4696</v>
      </c>
      <c r="N1536" s="2"/>
      <c r="O1536" s="2"/>
      <c r="P1536" s="2"/>
      <c r="Q1536" s="2"/>
    </row>
    <row r="1537" spans="1:17" x14ac:dyDescent="0.3">
      <c r="A1537" s="2">
        <v>8074</v>
      </c>
      <c r="B1537" s="2" t="s">
        <v>3876</v>
      </c>
      <c r="C1537" s="2" t="s">
        <v>3877</v>
      </c>
      <c r="D1537" s="2" t="s">
        <v>6080</v>
      </c>
      <c r="E1537" s="2" t="s">
        <v>6830</v>
      </c>
      <c r="F1537" s="2" t="s">
        <v>41</v>
      </c>
      <c r="G1537" s="2" t="s">
        <v>5316</v>
      </c>
      <c r="H1537" s="2" t="s">
        <v>574</v>
      </c>
      <c r="I1537" s="2" t="s">
        <v>4715</v>
      </c>
      <c r="J1537" s="2" t="s">
        <v>4696</v>
      </c>
      <c r="K1537" s="2" t="s">
        <v>4696</v>
      </c>
      <c r="L1537" s="2" t="s">
        <v>4696</v>
      </c>
      <c r="M1537" s="2" t="s">
        <v>2</v>
      </c>
      <c r="N1537" s="2"/>
      <c r="O1537" s="2"/>
      <c r="P1537" s="2"/>
      <c r="Q1537" s="2"/>
    </row>
    <row r="1538" spans="1:17" x14ac:dyDescent="0.3">
      <c r="A1538" s="2">
        <v>8076</v>
      </c>
      <c r="B1538" s="2" t="s">
        <v>3878</v>
      </c>
      <c r="C1538" s="2" t="s">
        <v>3879</v>
      </c>
      <c r="D1538" s="2" t="s">
        <v>5999</v>
      </c>
      <c r="E1538" s="2" t="s">
        <v>3880</v>
      </c>
      <c r="F1538" s="2" t="s">
        <v>2</v>
      </c>
      <c r="G1538" s="2" t="s">
        <v>5317</v>
      </c>
      <c r="H1538" s="2" t="s">
        <v>541</v>
      </c>
      <c r="I1538" s="2" t="s">
        <v>37</v>
      </c>
      <c r="J1538" s="2" t="s">
        <v>6445</v>
      </c>
      <c r="K1538" s="2" t="s">
        <v>4690</v>
      </c>
      <c r="L1538" s="2" t="s">
        <v>4691</v>
      </c>
      <c r="M1538" s="2" t="s">
        <v>4696</v>
      </c>
      <c r="N1538" s="2"/>
      <c r="O1538" s="2"/>
      <c r="P1538" s="2"/>
      <c r="Q1538" s="2"/>
    </row>
    <row r="1539" spans="1:17" x14ac:dyDescent="0.3">
      <c r="A1539" s="2">
        <v>8077</v>
      </c>
      <c r="B1539" s="2" t="s">
        <v>6831</v>
      </c>
      <c r="C1539" s="2" t="s">
        <v>3881</v>
      </c>
      <c r="D1539" s="2" t="s">
        <v>6021</v>
      </c>
      <c r="E1539" s="2" t="s">
        <v>3882</v>
      </c>
      <c r="F1539" s="2" t="s">
        <v>41</v>
      </c>
      <c r="G1539" s="2" t="s">
        <v>5318</v>
      </c>
      <c r="H1539" s="2" t="s">
        <v>996</v>
      </c>
      <c r="I1539" s="2" t="s">
        <v>4710</v>
      </c>
      <c r="J1539" s="2" t="s">
        <v>4696</v>
      </c>
      <c r="K1539" s="2" t="s">
        <v>4696</v>
      </c>
      <c r="L1539" s="2" t="s">
        <v>4696</v>
      </c>
      <c r="M1539" s="2" t="s">
        <v>2</v>
      </c>
      <c r="N1539" s="2"/>
      <c r="O1539" s="2"/>
      <c r="P1539" s="2"/>
      <c r="Q1539" s="2"/>
    </row>
    <row r="1540" spans="1:17" x14ac:dyDescent="0.3">
      <c r="A1540" s="2">
        <v>8079</v>
      </c>
      <c r="B1540" s="2" t="s">
        <v>3883</v>
      </c>
      <c r="C1540" s="2" t="s">
        <v>3884</v>
      </c>
      <c r="D1540" s="2" t="s">
        <v>6020</v>
      </c>
      <c r="E1540" s="2" t="s">
        <v>6832</v>
      </c>
      <c r="F1540" s="2" t="s">
        <v>41</v>
      </c>
      <c r="G1540" s="2" t="s">
        <v>5319</v>
      </c>
      <c r="H1540" s="2" t="s">
        <v>451</v>
      </c>
      <c r="I1540" s="2" t="s">
        <v>4694</v>
      </c>
      <c r="J1540" s="2" t="s">
        <v>4696</v>
      </c>
      <c r="K1540" s="2" t="s">
        <v>4696</v>
      </c>
      <c r="L1540" s="2" t="s">
        <v>4696</v>
      </c>
      <c r="M1540" s="2" t="s">
        <v>4696</v>
      </c>
      <c r="N1540" s="2"/>
      <c r="O1540" s="2"/>
      <c r="P1540" s="2"/>
      <c r="Q1540" s="2"/>
    </row>
    <row r="1541" spans="1:17" x14ac:dyDescent="0.3">
      <c r="A1541" s="2"/>
      <c r="B1541" s="2"/>
      <c r="C1541" s="2"/>
      <c r="D1541" s="2"/>
      <c r="E1541" s="2"/>
      <c r="F1541" s="2"/>
      <c r="G1541" s="2"/>
      <c r="H1541" s="2"/>
      <c r="I1541" s="2"/>
      <c r="J1541" s="2"/>
      <c r="K1541" s="2"/>
      <c r="L1541" s="2"/>
      <c r="M1541" s="2"/>
      <c r="N1541" s="2"/>
      <c r="O1541" s="2"/>
      <c r="P1541" s="2"/>
      <c r="Q1541" s="2"/>
    </row>
    <row r="1542" spans="1:17" x14ac:dyDescent="0.3">
      <c r="A1542" s="2">
        <v>8080</v>
      </c>
      <c r="B1542" s="2" t="s">
        <v>63</v>
      </c>
      <c r="C1542" s="2" t="s">
        <v>3885</v>
      </c>
      <c r="D1542" s="2" t="s">
        <v>6010</v>
      </c>
      <c r="E1542" s="2" t="s">
        <v>6833</v>
      </c>
      <c r="F1542" s="2" t="s">
        <v>2</v>
      </c>
      <c r="G1542" s="2" t="s">
        <v>5320</v>
      </c>
      <c r="H1542" s="2" t="s">
        <v>465</v>
      </c>
      <c r="I1542" s="2" t="s">
        <v>4712</v>
      </c>
      <c r="J1542" s="2" t="s">
        <v>4696</v>
      </c>
      <c r="K1542" s="2" t="s">
        <v>4696</v>
      </c>
      <c r="L1542" s="2" t="s">
        <v>4696</v>
      </c>
      <c r="M1542" s="2" t="s">
        <v>2</v>
      </c>
      <c r="N1542" s="2"/>
      <c r="O1542" s="2"/>
      <c r="P1542" s="2"/>
      <c r="Q1542" s="2"/>
    </row>
    <row r="1543" spans="1:17" x14ac:dyDescent="0.3">
      <c r="A1543" s="2">
        <v>8082</v>
      </c>
      <c r="B1543" s="2" t="s">
        <v>6834</v>
      </c>
      <c r="C1543" s="2" t="s">
        <v>3886</v>
      </c>
      <c r="D1543" s="2" t="s">
        <v>6001</v>
      </c>
      <c r="E1543" s="2" t="s">
        <v>3887</v>
      </c>
      <c r="F1543" s="2" t="s">
        <v>41</v>
      </c>
      <c r="G1543" s="2" t="s">
        <v>5321</v>
      </c>
      <c r="H1543" s="2" t="s">
        <v>491</v>
      </c>
      <c r="I1543" s="2" t="s">
        <v>5322</v>
      </c>
      <c r="J1543" s="2" t="s">
        <v>4696</v>
      </c>
      <c r="K1543" s="2" t="s">
        <v>4696</v>
      </c>
      <c r="L1543" s="2" t="s">
        <v>4696</v>
      </c>
      <c r="M1543" s="2" t="s">
        <v>4696</v>
      </c>
      <c r="N1543" s="2"/>
      <c r="O1543" s="2"/>
      <c r="P1543" s="2"/>
      <c r="Q1543" s="2"/>
    </row>
    <row r="1544" spans="1:17" x14ac:dyDescent="0.3">
      <c r="A1544" s="2">
        <v>8083</v>
      </c>
      <c r="B1544" s="2" t="s">
        <v>3888</v>
      </c>
      <c r="C1544" s="2" t="s">
        <v>3889</v>
      </c>
      <c r="D1544" s="2" t="s">
        <v>6091</v>
      </c>
      <c r="E1544" s="2" t="s">
        <v>6835</v>
      </c>
      <c r="F1544" s="2" t="s">
        <v>41</v>
      </c>
      <c r="G1544" s="2">
        <v>89904567</v>
      </c>
      <c r="H1544" s="2" t="s">
        <v>1587</v>
      </c>
      <c r="I1544" s="2" t="s">
        <v>34</v>
      </c>
      <c r="J1544" s="2" t="s">
        <v>4696</v>
      </c>
      <c r="K1544" s="2" t="s">
        <v>4696</v>
      </c>
      <c r="L1544" s="2" t="s">
        <v>4696</v>
      </c>
      <c r="M1544" s="2" t="s">
        <v>2</v>
      </c>
      <c r="N1544" s="2"/>
      <c r="O1544" s="2"/>
      <c r="P1544" s="2"/>
      <c r="Q1544" s="2"/>
    </row>
    <row r="1545" spans="1:17" x14ac:dyDescent="0.3">
      <c r="A1545" s="2">
        <v>8084</v>
      </c>
      <c r="B1545" s="2" t="s">
        <v>3890</v>
      </c>
      <c r="C1545" s="2" t="s">
        <v>3891</v>
      </c>
      <c r="D1545" s="2" t="s">
        <v>6037</v>
      </c>
      <c r="E1545" s="2" t="s">
        <v>6836</v>
      </c>
      <c r="F1545" s="2" t="s">
        <v>2</v>
      </c>
      <c r="G1545" s="2">
        <v>82271166</v>
      </c>
      <c r="H1545" s="2" t="s">
        <v>817</v>
      </c>
      <c r="I1545" s="2" t="s">
        <v>4727</v>
      </c>
      <c r="J1545" s="2" t="s">
        <v>4696</v>
      </c>
      <c r="K1545" s="2" t="s">
        <v>4696</v>
      </c>
      <c r="L1545" s="2" t="s">
        <v>4696</v>
      </c>
      <c r="M1545" s="2" t="s">
        <v>2</v>
      </c>
      <c r="N1545" s="2"/>
      <c r="O1545" s="2"/>
      <c r="P1545" s="2"/>
      <c r="Q1545" s="2"/>
    </row>
    <row r="1546" spans="1:17" x14ac:dyDescent="0.3">
      <c r="A1546" s="2">
        <v>8085</v>
      </c>
      <c r="B1546" s="2" t="s">
        <v>195</v>
      </c>
      <c r="C1546" s="2" t="s">
        <v>3892</v>
      </c>
      <c r="D1546" s="2" t="s">
        <v>6015</v>
      </c>
      <c r="E1546" s="2" t="s">
        <v>3893</v>
      </c>
      <c r="F1546" s="2" t="s">
        <v>41</v>
      </c>
      <c r="G1546" s="2" t="s">
        <v>5323</v>
      </c>
      <c r="H1546" s="2" t="s">
        <v>469</v>
      </c>
      <c r="I1546" s="2" t="s">
        <v>4755</v>
      </c>
      <c r="J1546" s="2" t="s">
        <v>6456</v>
      </c>
      <c r="K1546" s="2" t="s">
        <v>4690</v>
      </c>
      <c r="L1546" s="2" t="s">
        <v>4691</v>
      </c>
      <c r="M1546" s="2" t="s">
        <v>4699</v>
      </c>
      <c r="N1546" s="2"/>
      <c r="O1546" s="2"/>
      <c r="P1546" s="2"/>
      <c r="Q1546" s="2"/>
    </row>
    <row r="1547" spans="1:17" x14ac:dyDescent="0.3">
      <c r="A1547" s="2">
        <v>8086</v>
      </c>
      <c r="B1547" s="2" t="s">
        <v>3894</v>
      </c>
      <c r="C1547" s="2" t="s">
        <v>3895</v>
      </c>
      <c r="D1547" s="2" t="s">
        <v>6024</v>
      </c>
      <c r="E1547" s="2" t="s">
        <v>3896</v>
      </c>
      <c r="F1547" s="2" t="s">
        <v>41</v>
      </c>
      <c r="G1547" s="2" t="s">
        <v>5324</v>
      </c>
      <c r="H1547" s="2" t="s">
        <v>667</v>
      </c>
      <c r="I1547" s="2" t="s">
        <v>4726</v>
      </c>
      <c r="J1547" s="2" t="s">
        <v>4696</v>
      </c>
      <c r="K1547" s="2" t="s">
        <v>4696</v>
      </c>
      <c r="L1547" s="2" t="s">
        <v>4696</v>
      </c>
      <c r="M1547" s="2" t="s">
        <v>2</v>
      </c>
      <c r="N1547" s="2"/>
      <c r="O1547" s="2"/>
      <c r="P1547" s="2"/>
      <c r="Q1547" s="2"/>
    </row>
    <row r="1548" spans="1:17" x14ac:dyDescent="0.3">
      <c r="A1548" s="2">
        <v>8087</v>
      </c>
      <c r="B1548" s="2" t="s">
        <v>3897</v>
      </c>
      <c r="C1548" s="2" t="s">
        <v>3898</v>
      </c>
      <c r="D1548" s="2" t="s">
        <v>6024</v>
      </c>
      <c r="E1548" s="2" t="s">
        <v>3899</v>
      </c>
      <c r="F1548" s="2" t="s">
        <v>2</v>
      </c>
      <c r="G1548" s="2" t="s">
        <v>5325</v>
      </c>
      <c r="H1548" s="2" t="s">
        <v>2059</v>
      </c>
      <c r="I1548" s="2" t="s">
        <v>48</v>
      </c>
      <c r="J1548" s="2" t="s">
        <v>4696</v>
      </c>
      <c r="K1548" s="2" t="s">
        <v>4696</v>
      </c>
      <c r="L1548" s="2" t="s">
        <v>4696</v>
      </c>
      <c r="M1548" s="2" t="s">
        <v>2</v>
      </c>
      <c r="N1548" s="2"/>
      <c r="O1548" s="2"/>
      <c r="P1548" s="2"/>
      <c r="Q1548" s="2"/>
    </row>
    <row r="1549" spans="1:17" x14ac:dyDescent="0.3">
      <c r="A1549" s="2">
        <v>8088</v>
      </c>
      <c r="B1549" s="2" t="s">
        <v>342</v>
      </c>
      <c r="C1549" s="2" t="s">
        <v>3900</v>
      </c>
      <c r="D1549" s="2" t="s">
        <v>6015</v>
      </c>
      <c r="E1549" s="2" t="s">
        <v>6837</v>
      </c>
      <c r="F1549" s="2" t="s">
        <v>2</v>
      </c>
      <c r="G1549" s="2" t="s">
        <v>5326</v>
      </c>
      <c r="H1549" s="2" t="s">
        <v>667</v>
      </c>
      <c r="I1549" s="2" t="s">
        <v>4726</v>
      </c>
      <c r="J1549" s="2" t="s">
        <v>4696</v>
      </c>
      <c r="K1549" s="2" t="s">
        <v>4696</v>
      </c>
      <c r="L1549" s="2" t="s">
        <v>4696</v>
      </c>
      <c r="M1549" s="2" t="s">
        <v>4696</v>
      </c>
      <c r="N1549" s="2"/>
      <c r="O1549" s="2"/>
      <c r="P1549" s="2"/>
      <c r="Q1549" s="2"/>
    </row>
    <row r="1550" spans="1:17" x14ac:dyDescent="0.3">
      <c r="A1550" s="2">
        <v>8091</v>
      </c>
      <c r="B1550" s="2" t="s">
        <v>3901</v>
      </c>
      <c r="C1550" s="2" t="s">
        <v>3902</v>
      </c>
      <c r="D1550" s="2" t="s">
        <v>6020</v>
      </c>
      <c r="E1550" s="2" t="s">
        <v>6838</v>
      </c>
      <c r="F1550" s="2" t="s">
        <v>2</v>
      </c>
      <c r="G1550" s="2" t="s">
        <v>5327</v>
      </c>
      <c r="H1550" s="2" t="s">
        <v>6006</v>
      </c>
      <c r="I1550" s="2" t="s">
        <v>4698</v>
      </c>
      <c r="J1550" s="2" t="s">
        <v>4696</v>
      </c>
      <c r="K1550" s="2" t="s">
        <v>4696</v>
      </c>
      <c r="L1550" s="2" t="s">
        <v>4696</v>
      </c>
      <c r="M1550" s="2" t="s">
        <v>2</v>
      </c>
      <c r="N1550" s="2"/>
      <c r="O1550" s="2"/>
      <c r="P1550" s="2"/>
      <c r="Q1550" s="2"/>
    </row>
    <row r="1551" spans="1:17" x14ac:dyDescent="0.3">
      <c r="A1551" s="2">
        <v>8092</v>
      </c>
      <c r="B1551" s="2" t="s">
        <v>3903</v>
      </c>
      <c r="C1551" s="2" t="s">
        <v>3904</v>
      </c>
      <c r="D1551" s="2" t="s">
        <v>6014</v>
      </c>
      <c r="E1551" s="2" t="s">
        <v>3905</v>
      </c>
      <c r="F1551" s="2" t="s">
        <v>2</v>
      </c>
      <c r="G1551" s="2" t="s">
        <v>5328</v>
      </c>
      <c r="H1551" s="2" t="s">
        <v>444</v>
      </c>
      <c r="I1551" s="2" t="s">
        <v>4738</v>
      </c>
      <c r="J1551" s="2" t="s">
        <v>4696</v>
      </c>
      <c r="K1551" s="2" t="s">
        <v>4696</v>
      </c>
      <c r="L1551" s="2" t="s">
        <v>4696</v>
      </c>
      <c r="M1551" s="2" t="s">
        <v>2</v>
      </c>
      <c r="N1551" s="2"/>
      <c r="O1551" s="2"/>
      <c r="P1551" s="2"/>
      <c r="Q1551" s="2"/>
    </row>
    <row r="1552" spans="1:17" x14ac:dyDescent="0.3">
      <c r="A1552" s="2">
        <v>8093</v>
      </c>
      <c r="B1552" s="2" t="s">
        <v>3906</v>
      </c>
      <c r="C1552" s="2" t="s">
        <v>6839</v>
      </c>
      <c r="D1552" s="2" t="s">
        <v>6004</v>
      </c>
      <c r="E1552" s="2" t="s">
        <v>3907</v>
      </c>
      <c r="F1552" s="2" t="s">
        <v>2</v>
      </c>
      <c r="G1552" s="2" t="s">
        <v>5329</v>
      </c>
      <c r="H1552" s="2" t="s">
        <v>3908</v>
      </c>
      <c r="I1552" s="2" t="s">
        <v>4711</v>
      </c>
      <c r="J1552" s="2" t="s">
        <v>4696</v>
      </c>
      <c r="K1552" s="2" t="s">
        <v>4696</v>
      </c>
      <c r="L1552" s="2" t="s">
        <v>4696</v>
      </c>
      <c r="M1552" s="2" t="s">
        <v>2</v>
      </c>
      <c r="N1552" s="2"/>
      <c r="O1552" s="2"/>
      <c r="P1552" s="2"/>
      <c r="Q1552" s="2"/>
    </row>
    <row r="1553" spans="1:17" x14ac:dyDescent="0.3">
      <c r="A1553" s="2">
        <v>8096</v>
      </c>
      <c r="B1553" s="2" t="s">
        <v>3909</v>
      </c>
      <c r="C1553" s="2" t="s">
        <v>3910</v>
      </c>
      <c r="D1553" s="2" t="s">
        <v>6010</v>
      </c>
      <c r="E1553" s="2" t="s">
        <v>3911</v>
      </c>
      <c r="F1553" s="2" t="s">
        <v>2</v>
      </c>
      <c r="G1553" s="2" t="s">
        <v>5330</v>
      </c>
      <c r="H1553" s="2" t="s">
        <v>431</v>
      </c>
      <c r="I1553" s="2" t="s">
        <v>4764</v>
      </c>
      <c r="J1553" s="2" t="s">
        <v>4696</v>
      </c>
      <c r="K1553" s="2" t="s">
        <v>4696</v>
      </c>
      <c r="L1553" s="2" t="s">
        <v>4696</v>
      </c>
      <c r="M1553" s="2" t="s">
        <v>4696</v>
      </c>
      <c r="N1553" s="2"/>
      <c r="O1553" s="2"/>
      <c r="P1553" s="2"/>
      <c r="Q1553" s="2"/>
    </row>
    <row r="1554" spans="1:17" x14ac:dyDescent="0.3">
      <c r="A1554" s="2">
        <v>8097</v>
      </c>
      <c r="B1554" s="2" t="s">
        <v>3912</v>
      </c>
      <c r="C1554" s="2" t="s">
        <v>3913</v>
      </c>
      <c r="D1554" s="2" t="s">
        <v>6014</v>
      </c>
      <c r="E1554" s="2" t="s">
        <v>3914</v>
      </c>
      <c r="F1554" s="2" t="s">
        <v>2</v>
      </c>
      <c r="G1554" s="2" t="s">
        <v>5331</v>
      </c>
      <c r="H1554" s="2" t="s">
        <v>2817</v>
      </c>
      <c r="I1554" s="2" t="s">
        <v>5332</v>
      </c>
      <c r="J1554" s="2" t="s">
        <v>4696</v>
      </c>
      <c r="K1554" s="2" t="s">
        <v>4696</v>
      </c>
      <c r="L1554" s="2" t="s">
        <v>4696</v>
      </c>
      <c r="M1554" s="2" t="s">
        <v>4696</v>
      </c>
      <c r="N1554" s="2"/>
      <c r="O1554" s="2"/>
      <c r="P1554" s="2"/>
      <c r="Q1554" s="2"/>
    </row>
    <row r="1555" spans="1:17" x14ac:dyDescent="0.3">
      <c r="A1555" s="2">
        <v>8099</v>
      </c>
      <c r="B1555" s="2" t="s">
        <v>3915</v>
      </c>
      <c r="C1555" s="2" t="s">
        <v>3892</v>
      </c>
      <c r="D1555" s="2" t="s">
        <v>6010</v>
      </c>
      <c r="E1555" s="2" t="s">
        <v>3916</v>
      </c>
      <c r="F1555" s="2" t="s">
        <v>2</v>
      </c>
      <c r="G1555" s="2" t="s">
        <v>5333</v>
      </c>
      <c r="H1555" s="2" t="s">
        <v>469</v>
      </c>
      <c r="I1555" s="2" t="s">
        <v>4809</v>
      </c>
      <c r="J1555" s="2" t="s">
        <v>6490</v>
      </c>
      <c r="K1555" s="2" t="s">
        <v>4690</v>
      </c>
      <c r="L1555" s="2" t="s">
        <v>4691</v>
      </c>
      <c r="M1555" s="2" t="s">
        <v>4699</v>
      </c>
      <c r="N1555" s="2"/>
      <c r="O1555" s="2"/>
      <c r="P1555" s="2"/>
      <c r="Q1555" s="2"/>
    </row>
    <row r="1556" spans="1:17" x14ac:dyDescent="0.3">
      <c r="A1556" s="2">
        <v>8107</v>
      </c>
      <c r="B1556" s="2" t="s">
        <v>3917</v>
      </c>
      <c r="C1556" s="2" t="s">
        <v>3918</v>
      </c>
      <c r="D1556" s="2" t="s">
        <v>6010</v>
      </c>
      <c r="E1556" s="2" t="s">
        <v>6840</v>
      </c>
      <c r="F1556" s="2" t="s">
        <v>41</v>
      </c>
      <c r="G1556" s="2" t="s">
        <v>5334</v>
      </c>
      <c r="H1556" s="2" t="s">
        <v>456</v>
      </c>
      <c r="I1556" s="2" t="s">
        <v>4723</v>
      </c>
      <c r="J1556" s="2" t="s">
        <v>4696</v>
      </c>
      <c r="K1556" s="2" t="s">
        <v>4696</v>
      </c>
      <c r="L1556" s="2" t="s">
        <v>4696</v>
      </c>
      <c r="M1556" s="2" t="s">
        <v>4696</v>
      </c>
      <c r="N1556" s="2"/>
      <c r="O1556" s="2"/>
      <c r="P1556" s="2"/>
      <c r="Q1556" s="2"/>
    </row>
    <row r="1557" spans="1:17" x14ac:dyDescent="0.3">
      <c r="A1557" s="2">
        <v>8109</v>
      </c>
      <c r="B1557" s="2" t="s">
        <v>3919</v>
      </c>
      <c r="C1557" s="2" t="s">
        <v>3920</v>
      </c>
      <c r="D1557" s="2" t="s">
        <v>6025</v>
      </c>
      <c r="E1557" s="2" t="s">
        <v>3921</v>
      </c>
      <c r="F1557" s="2" t="s">
        <v>41</v>
      </c>
      <c r="G1557" s="2" t="s">
        <v>5335</v>
      </c>
      <c r="H1557" s="2" t="s">
        <v>451</v>
      </c>
      <c r="I1557" s="2" t="s">
        <v>10</v>
      </c>
      <c r="J1557" s="2" t="s">
        <v>4696</v>
      </c>
      <c r="K1557" s="2" t="s">
        <v>4696</v>
      </c>
      <c r="L1557" s="2" t="s">
        <v>4696</v>
      </c>
      <c r="M1557" s="2" t="s">
        <v>2</v>
      </c>
      <c r="N1557" s="2"/>
      <c r="O1557" s="2"/>
      <c r="P1557" s="2"/>
      <c r="Q1557" s="2"/>
    </row>
    <row r="1558" spans="1:17" x14ac:dyDescent="0.3">
      <c r="A1558" s="2">
        <v>8111</v>
      </c>
      <c r="B1558" s="2" t="s">
        <v>3922</v>
      </c>
      <c r="C1558" s="2" t="s">
        <v>3923</v>
      </c>
      <c r="D1558" s="2" t="s">
        <v>6021</v>
      </c>
      <c r="E1558" s="2" t="s">
        <v>3924</v>
      </c>
      <c r="F1558" s="2" t="s">
        <v>2</v>
      </c>
      <c r="G1558" s="2" t="s">
        <v>5336</v>
      </c>
      <c r="H1558" s="2" t="s">
        <v>539</v>
      </c>
      <c r="I1558" s="2" t="s">
        <v>4725</v>
      </c>
      <c r="J1558" s="2" t="s">
        <v>4696</v>
      </c>
      <c r="K1558" s="2" t="s">
        <v>4696</v>
      </c>
      <c r="L1558" s="2" t="s">
        <v>4696</v>
      </c>
      <c r="M1558" s="2" t="s">
        <v>4696</v>
      </c>
      <c r="N1558" s="2"/>
      <c r="O1558" s="2"/>
      <c r="P1558" s="2"/>
      <c r="Q1558" s="2"/>
    </row>
    <row r="1559" spans="1:17" x14ac:dyDescent="0.3">
      <c r="A1559" s="2">
        <v>8121</v>
      </c>
      <c r="B1559" s="2" t="s">
        <v>3925</v>
      </c>
      <c r="C1559" s="2" t="s">
        <v>3926</v>
      </c>
      <c r="D1559" s="2" t="s">
        <v>6025</v>
      </c>
      <c r="E1559" s="2" t="s">
        <v>6841</v>
      </c>
      <c r="F1559" s="2" t="s">
        <v>2</v>
      </c>
      <c r="G1559" s="2" t="s">
        <v>5337</v>
      </c>
      <c r="H1559" s="2" t="s">
        <v>491</v>
      </c>
      <c r="I1559" s="2" t="s">
        <v>5338</v>
      </c>
      <c r="J1559" s="2" t="s">
        <v>4696</v>
      </c>
      <c r="K1559" s="2" t="s">
        <v>4696</v>
      </c>
      <c r="L1559" s="2" t="s">
        <v>4696</v>
      </c>
      <c r="M1559" s="2" t="s">
        <v>2</v>
      </c>
      <c r="N1559" s="2"/>
      <c r="O1559" s="2"/>
      <c r="P1559" s="2"/>
      <c r="Q1559" s="2"/>
    </row>
    <row r="1560" spans="1:17" x14ac:dyDescent="0.3">
      <c r="A1560" s="2">
        <v>8147</v>
      </c>
      <c r="B1560" s="2" t="s">
        <v>3927</v>
      </c>
      <c r="C1560" s="2" t="s">
        <v>3928</v>
      </c>
      <c r="D1560" s="2" t="s">
        <v>6010</v>
      </c>
      <c r="E1560" s="2" t="s">
        <v>6842</v>
      </c>
      <c r="F1560" s="2" t="s">
        <v>2</v>
      </c>
      <c r="G1560" s="2" t="s">
        <v>5339</v>
      </c>
      <c r="H1560" s="2" t="s">
        <v>431</v>
      </c>
      <c r="I1560" s="2" t="s">
        <v>4811</v>
      </c>
      <c r="J1560" s="2" t="s">
        <v>4696</v>
      </c>
      <c r="K1560" s="2" t="s">
        <v>4696</v>
      </c>
      <c r="L1560" s="2" t="s">
        <v>4696</v>
      </c>
      <c r="M1560" s="2" t="s">
        <v>4696</v>
      </c>
      <c r="N1560" s="2"/>
      <c r="O1560" s="2"/>
      <c r="P1560" s="2"/>
      <c r="Q1560" s="2"/>
    </row>
    <row r="1561" spans="1:17" x14ac:dyDescent="0.3">
      <c r="A1561" s="2">
        <v>8155</v>
      </c>
      <c r="B1561" s="2" t="s">
        <v>3929</v>
      </c>
      <c r="C1561" s="2" t="s">
        <v>3930</v>
      </c>
      <c r="D1561" s="2" t="s">
        <v>5999</v>
      </c>
      <c r="E1561" s="2" t="s">
        <v>3931</v>
      </c>
      <c r="F1561" s="2" t="s">
        <v>41</v>
      </c>
      <c r="G1561" s="2" t="s">
        <v>5340</v>
      </c>
      <c r="H1561" s="2" t="s">
        <v>1291</v>
      </c>
      <c r="I1561" s="2" t="s">
        <v>4700</v>
      </c>
      <c r="J1561" s="2" t="s">
        <v>4696</v>
      </c>
      <c r="K1561" s="2" t="s">
        <v>4696</v>
      </c>
      <c r="L1561" s="2" t="s">
        <v>4696</v>
      </c>
      <c r="M1561" s="2" t="s">
        <v>4696</v>
      </c>
      <c r="N1561" s="2"/>
      <c r="O1561" s="2"/>
      <c r="P1561" s="2"/>
      <c r="Q1561" s="2"/>
    </row>
    <row r="1562" spans="1:17" x14ac:dyDescent="0.3">
      <c r="A1562" s="2">
        <v>8171</v>
      </c>
      <c r="B1562" s="2" t="s">
        <v>3932</v>
      </c>
      <c r="C1562" s="2" t="s">
        <v>3933</v>
      </c>
      <c r="D1562" s="2" t="s">
        <v>6028</v>
      </c>
      <c r="E1562" s="2" t="s">
        <v>6843</v>
      </c>
      <c r="F1562" s="2" t="s">
        <v>41</v>
      </c>
      <c r="G1562" s="2" t="s">
        <v>5341</v>
      </c>
      <c r="H1562" s="2" t="s">
        <v>640</v>
      </c>
      <c r="I1562" s="2" t="s">
        <v>6450</v>
      </c>
      <c r="J1562" s="2" t="s">
        <v>4696</v>
      </c>
      <c r="K1562" s="2" t="s">
        <v>4696</v>
      </c>
      <c r="L1562" s="2" t="s">
        <v>4696</v>
      </c>
      <c r="M1562" s="2" t="s">
        <v>4696</v>
      </c>
      <c r="N1562" s="2"/>
      <c r="O1562" s="2"/>
      <c r="P1562" s="2"/>
      <c r="Q1562" s="2"/>
    </row>
    <row r="1563" spans="1:17" x14ac:dyDescent="0.3">
      <c r="A1563" s="2">
        <v>8176</v>
      </c>
      <c r="B1563" s="2" t="s">
        <v>40</v>
      </c>
      <c r="C1563" s="2" t="s">
        <v>3934</v>
      </c>
      <c r="D1563" s="2" t="s">
        <v>6034</v>
      </c>
      <c r="E1563" s="2" t="s">
        <v>6844</v>
      </c>
      <c r="F1563" s="2" t="s">
        <v>41</v>
      </c>
      <c r="G1563" s="2" t="s">
        <v>5342</v>
      </c>
      <c r="H1563" s="2" t="s">
        <v>505</v>
      </c>
      <c r="I1563" s="2" t="s">
        <v>4707</v>
      </c>
      <c r="J1563" s="2" t="s">
        <v>4696</v>
      </c>
      <c r="K1563" s="2" t="s">
        <v>4696</v>
      </c>
      <c r="L1563" s="2" t="s">
        <v>4696</v>
      </c>
      <c r="M1563" s="2" t="s">
        <v>2</v>
      </c>
      <c r="N1563" s="2"/>
      <c r="O1563" s="2"/>
      <c r="P1563" s="2"/>
      <c r="Q1563" s="2"/>
    </row>
    <row r="1564" spans="1:17" x14ac:dyDescent="0.3">
      <c r="A1564" s="2">
        <v>8182</v>
      </c>
      <c r="B1564" s="2" t="s">
        <v>3935</v>
      </c>
      <c r="C1564" s="2" t="s">
        <v>3936</v>
      </c>
      <c r="D1564" s="2" t="s">
        <v>6031</v>
      </c>
      <c r="E1564" s="2" t="s">
        <v>3936</v>
      </c>
      <c r="F1564" s="2" t="s">
        <v>41</v>
      </c>
      <c r="G1564" s="2" t="s">
        <v>5343</v>
      </c>
      <c r="H1564" s="2" t="s">
        <v>415</v>
      </c>
      <c r="I1564" s="2" t="s">
        <v>4694</v>
      </c>
      <c r="J1564" s="2" t="s">
        <v>4696</v>
      </c>
      <c r="K1564" s="2" t="s">
        <v>4696</v>
      </c>
      <c r="L1564" s="2" t="s">
        <v>4696</v>
      </c>
      <c r="M1564" s="2" t="s">
        <v>2</v>
      </c>
      <c r="N1564" s="2"/>
      <c r="O1564" s="2"/>
      <c r="P1564" s="2"/>
      <c r="Q1564" s="2"/>
    </row>
    <row r="1565" spans="1:17" x14ac:dyDescent="0.3">
      <c r="A1565" s="2">
        <v>8183</v>
      </c>
      <c r="B1565" s="2" t="s">
        <v>3937</v>
      </c>
      <c r="C1565" s="2" t="s">
        <v>3938</v>
      </c>
      <c r="D1565" s="2" t="s">
        <v>6025</v>
      </c>
      <c r="E1565" s="2" t="s">
        <v>3939</v>
      </c>
      <c r="F1565" s="2" t="s">
        <v>2</v>
      </c>
      <c r="G1565" s="2" t="s">
        <v>5344</v>
      </c>
      <c r="H1565" s="2" t="s">
        <v>3940</v>
      </c>
      <c r="I1565" s="2" t="s">
        <v>4767</v>
      </c>
      <c r="J1565" s="2" t="s">
        <v>4696</v>
      </c>
      <c r="K1565" s="2" t="s">
        <v>4696</v>
      </c>
      <c r="L1565" s="2" t="s">
        <v>4696</v>
      </c>
      <c r="M1565" s="2" t="s">
        <v>2</v>
      </c>
      <c r="N1565" s="2"/>
      <c r="O1565" s="2"/>
      <c r="P1565" s="2"/>
      <c r="Q1565" s="2"/>
    </row>
    <row r="1566" spans="1:17" x14ac:dyDescent="0.3">
      <c r="A1566" s="2">
        <v>8234</v>
      </c>
      <c r="B1566" s="2" t="s">
        <v>3941</v>
      </c>
      <c r="C1566" s="2" t="s">
        <v>3942</v>
      </c>
      <c r="D1566" s="2" t="s">
        <v>6000</v>
      </c>
      <c r="E1566" s="2" t="s">
        <v>6845</v>
      </c>
      <c r="F1566" s="2" t="s">
        <v>2</v>
      </c>
      <c r="G1566" s="2" t="s">
        <v>5345</v>
      </c>
      <c r="H1566" s="2" t="s">
        <v>456</v>
      </c>
      <c r="I1566" s="2" t="s">
        <v>4717</v>
      </c>
      <c r="J1566" s="2" t="s">
        <v>4696</v>
      </c>
      <c r="K1566" s="2" t="s">
        <v>4696</v>
      </c>
      <c r="L1566" s="2" t="s">
        <v>4696</v>
      </c>
      <c r="M1566" s="2" t="s">
        <v>2</v>
      </c>
      <c r="N1566" s="2"/>
      <c r="O1566" s="2"/>
      <c r="P1566" s="2"/>
      <c r="Q1566" s="2"/>
    </row>
    <row r="1567" spans="1:17" x14ac:dyDescent="0.3">
      <c r="A1567" s="2">
        <v>8240</v>
      </c>
      <c r="B1567" s="2" t="s">
        <v>3943</v>
      </c>
      <c r="C1567" s="2" t="s">
        <v>3944</v>
      </c>
      <c r="D1567" s="2" t="s">
        <v>6000</v>
      </c>
      <c r="E1567" s="2" t="s">
        <v>1675</v>
      </c>
      <c r="F1567" s="2" t="s">
        <v>41</v>
      </c>
      <c r="G1567" s="2" t="s">
        <v>5346</v>
      </c>
      <c r="H1567" s="2" t="s">
        <v>2817</v>
      </c>
      <c r="I1567" s="2" t="s">
        <v>4741</v>
      </c>
      <c r="J1567" s="2" t="s">
        <v>4696</v>
      </c>
      <c r="K1567" s="2" t="s">
        <v>4696</v>
      </c>
      <c r="L1567" s="2" t="s">
        <v>4696</v>
      </c>
      <c r="M1567" s="2" t="s">
        <v>4696</v>
      </c>
      <c r="N1567" s="2"/>
      <c r="O1567" s="2"/>
      <c r="P1567" s="2"/>
      <c r="Q1567" s="2"/>
    </row>
    <row r="1568" spans="1:17" x14ac:dyDescent="0.3">
      <c r="A1568" s="2">
        <v>8255</v>
      </c>
      <c r="B1568" s="2" t="s">
        <v>3945</v>
      </c>
      <c r="C1568" s="2" t="s">
        <v>3946</v>
      </c>
      <c r="D1568" s="2" t="s">
        <v>6051</v>
      </c>
      <c r="E1568" s="2" t="s">
        <v>3947</v>
      </c>
      <c r="F1568" s="2" t="s">
        <v>41</v>
      </c>
      <c r="G1568" s="2" t="s">
        <v>5347</v>
      </c>
      <c r="H1568" s="2" t="s">
        <v>3948</v>
      </c>
      <c r="I1568" s="2" t="s">
        <v>5348</v>
      </c>
      <c r="J1568" s="2" t="s">
        <v>4696</v>
      </c>
      <c r="K1568" s="2" t="s">
        <v>4696</v>
      </c>
      <c r="L1568" s="2" t="s">
        <v>4696</v>
      </c>
      <c r="M1568" s="2" t="s">
        <v>2</v>
      </c>
      <c r="N1568" s="2"/>
      <c r="O1568" s="2"/>
      <c r="P1568" s="2"/>
      <c r="Q1568" s="2"/>
    </row>
    <row r="1569" spans="1:17" x14ac:dyDescent="0.3">
      <c r="A1569" s="2">
        <v>8266</v>
      </c>
      <c r="B1569" s="2" t="s">
        <v>3949</v>
      </c>
      <c r="C1569" s="2" t="s">
        <v>6846</v>
      </c>
      <c r="D1569" s="2" t="s">
        <v>6051</v>
      </c>
      <c r="E1569" s="2" t="s">
        <v>6847</v>
      </c>
      <c r="F1569" s="2" t="s">
        <v>2</v>
      </c>
      <c r="G1569" s="2" t="s">
        <v>5349</v>
      </c>
      <c r="H1569" s="2" t="s">
        <v>431</v>
      </c>
      <c r="I1569" s="2" t="s">
        <v>4811</v>
      </c>
      <c r="J1569" s="2" t="s">
        <v>4696</v>
      </c>
      <c r="K1569" s="2" t="s">
        <v>4696</v>
      </c>
      <c r="L1569" s="2" t="s">
        <v>4696</v>
      </c>
      <c r="M1569" s="2" t="s">
        <v>2</v>
      </c>
      <c r="N1569" s="2"/>
      <c r="O1569" s="2"/>
      <c r="P1569" s="2"/>
      <c r="Q1569" s="2"/>
    </row>
    <row r="1570" spans="1:17" x14ac:dyDescent="0.3">
      <c r="A1570" s="2">
        <v>8277</v>
      </c>
      <c r="B1570" s="2" t="s">
        <v>3950</v>
      </c>
      <c r="C1570" s="2" t="s">
        <v>3951</v>
      </c>
      <c r="D1570" s="2" t="s">
        <v>6002</v>
      </c>
      <c r="E1570" s="2" t="s">
        <v>6848</v>
      </c>
      <c r="F1570" s="2" t="s">
        <v>41</v>
      </c>
      <c r="G1570" s="2" t="s">
        <v>5350</v>
      </c>
      <c r="H1570" s="2" t="s">
        <v>431</v>
      </c>
      <c r="I1570" s="2" t="s">
        <v>14</v>
      </c>
      <c r="J1570" s="2" t="s">
        <v>4696</v>
      </c>
      <c r="K1570" s="2" t="s">
        <v>4696</v>
      </c>
      <c r="L1570" s="2" t="s">
        <v>4696</v>
      </c>
      <c r="M1570" s="2" t="s">
        <v>2</v>
      </c>
      <c r="N1570" s="2"/>
      <c r="O1570" s="2"/>
      <c r="P1570" s="2"/>
      <c r="Q1570" s="2"/>
    </row>
    <row r="1571" spans="1:17" x14ac:dyDescent="0.3">
      <c r="A1571" s="2">
        <v>8287</v>
      </c>
      <c r="B1571" s="2" t="s">
        <v>3952</v>
      </c>
      <c r="C1571" s="2" t="s">
        <v>6849</v>
      </c>
      <c r="D1571" s="2" t="s">
        <v>6021</v>
      </c>
      <c r="E1571" s="2" t="s">
        <v>3953</v>
      </c>
      <c r="F1571" s="2" t="s">
        <v>41</v>
      </c>
      <c r="G1571" s="2" t="s">
        <v>5351</v>
      </c>
      <c r="H1571" s="2" t="s">
        <v>1291</v>
      </c>
      <c r="I1571" s="2" t="s">
        <v>4700</v>
      </c>
      <c r="J1571" s="2" t="s">
        <v>4696</v>
      </c>
      <c r="K1571" s="2" t="s">
        <v>4696</v>
      </c>
      <c r="L1571" s="2" t="s">
        <v>4696</v>
      </c>
      <c r="M1571" s="2" t="s">
        <v>4696</v>
      </c>
      <c r="N1571" s="2"/>
      <c r="O1571" s="2"/>
      <c r="P1571" s="2"/>
      <c r="Q1571" s="2"/>
    </row>
    <row r="1572" spans="1:17" x14ac:dyDescent="0.3">
      <c r="A1572" s="2">
        <v>8289</v>
      </c>
      <c r="B1572" s="2" t="s">
        <v>3954</v>
      </c>
      <c r="C1572" s="2" t="s">
        <v>3955</v>
      </c>
      <c r="D1572" s="2" t="s">
        <v>6001</v>
      </c>
      <c r="E1572" s="2" t="s">
        <v>3956</v>
      </c>
      <c r="F1572" s="2" t="s">
        <v>2</v>
      </c>
      <c r="G1572" s="2" t="s">
        <v>5352</v>
      </c>
      <c r="H1572" s="2" t="s">
        <v>404</v>
      </c>
      <c r="I1572" s="2" t="s">
        <v>5353</v>
      </c>
      <c r="J1572" s="2" t="s">
        <v>4696</v>
      </c>
      <c r="K1572" s="2" t="s">
        <v>4696</v>
      </c>
      <c r="L1572" s="2" t="s">
        <v>4696</v>
      </c>
      <c r="M1572" s="2" t="s">
        <v>2</v>
      </c>
      <c r="N1572" s="2"/>
      <c r="O1572" s="2"/>
      <c r="P1572" s="2"/>
      <c r="Q1572" s="2"/>
    </row>
    <row r="1573" spans="1:17" x14ac:dyDescent="0.3">
      <c r="A1573" s="2">
        <v>8291</v>
      </c>
      <c r="B1573" s="2" t="s">
        <v>3957</v>
      </c>
      <c r="C1573" s="2" t="s">
        <v>3958</v>
      </c>
      <c r="D1573" s="2" t="s">
        <v>6850</v>
      </c>
      <c r="E1573" s="2" t="s">
        <v>3958</v>
      </c>
      <c r="F1573" s="2" t="s">
        <v>41</v>
      </c>
      <c r="G1573" s="2" t="s">
        <v>5354</v>
      </c>
      <c r="H1573" s="2" t="s">
        <v>1251</v>
      </c>
      <c r="I1573" s="2" t="s">
        <v>6480</v>
      </c>
      <c r="J1573" s="2" t="s">
        <v>4696</v>
      </c>
      <c r="K1573" s="2" t="s">
        <v>4696</v>
      </c>
      <c r="L1573" s="2" t="s">
        <v>4696</v>
      </c>
      <c r="M1573" s="2" t="s">
        <v>2</v>
      </c>
      <c r="N1573" s="2"/>
      <c r="O1573" s="2"/>
      <c r="P1573" s="2"/>
      <c r="Q1573" s="2"/>
    </row>
    <row r="1574" spans="1:17" x14ac:dyDescent="0.3">
      <c r="A1574" s="2">
        <v>8299</v>
      </c>
      <c r="B1574" s="2" t="s">
        <v>3959</v>
      </c>
      <c r="C1574" s="2" t="s">
        <v>3960</v>
      </c>
      <c r="D1574" s="2" t="s">
        <v>6002</v>
      </c>
      <c r="E1574" s="2" t="s">
        <v>6851</v>
      </c>
      <c r="F1574" s="2" t="s">
        <v>2</v>
      </c>
      <c r="G1574" s="2" t="s">
        <v>5355</v>
      </c>
      <c r="H1574" s="2" t="s">
        <v>1063</v>
      </c>
      <c r="I1574" s="2" t="s">
        <v>4749</v>
      </c>
      <c r="J1574" s="2" t="s">
        <v>4696</v>
      </c>
      <c r="K1574" s="2" t="s">
        <v>4696</v>
      </c>
      <c r="L1574" s="2" t="s">
        <v>4696</v>
      </c>
      <c r="M1574" s="2" t="s">
        <v>2</v>
      </c>
      <c r="N1574" s="2"/>
      <c r="O1574" s="2"/>
      <c r="P1574" s="2"/>
      <c r="Q1574" s="2"/>
    </row>
    <row r="1575" spans="1:17" x14ac:dyDescent="0.3">
      <c r="A1575" s="2">
        <v>8349</v>
      </c>
      <c r="B1575" s="2" t="s">
        <v>3961</v>
      </c>
      <c r="C1575" s="2" t="s">
        <v>3962</v>
      </c>
      <c r="D1575" s="2" t="s">
        <v>6001</v>
      </c>
      <c r="E1575" s="2" t="s">
        <v>3963</v>
      </c>
      <c r="F1575" s="2" t="s">
        <v>41</v>
      </c>
      <c r="G1575" s="2" t="s">
        <v>5356</v>
      </c>
      <c r="H1575" s="2" t="s">
        <v>404</v>
      </c>
      <c r="I1575" s="2" t="s">
        <v>4700</v>
      </c>
      <c r="J1575" s="2" t="s">
        <v>4696</v>
      </c>
      <c r="K1575" s="2" t="s">
        <v>4696</v>
      </c>
      <c r="L1575" s="2" t="s">
        <v>4696</v>
      </c>
      <c r="M1575" s="2" t="s">
        <v>2</v>
      </c>
      <c r="N1575" s="2"/>
      <c r="O1575" s="2"/>
      <c r="P1575" s="2"/>
      <c r="Q1575" s="2"/>
    </row>
    <row r="1576" spans="1:17" x14ac:dyDescent="0.3">
      <c r="A1576" s="2">
        <v>8354</v>
      </c>
      <c r="B1576" s="2" t="s">
        <v>3964</v>
      </c>
      <c r="C1576" s="2" t="s">
        <v>3965</v>
      </c>
      <c r="D1576" s="2" t="s">
        <v>6020</v>
      </c>
      <c r="E1576" s="2" t="s">
        <v>6852</v>
      </c>
      <c r="F1576" s="2" t="s">
        <v>2</v>
      </c>
      <c r="G1576" s="2" t="s">
        <v>5357</v>
      </c>
      <c r="H1576" s="2" t="s">
        <v>456</v>
      </c>
      <c r="I1576" s="2">
        <v>225048125</v>
      </c>
      <c r="J1576" s="2" t="s">
        <v>4696</v>
      </c>
      <c r="K1576" s="2" t="s">
        <v>4696</v>
      </c>
      <c r="L1576" s="2" t="s">
        <v>4696</v>
      </c>
      <c r="M1576" s="2" t="s">
        <v>4696</v>
      </c>
      <c r="N1576" s="2"/>
      <c r="O1576" s="2"/>
      <c r="P1576" s="2"/>
      <c r="Q1576" s="2"/>
    </row>
    <row r="1577" spans="1:17" x14ac:dyDescent="0.3">
      <c r="A1577" s="2">
        <v>8358</v>
      </c>
      <c r="B1577" s="2" t="s">
        <v>3966</v>
      </c>
      <c r="C1577" s="2" t="s">
        <v>6853</v>
      </c>
      <c r="D1577" s="2" t="s">
        <v>6024</v>
      </c>
      <c r="E1577" s="2" t="s">
        <v>3967</v>
      </c>
      <c r="F1577" s="2" t="s">
        <v>41</v>
      </c>
      <c r="G1577" s="2" t="s">
        <v>5358</v>
      </c>
      <c r="H1577" s="2" t="s">
        <v>1105</v>
      </c>
      <c r="I1577" s="2" t="s">
        <v>4727</v>
      </c>
      <c r="J1577" s="2" t="s">
        <v>4696</v>
      </c>
      <c r="K1577" s="2" t="s">
        <v>4696</v>
      </c>
      <c r="L1577" s="2" t="s">
        <v>4696</v>
      </c>
      <c r="M1577" s="2" t="s">
        <v>2</v>
      </c>
      <c r="N1577" s="2"/>
      <c r="O1577" s="2"/>
      <c r="P1577" s="2"/>
      <c r="Q1577" s="2"/>
    </row>
    <row r="1578" spans="1:17" x14ac:dyDescent="0.3">
      <c r="A1578" s="2">
        <v>8383</v>
      </c>
      <c r="B1578" s="2" t="s">
        <v>226</v>
      </c>
      <c r="C1578" s="2" t="s">
        <v>6854</v>
      </c>
      <c r="D1578" s="2" t="s">
        <v>6024</v>
      </c>
      <c r="E1578" s="2" t="s">
        <v>3968</v>
      </c>
      <c r="F1578" s="2" t="s">
        <v>2</v>
      </c>
      <c r="G1578" s="2" t="s">
        <v>5359</v>
      </c>
      <c r="H1578" s="2" t="s">
        <v>469</v>
      </c>
      <c r="I1578" s="2" t="s">
        <v>4704</v>
      </c>
      <c r="J1578" s="2" t="s">
        <v>4696</v>
      </c>
      <c r="K1578" s="2" t="s">
        <v>4696</v>
      </c>
      <c r="L1578" s="2" t="s">
        <v>4696</v>
      </c>
      <c r="M1578" s="2" t="s">
        <v>4696</v>
      </c>
      <c r="N1578" s="2"/>
      <c r="O1578" s="2"/>
      <c r="P1578" s="2"/>
      <c r="Q1578" s="2"/>
    </row>
    <row r="1579" spans="1:17" x14ac:dyDescent="0.3">
      <c r="A1579" s="2">
        <v>8390</v>
      </c>
      <c r="B1579" s="2" t="s">
        <v>3969</v>
      </c>
      <c r="C1579" s="2" t="s">
        <v>3970</v>
      </c>
      <c r="D1579" s="2" t="s">
        <v>6001</v>
      </c>
      <c r="E1579" s="2" t="s">
        <v>3971</v>
      </c>
      <c r="F1579" s="2" t="s">
        <v>41</v>
      </c>
      <c r="G1579" s="2" t="s">
        <v>5360</v>
      </c>
      <c r="H1579" s="2" t="s">
        <v>6006</v>
      </c>
      <c r="I1579" s="2" t="s">
        <v>4708</v>
      </c>
      <c r="J1579" s="2" t="s">
        <v>4696</v>
      </c>
      <c r="K1579" s="2" t="s">
        <v>4696</v>
      </c>
      <c r="L1579" s="2" t="s">
        <v>4696</v>
      </c>
      <c r="M1579" s="2" t="s">
        <v>4696</v>
      </c>
      <c r="N1579" s="2"/>
      <c r="O1579" s="2"/>
      <c r="P1579" s="2"/>
      <c r="Q1579" s="2"/>
    </row>
    <row r="1580" spans="1:17" x14ac:dyDescent="0.3">
      <c r="A1580" s="2">
        <v>8401</v>
      </c>
      <c r="B1580" s="2" t="s">
        <v>3972</v>
      </c>
      <c r="C1580" s="2" t="s">
        <v>3973</v>
      </c>
      <c r="D1580" s="2" t="s">
        <v>6051</v>
      </c>
      <c r="E1580" s="2" t="s">
        <v>3974</v>
      </c>
      <c r="F1580" s="2" t="s">
        <v>41</v>
      </c>
      <c r="G1580" s="2" t="s">
        <v>5361</v>
      </c>
      <c r="H1580" s="2" t="s">
        <v>640</v>
      </c>
      <c r="I1580" s="2" t="s">
        <v>6450</v>
      </c>
      <c r="J1580" s="2" t="s">
        <v>4696</v>
      </c>
      <c r="K1580" s="2" t="s">
        <v>4696</v>
      </c>
      <c r="L1580" s="2" t="s">
        <v>4696</v>
      </c>
      <c r="M1580" s="2" t="s">
        <v>2</v>
      </c>
      <c r="N1580" s="2"/>
      <c r="O1580" s="2"/>
      <c r="P1580" s="2"/>
      <c r="Q1580" s="2"/>
    </row>
    <row r="1581" spans="1:17" x14ac:dyDescent="0.3">
      <c r="A1581" s="2">
        <v>8403</v>
      </c>
      <c r="B1581" s="2" t="s">
        <v>3975</v>
      </c>
      <c r="C1581" s="2" t="s">
        <v>3976</v>
      </c>
      <c r="D1581" s="2" t="s">
        <v>6010</v>
      </c>
      <c r="E1581" s="2" t="s">
        <v>3977</v>
      </c>
      <c r="F1581" s="2" t="s">
        <v>41</v>
      </c>
      <c r="G1581" s="2" t="s">
        <v>5362</v>
      </c>
      <c r="H1581" s="2" t="s">
        <v>431</v>
      </c>
      <c r="I1581" s="2" t="s">
        <v>4728</v>
      </c>
      <c r="J1581" s="2" t="s">
        <v>4696</v>
      </c>
      <c r="K1581" s="2" t="s">
        <v>4696</v>
      </c>
      <c r="L1581" s="2" t="s">
        <v>4696</v>
      </c>
      <c r="M1581" s="2" t="s">
        <v>4696</v>
      </c>
      <c r="N1581" s="2"/>
      <c r="O1581" s="2"/>
      <c r="P1581" s="2"/>
      <c r="Q1581" s="2"/>
    </row>
    <row r="1582" spans="1:17" x14ac:dyDescent="0.3">
      <c r="A1582" s="2">
        <v>8406</v>
      </c>
      <c r="B1582" s="2" t="s">
        <v>3978</v>
      </c>
      <c r="C1582" s="2" t="s">
        <v>3979</v>
      </c>
      <c r="D1582" s="2" t="s">
        <v>6000</v>
      </c>
      <c r="E1582" s="2" t="s">
        <v>6855</v>
      </c>
      <c r="F1582" s="2" t="s">
        <v>2</v>
      </c>
      <c r="G1582" s="2" t="s">
        <v>5363</v>
      </c>
      <c r="H1582" s="2" t="s">
        <v>505</v>
      </c>
      <c r="I1582" s="2" t="s">
        <v>4707</v>
      </c>
      <c r="J1582" s="2" t="s">
        <v>4696</v>
      </c>
      <c r="K1582" s="2" t="s">
        <v>4696</v>
      </c>
      <c r="L1582" s="2" t="s">
        <v>4696</v>
      </c>
      <c r="M1582" s="2" t="s">
        <v>4696</v>
      </c>
      <c r="N1582" s="2"/>
      <c r="O1582" s="2"/>
      <c r="P1582" s="2"/>
      <c r="Q1582" s="2"/>
    </row>
    <row r="1583" spans="1:17" x14ac:dyDescent="0.3">
      <c r="A1583" s="2">
        <v>8409</v>
      </c>
      <c r="B1583" s="2" t="s">
        <v>3980</v>
      </c>
      <c r="C1583" s="2" t="s">
        <v>3981</v>
      </c>
      <c r="D1583" s="2" t="s">
        <v>6004</v>
      </c>
      <c r="E1583" s="2" t="s">
        <v>3982</v>
      </c>
      <c r="F1583" s="2" t="s">
        <v>41</v>
      </c>
      <c r="G1583" s="2" t="s">
        <v>5364</v>
      </c>
      <c r="H1583" s="2" t="s">
        <v>574</v>
      </c>
      <c r="I1583" s="2" t="s">
        <v>4732</v>
      </c>
      <c r="J1583" s="2" t="s">
        <v>4696</v>
      </c>
      <c r="K1583" s="2" t="s">
        <v>4696</v>
      </c>
      <c r="L1583" s="2" t="s">
        <v>4696</v>
      </c>
      <c r="M1583" s="2" t="s">
        <v>4696</v>
      </c>
      <c r="N1583" s="2"/>
      <c r="O1583" s="2"/>
      <c r="P1583" s="2"/>
      <c r="Q1583" s="2"/>
    </row>
    <row r="1584" spans="1:17" x14ac:dyDescent="0.3">
      <c r="A1584" s="2">
        <v>8410</v>
      </c>
      <c r="B1584" s="2" t="s">
        <v>3983</v>
      </c>
      <c r="C1584" s="2" t="s">
        <v>3984</v>
      </c>
      <c r="D1584" s="2" t="s">
        <v>6010</v>
      </c>
      <c r="E1584" s="2" t="s">
        <v>3985</v>
      </c>
      <c r="F1584" s="2" t="s">
        <v>2</v>
      </c>
      <c r="G1584" s="2" t="s">
        <v>5365</v>
      </c>
      <c r="H1584" s="2" t="s">
        <v>404</v>
      </c>
      <c r="I1584" s="2" t="s">
        <v>1</v>
      </c>
      <c r="J1584" s="2" t="s">
        <v>6490</v>
      </c>
      <c r="K1584" s="2" t="s">
        <v>4690</v>
      </c>
      <c r="L1584" s="2" t="s">
        <v>4691</v>
      </c>
      <c r="M1584" s="2" t="s">
        <v>4696</v>
      </c>
      <c r="N1584" s="2"/>
      <c r="O1584" s="2"/>
      <c r="P1584" s="2"/>
      <c r="Q1584" s="2"/>
    </row>
    <row r="1585" spans="1:17" x14ac:dyDescent="0.3">
      <c r="A1585" s="2">
        <v>8416</v>
      </c>
      <c r="B1585" s="2" t="s">
        <v>3986</v>
      </c>
      <c r="C1585" s="2" t="s">
        <v>3987</v>
      </c>
      <c r="D1585" s="2" t="s">
        <v>6051</v>
      </c>
      <c r="E1585" s="2" t="s">
        <v>6856</v>
      </c>
      <c r="F1585" s="2" t="s">
        <v>2</v>
      </c>
      <c r="G1585" s="2" t="s">
        <v>5366</v>
      </c>
      <c r="H1585" s="2" t="s">
        <v>431</v>
      </c>
      <c r="I1585" s="2" t="s">
        <v>4728</v>
      </c>
      <c r="J1585" s="2" t="s">
        <v>4696</v>
      </c>
      <c r="K1585" s="2" t="s">
        <v>4696</v>
      </c>
      <c r="L1585" s="2" t="s">
        <v>4696</v>
      </c>
      <c r="M1585" s="2" t="s">
        <v>2</v>
      </c>
      <c r="N1585" s="2"/>
      <c r="O1585" s="2"/>
      <c r="P1585" s="2"/>
      <c r="Q1585" s="2"/>
    </row>
    <row r="1586" spans="1:17" x14ac:dyDescent="0.3">
      <c r="A1586" s="2">
        <v>8418</v>
      </c>
      <c r="B1586" s="2" t="s">
        <v>3988</v>
      </c>
      <c r="C1586" s="2" t="s">
        <v>6857</v>
      </c>
      <c r="D1586" s="2" t="s">
        <v>6021</v>
      </c>
      <c r="E1586" s="2" t="s">
        <v>6858</v>
      </c>
      <c r="F1586" s="2" t="s">
        <v>41</v>
      </c>
      <c r="G1586" s="2" t="s">
        <v>5367</v>
      </c>
      <c r="H1586" s="2" t="s">
        <v>671</v>
      </c>
      <c r="I1586" s="2" t="s">
        <v>4709</v>
      </c>
      <c r="J1586" s="2" t="s">
        <v>4696</v>
      </c>
      <c r="K1586" s="2" t="s">
        <v>4696</v>
      </c>
      <c r="L1586" s="2" t="s">
        <v>4696</v>
      </c>
      <c r="M1586" s="2" t="s">
        <v>2</v>
      </c>
      <c r="N1586" s="2"/>
      <c r="O1586" s="2"/>
      <c r="P1586" s="2"/>
      <c r="Q1586" s="2"/>
    </row>
    <row r="1587" spans="1:17" x14ac:dyDescent="0.3">
      <c r="A1587" s="2">
        <v>8420</v>
      </c>
      <c r="B1587" s="2" t="s">
        <v>3989</v>
      </c>
      <c r="C1587" s="2" t="s">
        <v>3990</v>
      </c>
      <c r="D1587" s="2" t="s">
        <v>6037</v>
      </c>
      <c r="E1587" s="2" t="s">
        <v>3991</v>
      </c>
      <c r="F1587" s="2" t="s">
        <v>2</v>
      </c>
      <c r="G1587" s="2" t="s">
        <v>5368</v>
      </c>
      <c r="H1587" s="2" t="s">
        <v>456</v>
      </c>
      <c r="I1587" s="2" t="s">
        <v>4723</v>
      </c>
      <c r="J1587" s="2" t="s">
        <v>4696</v>
      </c>
      <c r="K1587" s="2" t="s">
        <v>4696</v>
      </c>
      <c r="L1587" s="2" t="s">
        <v>4696</v>
      </c>
      <c r="M1587" s="2" t="s">
        <v>2</v>
      </c>
      <c r="N1587" s="2"/>
      <c r="O1587" s="2"/>
      <c r="P1587" s="2"/>
      <c r="Q1587" s="2"/>
    </row>
    <row r="1588" spans="1:17" x14ac:dyDescent="0.3">
      <c r="A1588" s="2">
        <v>8421</v>
      </c>
      <c r="B1588" s="2" t="s">
        <v>3992</v>
      </c>
      <c r="C1588" s="2" t="s">
        <v>3993</v>
      </c>
      <c r="D1588" s="2" t="s">
        <v>6024</v>
      </c>
      <c r="E1588" s="2" t="s">
        <v>6859</v>
      </c>
      <c r="F1588" s="2" t="s">
        <v>41</v>
      </c>
      <c r="G1588" s="2" t="s">
        <v>5369</v>
      </c>
      <c r="H1588" s="2" t="s">
        <v>896</v>
      </c>
      <c r="I1588" s="2" t="s">
        <v>4742</v>
      </c>
      <c r="J1588" s="2" t="s">
        <v>4696</v>
      </c>
      <c r="K1588" s="2" t="s">
        <v>4696</v>
      </c>
      <c r="L1588" s="2" t="s">
        <v>4696</v>
      </c>
      <c r="M1588" s="2" t="s">
        <v>2</v>
      </c>
      <c r="N1588" s="2"/>
      <c r="O1588" s="2"/>
      <c r="P1588" s="2"/>
      <c r="Q1588" s="2"/>
    </row>
    <row r="1589" spans="1:17" x14ac:dyDescent="0.3">
      <c r="A1589" s="2">
        <v>8423</v>
      </c>
      <c r="B1589" s="2" t="s">
        <v>3994</v>
      </c>
      <c r="C1589" s="2" t="s">
        <v>6860</v>
      </c>
      <c r="D1589" s="2" t="s">
        <v>6002</v>
      </c>
      <c r="E1589" s="2" t="s">
        <v>6861</v>
      </c>
      <c r="F1589" s="2" t="s">
        <v>2</v>
      </c>
      <c r="G1589" s="2" t="s">
        <v>5370</v>
      </c>
      <c r="H1589" s="2" t="s">
        <v>745</v>
      </c>
      <c r="I1589" s="2" t="s">
        <v>34</v>
      </c>
      <c r="J1589" s="2" t="s">
        <v>4696</v>
      </c>
      <c r="K1589" s="2" t="s">
        <v>4696</v>
      </c>
      <c r="L1589" s="2" t="s">
        <v>4696</v>
      </c>
      <c r="M1589" s="2" t="s">
        <v>4696</v>
      </c>
      <c r="N1589" s="2"/>
      <c r="O1589" s="2"/>
      <c r="P1589" s="2"/>
      <c r="Q1589" s="2"/>
    </row>
    <row r="1590" spans="1:17" x14ac:dyDescent="0.3">
      <c r="A1590" s="2">
        <v>8424</v>
      </c>
      <c r="B1590" s="2" t="s">
        <v>3995</v>
      </c>
      <c r="C1590" s="2" t="s">
        <v>3996</v>
      </c>
      <c r="D1590" s="2" t="s">
        <v>6034</v>
      </c>
      <c r="E1590" s="2" t="s">
        <v>3997</v>
      </c>
      <c r="F1590" s="2" t="s">
        <v>2</v>
      </c>
      <c r="G1590" s="2" t="s">
        <v>5371</v>
      </c>
      <c r="H1590" s="2" t="s">
        <v>431</v>
      </c>
      <c r="I1590" s="2" t="s">
        <v>4693</v>
      </c>
      <c r="J1590" s="2" t="s">
        <v>4696</v>
      </c>
      <c r="K1590" s="2" t="s">
        <v>4696</v>
      </c>
      <c r="L1590" s="2" t="s">
        <v>4696</v>
      </c>
      <c r="M1590" s="2" t="s">
        <v>2</v>
      </c>
      <c r="N1590" s="2"/>
      <c r="O1590" s="2"/>
      <c r="P1590" s="2"/>
      <c r="Q1590" s="2"/>
    </row>
    <row r="1591" spans="1:17" x14ac:dyDescent="0.3">
      <c r="A1591" s="2">
        <v>8426</v>
      </c>
      <c r="B1591" s="2" t="s">
        <v>3998</v>
      </c>
      <c r="C1591" s="2" t="s">
        <v>6862</v>
      </c>
      <c r="D1591" s="2" t="s">
        <v>6021</v>
      </c>
      <c r="E1591" s="2" t="s">
        <v>3999</v>
      </c>
      <c r="F1591" s="2" t="s">
        <v>41</v>
      </c>
      <c r="G1591" s="2" t="s">
        <v>5372</v>
      </c>
      <c r="H1591" s="2" t="s">
        <v>4000</v>
      </c>
      <c r="I1591" s="2" t="s">
        <v>4724</v>
      </c>
      <c r="J1591" s="2" t="s">
        <v>4696</v>
      </c>
      <c r="K1591" s="2" t="s">
        <v>4696</v>
      </c>
      <c r="L1591" s="2" t="s">
        <v>4696</v>
      </c>
      <c r="M1591" s="2" t="s">
        <v>2</v>
      </c>
      <c r="N1591" s="2"/>
      <c r="O1591" s="2"/>
      <c r="P1591" s="2"/>
      <c r="Q1591" s="2"/>
    </row>
    <row r="1592" spans="1:17" x14ac:dyDescent="0.3">
      <c r="A1592" s="2">
        <v>8431</v>
      </c>
      <c r="B1592" s="2" t="s">
        <v>4001</v>
      </c>
      <c r="C1592" s="2" t="s">
        <v>4002</v>
      </c>
      <c r="D1592" s="2" t="s">
        <v>6001</v>
      </c>
      <c r="E1592" s="2" t="s">
        <v>6863</v>
      </c>
      <c r="F1592" s="2" t="s">
        <v>2</v>
      </c>
      <c r="G1592" s="2" t="s">
        <v>5373</v>
      </c>
      <c r="H1592" s="2" t="s">
        <v>404</v>
      </c>
      <c r="I1592" s="2" t="s">
        <v>4700</v>
      </c>
      <c r="J1592" s="2" t="s">
        <v>4696</v>
      </c>
      <c r="K1592" s="2" t="s">
        <v>4696</v>
      </c>
      <c r="L1592" s="2" t="s">
        <v>4696</v>
      </c>
      <c r="M1592" s="2" t="s">
        <v>4696</v>
      </c>
      <c r="N1592" s="2"/>
      <c r="O1592" s="2"/>
      <c r="P1592" s="2"/>
      <c r="Q1592" s="2"/>
    </row>
    <row r="1593" spans="1:17" x14ac:dyDescent="0.3">
      <c r="A1593" s="2">
        <v>8432</v>
      </c>
      <c r="B1593" s="2" t="s">
        <v>4003</v>
      </c>
      <c r="C1593" s="2" t="s">
        <v>4004</v>
      </c>
      <c r="D1593" s="2" t="s">
        <v>6015</v>
      </c>
      <c r="E1593" s="2" t="s">
        <v>6864</v>
      </c>
      <c r="F1593" s="2" t="s">
        <v>2</v>
      </c>
      <c r="G1593" s="2" t="s">
        <v>5374</v>
      </c>
      <c r="H1593" s="2" t="s">
        <v>431</v>
      </c>
      <c r="I1593" s="2" t="s">
        <v>4728</v>
      </c>
      <c r="J1593" s="2" t="s">
        <v>4696</v>
      </c>
      <c r="K1593" s="2" t="s">
        <v>4696</v>
      </c>
      <c r="L1593" s="2" t="s">
        <v>4696</v>
      </c>
      <c r="M1593" s="2" t="s">
        <v>4696</v>
      </c>
      <c r="N1593" s="2"/>
      <c r="O1593" s="2"/>
      <c r="P1593" s="2"/>
      <c r="Q1593" s="2"/>
    </row>
    <row r="1594" spans="1:17" x14ac:dyDescent="0.3">
      <c r="A1594" s="2">
        <v>8433</v>
      </c>
      <c r="B1594" s="2" t="s">
        <v>4005</v>
      </c>
      <c r="C1594" s="2" t="s">
        <v>4006</v>
      </c>
      <c r="D1594" s="2" t="s">
        <v>6016</v>
      </c>
      <c r="E1594" s="2" t="s">
        <v>6865</v>
      </c>
      <c r="F1594" s="2" t="s">
        <v>2</v>
      </c>
      <c r="G1594" s="2" t="s">
        <v>5375</v>
      </c>
      <c r="H1594" s="2" t="s">
        <v>667</v>
      </c>
      <c r="I1594" s="2" t="s">
        <v>4720</v>
      </c>
      <c r="J1594" s="2" t="s">
        <v>4696</v>
      </c>
      <c r="K1594" s="2" t="s">
        <v>4696</v>
      </c>
      <c r="L1594" s="2" t="s">
        <v>4696</v>
      </c>
      <c r="M1594" s="2" t="s">
        <v>4696</v>
      </c>
      <c r="N1594" s="2"/>
      <c r="O1594" s="2"/>
      <c r="P1594" s="2"/>
      <c r="Q1594" s="2"/>
    </row>
    <row r="1595" spans="1:17" x14ac:dyDescent="0.3">
      <c r="A1595" s="2">
        <v>8435</v>
      </c>
      <c r="B1595" s="2" t="s">
        <v>4007</v>
      </c>
      <c r="C1595" s="2" t="s">
        <v>4008</v>
      </c>
      <c r="D1595" s="2" t="s">
        <v>6051</v>
      </c>
      <c r="E1595" s="2" t="s">
        <v>4009</v>
      </c>
      <c r="F1595" s="2" t="s">
        <v>2</v>
      </c>
      <c r="G1595" s="2" t="s">
        <v>5376</v>
      </c>
      <c r="H1595" s="2" t="s">
        <v>2897</v>
      </c>
      <c r="I1595" s="2" t="s">
        <v>4715</v>
      </c>
      <c r="J1595" s="2" t="s">
        <v>6557</v>
      </c>
      <c r="K1595" s="2" t="s">
        <v>4690</v>
      </c>
      <c r="L1595" s="2" t="s">
        <v>4691</v>
      </c>
      <c r="M1595" s="2" t="s">
        <v>4696</v>
      </c>
      <c r="N1595" s="2"/>
      <c r="O1595" s="2"/>
      <c r="P1595" s="2"/>
      <c r="Q1595" s="2"/>
    </row>
    <row r="1596" spans="1:17" x14ac:dyDescent="0.3">
      <c r="A1596" s="2">
        <v>8436</v>
      </c>
      <c r="B1596" s="2" t="s">
        <v>4010</v>
      </c>
      <c r="C1596" s="2" t="s">
        <v>4011</v>
      </c>
      <c r="D1596" s="2" t="s">
        <v>6031</v>
      </c>
      <c r="E1596" s="2" t="s">
        <v>6866</v>
      </c>
      <c r="F1596" s="2" t="s">
        <v>2</v>
      </c>
      <c r="G1596" s="2" t="s">
        <v>5377</v>
      </c>
      <c r="H1596" s="2" t="s">
        <v>644</v>
      </c>
      <c r="I1596" s="2" t="s">
        <v>4720</v>
      </c>
      <c r="J1596" s="2" t="s">
        <v>4696</v>
      </c>
      <c r="K1596" s="2" t="s">
        <v>4696</v>
      </c>
      <c r="L1596" s="2" t="s">
        <v>4696</v>
      </c>
      <c r="M1596" s="2" t="s">
        <v>4696</v>
      </c>
      <c r="N1596" s="2"/>
      <c r="O1596" s="2"/>
      <c r="P1596" s="2"/>
      <c r="Q1596" s="2"/>
    </row>
    <row r="1597" spans="1:17" x14ac:dyDescent="0.3">
      <c r="A1597" s="2">
        <v>8437</v>
      </c>
      <c r="B1597" s="2" t="s">
        <v>5890</v>
      </c>
      <c r="C1597" s="2" t="s">
        <v>6867</v>
      </c>
      <c r="D1597" s="2" t="s">
        <v>6051</v>
      </c>
      <c r="E1597" s="2" t="s">
        <v>6868</v>
      </c>
      <c r="F1597" s="2" t="s">
        <v>41</v>
      </c>
      <c r="G1597" s="2">
        <v>7562616948</v>
      </c>
      <c r="H1597" s="2" t="s">
        <v>1028</v>
      </c>
      <c r="I1597" s="2" t="s">
        <v>4695</v>
      </c>
      <c r="J1597" s="2" t="s">
        <v>4696</v>
      </c>
      <c r="K1597" s="2" t="s">
        <v>4696</v>
      </c>
      <c r="L1597" s="2" t="s">
        <v>4696</v>
      </c>
      <c r="M1597" s="2" t="s">
        <v>2</v>
      </c>
      <c r="N1597" s="2"/>
      <c r="O1597" s="2"/>
      <c r="P1597" s="2"/>
      <c r="Q1597" s="2"/>
    </row>
    <row r="1598" spans="1:17" x14ac:dyDescent="0.3">
      <c r="A1598" s="2">
        <v>8444</v>
      </c>
      <c r="B1598" s="2" t="s">
        <v>4669</v>
      </c>
      <c r="C1598" s="2" t="s">
        <v>6869</v>
      </c>
      <c r="D1598" s="2" t="s">
        <v>6028</v>
      </c>
      <c r="E1598" s="2" t="s">
        <v>4670</v>
      </c>
      <c r="F1598" s="2" t="s">
        <v>2</v>
      </c>
      <c r="G1598" s="2">
        <v>6674328955</v>
      </c>
      <c r="H1598" s="2" t="s">
        <v>456</v>
      </c>
      <c r="I1598" s="2" t="s">
        <v>4723</v>
      </c>
      <c r="J1598" s="2" t="s">
        <v>4696</v>
      </c>
      <c r="K1598" s="2" t="s">
        <v>4696</v>
      </c>
      <c r="L1598" s="2" t="s">
        <v>4696</v>
      </c>
      <c r="M1598" s="2" t="s">
        <v>4696</v>
      </c>
      <c r="N1598" s="2"/>
      <c r="O1598" s="2"/>
      <c r="P1598" s="2"/>
      <c r="Q1598" s="2"/>
    </row>
    <row r="1599" spans="1:17" x14ac:dyDescent="0.3">
      <c r="A1599" s="2">
        <v>8446</v>
      </c>
      <c r="B1599" s="2" t="s">
        <v>4012</v>
      </c>
      <c r="C1599" s="2" t="s">
        <v>4013</v>
      </c>
      <c r="D1599" s="2" t="s">
        <v>6016</v>
      </c>
      <c r="E1599" s="2" t="s">
        <v>4014</v>
      </c>
      <c r="F1599" s="2" t="s">
        <v>2</v>
      </c>
      <c r="G1599" s="2" t="s">
        <v>5378</v>
      </c>
      <c r="H1599" s="2" t="s">
        <v>541</v>
      </c>
      <c r="I1599" s="2" t="s">
        <v>4745</v>
      </c>
      <c r="J1599" s="2" t="s">
        <v>4696</v>
      </c>
      <c r="K1599" s="2" t="s">
        <v>4696</v>
      </c>
      <c r="L1599" s="2" t="s">
        <v>4696</v>
      </c>
      <c r="M1599" s="2" t="s">
        <v>2</v>
      </c>
      <c r="N1599" s="2"/>
      <c r="O1599" s="2"/>
      <c r="P1599" s="2"/>
      <c r="Q1599" s="2"/>
    </row>
    <row r="1600" spans="1:17" x14ac:dyDescent="0.3">
      <c r="A1600" s="2">
        <v>8450</v>
      </c>
      <c r="B1600" s="2" t="s">
        <v>4015</v>
      </c>
      <c r="C1600" s="2" t="s">
        <v>4016</v>
      </c>
      <c r="D1600" s="2" t="s">
        <v>6010</v>
      </c>
      <c r="E1600" s="2" t="s">
        <v>4017</v>
      </c>
      <c r="F1600" s="2" t="s">
        <v>41</v>
      </c>
      <c r="G1600" s="2" t="s">
        <v>5379</v>
      </c>
      <c r="H1600" s="2" t="s">
        <v>2021</v>
      </c>
      <c r="I1600" s="2" t="s">
        <v>4697</v>
      </c>
      <c r="J1600" s="2" t="s">
        <v>6490</v>
      </c>
      <c r="K1600" s="2" t="s">
        <v>4690</v>
      </c>
      <c r="L1600" s="2" t="s">
        <v>4691</v>
      </c>
      <c r="M1600" s="2" t="s">
        <v>4696</v>
      </c>
      <c r="N1600" s="2"/>
      <c r="O1600" s="2"/>
      <c r="P1600" s="2"/>
      <c r="Q1600" s="2"/>
    </row>
    <row r="1601" spans="1:17" x14ac:dyDescent="0.3">
      <c r="A1601" s="2">
        <v>8455</v>
      </c>
      <c r="B1601" s="2" t="s">
        <v>6870</v>
      </c>
      <c r="C1601" s="2" t="s">
        <v>6871</v>
      </c>
      <c r="D1601" s="2" t="s">
        <v>6051</v>
      </c>
      <c r="E1601" s="2" t="s">
        <v>6872</v>
      </c>
      <c r="F1601" s="2" t="s">
        <v>2</v>
      </c>
      <c r="G1601" s="2" t="s">
        <v>6873</v>
      </c>
      <c r="H1601" s="2" t="s">
        <v>806</v>
      </c>
      <c r="I1601" s="2" t="s">
        <v>5104</v>
      </c>
      <c r="J1601" s="2" t="s">
        <v>6557</v>
      </c>
      <c r="K1601" s="2" t="s">
        <v>4690</v>
      </c>
      <c r="L1601" s="2" t="s">
        <v>4691</v>
      </c>
      <c r="M1601" s="2" t="s">
        <v>4692</v>
      </c>
      <c r="N1601" s="2"/>
      <c r="O1601" s="2"/>
      <c r="P1601" s="2"/>
      <c r="Q1601" s="2"/>
    </row>
    <row r="1602" spans="1:17" x14ac:dyDescent="0.3">
      <c r="A1602" s="2">
        <v>8462</v>
      </c>
      <c r="B1602" s="2" t="s">
        <v>4673</v>
      </c>
      <c r="C1602" s="2" t="s">
        <v>4674</v>
      </c>
      <c r="D1602" s="2" t="s">
        <v>6031</v>
      </c>
      <c r="E1602" s="2" t="s">
        <v>4675</v>
      </c>
      <c r="F1602" s="2" t="s">
        <v>2</v>
      </c>
      <c r="G1602" s="2" t="s">
        <v>5436</v>
      </c>
      <c r="H1602" s="2" t="s">
        <v>465</v>
      </c>
      <c r="I1602" s="2" t="s">
        <v>4707</v>
      </c>
      <c r="J1602" s="2" t="s">
        <v>6874</v>
      </c>
      <c r="K1602" s="2" t="s">
        <v>4690</v>
      </c>
      <c r="L1602" s="2" t="s">
        <v>4691</v>
      </c>
      <c r="M1602" s="2" t="s">
        <v>4696</v>
      </c>
      <c r="N1602" s="2"/>
      <c r="O1602" s="2"/>
      <c r="P1602" s="2"/>
      <c r="Q1602" s="2"/>
    </row>
    <row r="1603" spans="1:17" x14ac:dyDescent="0.3">
      <c r="A1603" s="2">
        <v>8472</v>
      </c>
      <c r="B1603" s="2" t="s">
        <v>4679</v>
      </c>
      <c r="C1603" s="2" t="s">
        <v>4680</v>
      </c>
      <c r="D1603" s="2" t="s">
        <v>6024</v>
      </c>
      <c r="E1603" s="2" t="s">
        <v>4681</v>
      </c>
      <c r="F1603" s="2" t="s">
        <v>2</v>
      </c>
      <c r="G1603" s="2" t="s">
        <v>5437</v>
      </c>
      <c r="H1603" s="2" t="s">
        <v>1105</v>
      </c>
      <c r="I1603" s="2" t="s">
        <v>4727</v>
      </c>
      <c r="J1603" s="2" t="s">
        <v>6875</v>
      </c>
      <c r="K1603" s="2" t="s">
        <v>4690</v>
      </c>
      <c r="L1603" s="2" t="s">
        <v>4691</v>
      </c>
      <c r="M1603" s="2" t="s">
        <v>4692</v>
      </c>
      <c r="N1603" s="2"/>
      <c r="O1603" s="2"/>
      <c r="P1603" s="2"/>
      <c r="Q1603" s="2"/>
    </row>
    <row r="1604" spans="1:17" x14ac:dyDescent="0.3">
      <c r="A1604" s="2">
        <v>8905</v>
      </c>
      <c r="B1604" s="2" t="s">
        <v>4018</v>
      </c>
      <c r="C1604" s="2" t="s">
        <v>4019</v>
      </c>
      <c r="D1604" s="2" t="s">
        <v>6000</v>
      </c>
      <c r="E1604" s="2" t="s">
        <v>6876</v>
      </c>
      <c r="F1604" s="2" t="s">
        <v>2</v>
      </c>
      <c r="G1604" s="2" t="s">
        <v>5380</v>
      </c>
      <c r="H1604" s="2" t="s">
        <v>431</v>
      </c>
      <c r="I1604" s="2" t="s">
        <v>4702</v>
      </c>
      <c r="J1604" s="2" t="s">
        <v>4696</v>
      </c>
      <c r="K1604" s="2" t="s">
        <v>4696</v>
      </c>
      <c r="L1604" s="2" t="s">
        <v>4696</v>
      </c>
      <c r="M1604" s="2" t="s">
        <v>4696</v>
      </c>
      <c r="N1604" s="2"/>
      <c r="O1604" s="2"/>
      <c r="P1604" s="2"/>
      <c r="Q1604" s="2"/>
    </row>
    <row r="1605" spans="1:17" x14ac:dyDescent="0.3">
      <c r="A1605" s="2">
        <v>8906</v>
      </c>
      <c r="B1605" s="2" t="s">
        <v>4020</v>
      </c>
      <c r="C1605" s="2" t="s">
        <v>4021</v>
      </c>
      <c r="D1605" s="2" t="s">
        <v>6042</v>
      </c>
      <c r="E1605" s="2" t="s">
        <v>6877</v>
      </c>
      <c r="F1605" s="2" t="s">
        <v>2</v>
      </c>
      <c r="G1605" s="2" t="s">
        <v>5381</v>
      </c>
      <c r="H1605" s="2" t="s">
        <v>465</v>
      </c>
      <c r="I1605" s="2" t="s">
        <v>4695</v>
      </c>
      <c r="J1605" s="2" t="s">
        <v>4696</v>
      </c>
      <c r="K1605" s="2" t="s">
        <v>4696</v>
      </c>
      <c r="L1605" s="2" t="s">
        <v>4696</v>
      </c>
      <c r="M1605" s="2" t="s">
        <v>4696</v>
      </c>
      <c r="N1605" s="2"/>
      <c r="O1605" s="2"/>
      <c r="P1605" s="2"/>
      <c r="Q1605" s="2"/>
    </row>
    <row r="1606" spans="1:17" x14ac:dyDescent="0.3">
      <c r="A1606" s="2">
        <v>8908</v>
      </c>
      <c r="B1606" s="2" t="s">
        <v>4022</v>
      </c>
      <c r="C1606" s="2" t="s">
        <v>4023</v>
      </c>
      <c r="D1606" s="2" t="s">
        <v>6031</v>
      </c>
      <c r="E1606" s="2" t="s">
        <v>6878</v>
      </c>
      <c r="F1606" s="2" t="s">
        <v>2</v>
      </c>
      <c r="G1606" s="2" t="s">
        <v>5382</v>
      </c>
      <c r="H1606" s="2" t="s">
        <v>582</v>
      </c>
      <c r="I1606" s="2" t="s">
        <v>25</v>
      </c>
      <c r="J1606" s="2" t="s">
        <v>4696</v>
      </c>
      <c r="K1606" s="2" t="s">
        <v>4696</v>
      </c>
      <c r="L1606" s="2" t="s">
        <v>4696</v>
      </c>
      <c r="M1606" s="2" t="s">
        <v>2</v>
      </c>
      <c r="N1606" s="2"/>
      <c r="O1606" s="2"/>
      <c r="P1606" s="2"/>
      <c r="Q1606" s="2"/>
    </row>
    <row r="1607" spans="1:17" x14ac:dyDescent="0.3">
      <c r="A1607" s="2">
        <v>8913</v>
      </c>
      <c r="B1607" s="2" t="s">
        <v>4024</v>
      </c>
      <c r="C1607" s="2" t="s">
        <v>4025</v>
      </c>
      <c r="D1607" s="2" t="s">
        <v>6034</v>
      </c>
      <c r="E1607" s="2" t="s">
        <v>6879</v>
      </c>
      <c r="F1607" s="2" t="s">
        <v>41</v>
      </c>
      <c r="G1607" s="2" t="s">
        <v>5383</v>
      </c>
      <c r="H1607" s="2" t="s">
        <v>1063</v>
      </c>
      <c r="I1607" s="2" t="s">
        <v>4768</v>
      </c>
      <c r="J1607" s="2" t="s">
        <v>4696</v>
      </c>
      <c r="K1607" s="2" t="s">
        <v>4696</v>
      </c>
      <c r="L1607" s="2" t="s">
        <v>4696</v>
      </c>
      <c r="M1607" s="2" t="s">
        <v>2</v>
      </c>
      <c r="N1607" s="2"/>
      <c r="O1607" s="2"/>
      <c r="P1607" s="2"/>
      <c r="Q1607" s="2"/>
    </row>
    <row r="1608" spans="1:17" x14ac:dyDescent="0.3">
      <c r="A1608" s="2">
        <v>8916</v>
      </c>
      <c r="B1608" s="2" t="s">
        <v>4026</v>
      </c>
      <c r="C1608" s="2" t="s">
        <v>4027</v>
      </c>
      <c r="D1608" s="2" t="s">
        <v>6000</v>
      </c>
      <c r="E1608" s="2" t="s">
        <v>6880</v>
      </c>
      <c r="F1608" s="2" t="s">
        <v>41</v>
      </c>
      <c r="G1608" s="2" t="s">
        <v>5384</v>
      </c>
      <c r="H1608" s="2" t="s">
        <v>431</v>
      </c>
      <c r="I1608" s="2" t="s">
        <v>4811</v>
      </c>
      <c r="J1608" s="2" t="s">
        <v>4696</v>
      </c>
      <c r="K1608" s="2" t="s">
        <v>4696</v>
      </c>
      <c r="L1608" s="2" t="s">
        <v>4696</v>
      </c>
      <c r="M1608" s="2" t="s">
        <v>4696</v>
      </c>
      <c r="N1608" s="2"/>
      <c r="O1608" s="2"/>
      <c r="P1608" s="2"/>
      <c r="Q1608" s="2"/>
    </row>
    <row r="1609" spans="1:17" x14ac:dyDescent="0.3">
      <c r="A1609" s="2">
        <v>8917</v>
      </c>
      <c r="B1609" s="2" t="s">
        <v>4028</v>
      </c>
      <c r="C1609" s="2" t="s">
        <v>4029</v>
      </c>
      <c r="D1609" s="2" t="s">
        <v>6001</v>
      </c>
      <c r="E1609" s="2" t="s">
        <v>4030</v>
      </c>
      <c r="F1609" s="2" t="s">
        <v>41</v>
      </c>
      <c r="G1609" s="2" t="s">
        <v>5385</v>
      </c>
      <c r="H1609" s="2" t="s">
        <v>6006</v>
      </c>
      <c r="I1609" s="2" t="s">
        <v>25</v>
      </c>
      <c r="J1609" s="2" t="s">
        <v>4696</v>
      </c>
      <c r="K1609" s="2" t="s">
        <v>4696</v>
      </c>
      <c r="L1609" s="2" t="s">
        <v>4696</v>
      </c>
      <c r="M1609" s="2" t="s">
        <v>4696</v>
      </c>
      <c r="N1609" s="2"/>
      <c r="O1609" s="2"/>
      <c r="P1609" s="2"/>
      <c r="Q1609" s="2"/>
    </row>
    <row r="1610" spans="1:17" x14ac:dyDescent="0.3">
      <c r="A1610" s="2">
        <v>8921</v>
      </c>
      <c r="B1610" s="2" t="s">
        <v>4031</v>
      </c>
      <c r="C1610" s="2" t="s">
        <v>4032</v>
      </c>
      <c r="D1610" s="2" t="s">
        <v>6042</v>
      </c>
      <c r="E1610" s="2" t="s">
        <v>4033</v>
      </c>
      <c r="F1610" s="2" t="s">
        <v>2</v>
      </c>
      <c r="G1610" s="2" t="s">
        <v>5386</v>
      </c>
      <c r="H1610" s="2" t="s">
        <v>465</v>
      </c>
      <c r="I1610" s="2" t="s">
        <v>4712</v>
      </c>
      <c r="J1610" s="2" t="s">
        <v>4696</v>
      </c>
      <c r="K1610" s="2" t="s">
        <v>4696</v>
      </c>
      <c r="L1610" s="2" t="s">
        <v>4696</v>
      </c>
      <c r="M1610" s="2" t="s">
        <v>4696</v>
      </c>
      <c r="N1610" s="2"/>
      <c r="O1610" s="2"/>
      <c r="P1610" s="2"/>
      <c r="Q1610" s="2"/>
    </row>
    <row r="1611" spans="1:17" x14ac:dyDescent="0.3">
      <c r="A1611" s="2">
        <v>8923</v>
      </c>
      <c r="B1611" s="2" t="s">
        <v>4034</v>
      </c>
      <c r="C1611" s="2" t="s">
        <v>4035</v>
      </c>
      <c r="D1611" s="2" t="s">
        <v>6024</v>
      </c>
      <c r="E1611" s="2" t="s">
        <v>4036</v>
      </c>
      <c r="F1611" s="2" t="s">
        <v>2</v>
      </c>
      <c r="G1611" s="2" t="s">
        <v>5387</v>
      </c>
      <c r="H1611" s="2" t="s">
        <v>667</v>
      </c>
      <c r="I1611" s="2" t="s">
        <v>51</v>
      </c>
      <c r="J1611" s="2" t="s">
        <v>4696</v>
      </c>
      <c r="K1611" s="2" t="s">
        <v>4696</v>
      </c>
      <c r="L1611" s="2" t="s">
        <v>4696</v>
      </c>
      <c r="M1611" s="2" t="s">
        <v>2</v>
      </c>
      <c r="N1611" s="2"/>
      <c r="O1611" s="2"/>
      <c r="P1611" s="2"/>
      <c r="Q1611" s="2"/>
    </row>
    <row r="1612" spans="1:17" x14ac:dyDescent="0.3">
      <c r="A1612" s="2">
        <v>8924</v>
      </c>
      <c r="B1612" s="2" t="s">
        <v>4037</v>
      </c>
      <c r="C1612" s="2" t="s">
        <v>4038</v>
      </c>
      <c r="D1612" s="2" t="s">
        <v>6015</v>
      </c>
      <c r="E1612" s="2" t="s">
        <v>6881</v>
      </c>
      <c r="F1612" s="2" t="s">
        <v>41</v>
      </c>
      <c r="G1612" s="2" t="s">
        <v>5388</v>
      </c>
      <c r="H1612" s="2" t="s">
        <v>451</v>
      </c>
      <c r="I1612" s="2" t="s">
        <v>4694</v>
      </c>
      <c r="J1612" s="2" t="s">
        <v>4696</v>
      </c>
      <c r="K1612" s="2" t="s">
        <v>4696</v>
      </c>
      <c r="L1612" s="2" t="s">
        <v>4696</v>
      </c>
      <c r="M1612" s="2" t="s">
        <v>4696</v>
      </c>
      <c r="N1612" s="2"/>
      <c r="O1612" s="2"/>
      <c r="P1612" s="2"/>
      <c r="Q1612" s="2"/>
    </row>
    <row r="1613" spans="1:17" x14ac:dyDescent="0.3">
      <c r="A1613" s="2">
        <v>8925</v>
      </c>
      <c r="B1613" s="2" t="s">
        <v>35</v>
      </c>
      <c r="C1613" s="2" t="s">
        <v>4039</v>
      </c>
      <c r="D1613" s="2" t="s">
        <v>6014</v>
      </c>
      <c r="E1613" s="2" t="s">
        <v>6882</v>
      </c>
      <c r="F1613" s="2" t="s">
        <v>41</v>
      </c>
      <c r="G1613" s="2" t="s">
        <v>5389</v>
      </c>
      <c r="H1613" s="2" t="s">
        <v>465</v>
      </c>
      <c r="I1613" s="2" t="s">
        <v>4712</v>
      </c>
      <c r="J1613" s="2" t="s">
        <v>6765</v>
      </c>
      <c r="K1613" s="2" t="s">
        <v>4690</v>
      </c>
      <c r="L1613" s="2" t="s">
        <v>4691</v>
      </c>
      <c r="M1613" s="2" t="s">
        <v>4696</v>
      </c>
      <c r="N1613" s="2"/>
      <c r="O1613" s="2"/>
      <c r="P1613" s="2"/>
      <c r="Q1613" s="2"/>
    </row>
    <row r="1614" spans="1:17" x14ac:dyDescent="0.3">
      <c r="A1614" s="2">
        <v>8927</v>
      </c>
      <c r="B1614" s="2" t="s">
        <v>79</v>
      </c>
      <c r="C1614" s="2" t="s">
        <v>4040</v>
      </c>
      <c r="D1614" s="2" t="s">
        <v>6021</v>
      </c>
      <c r="E1614" s="2" t="s">
        <v>4041</v>
      </c>
      <c r="F1614" s="2" t="s">
        <v>41</v>
      </c>
      <c r="G1614" s="2" t="s">
        <v>5390</v>
      </c>
      <c r="H1614" s="2" t="s">
        <v>465</v>
      </c>
      <c r="I1614" s="2" t="s">
        <v>4712</v>
      </c>
      <c r="J1614" s="2" t="s">
        <v>4696</v>
      </c>
      <c r="K1614" s="2" t="s">
        <v>4696</v>
      </c>
      <c r="L1614" s="2" t="s">
        <v>4696</v>
      </c>
      <c r="M1614" s="2" t="s">
        <v>2</v>
      </c>
      <c r="N1614" s="2"/>
      <c r="O1614" s="2"/>
      <c r="P1614" s="2"/>
      <c r="Q1614" s="2"/>
    </row>
    <row r="1615" spans="1:17" x14ac:dyDescent="0.3">
      <c r="A1615" s="2">
        <v>8928</v>
      </c>
      <c r="B1615" s="2" t="s">
        <v>4042</v>
      </c>
      <c r="C1615" s="2" t="s">
        <v>4043</v>
      </c>
      <c r="D1615" s="2" t="s">
        <v>6034</v>
      </c>
      <c r="E1615" s="2" t="s">
        <v>4044</v>
      </c>
      <c r="F1615" s="2" t="s">
        <v>41</v>
      </c>
      <c r="G1615" s="2" t="s">
        <v>5391</v>
      </c>
      <c r="H1615" s="2" t="s">
        <v>2897</v>
      </c>
      <c r="I1615" s="2" t="s">
        <v>4715</v>
      </c>
      <c r="J1615" s="2" t="s">
        <v>4696</v>
      </c>
      <c r="K1615" s="2" t="s">
        <v>4696</v>
      </c>
      <c r="L1615" s="2" t="s">
        <v>4696</v>
      </c>
      <c r="M1615" s="2" t="s">
        <v>2</v>
      </c>
      <c r="N1615" s="2"/>
      <c r="O1615" s="2"/>
      <c r="P1615" s="2"/>
      <c r="Q1615" s="2"/>
    </row>
    <row r="1616" spans="1:17" x14ac:dyDescent="0.3">
      <c r="A1616" s="2">
        <v>8929</v>
      </c>
      <c r="B1616" s="2" t="s">
        <v>4045</v>
      </c>
      <c r="C1616" s="2" t="s">
        <v>4046</v>
      </c>
      <c r="D1616" s="2" t="s">
        <v>6015</v>
      </c>
      <c r="E1616" s="2" t="s">
        <v>4047</v>
      </c>
      <c r="F1616" s="2" t="s">
        <v>41</v>
      </c>
      <c r="G1616" s="2" t="s">
        <v>5392</v>
      </c>
      <c r="H1616" s="2" t="s">
        <v>4048</v>
      </c>
      <c r="I1616" s="2" t="s">
        <v>4744</v>
      </c>
      <c r="J1616" s="2" t="s">
        <v>4696</v>
      </c>
      <c r="K1616" s="2" t="s">
        <v>4696</v>
      </c>
      <c r="L1616" s="2" t="s">
        <v>4696</v>
      </c>
      <c r="M1616" s="2" t="s">
        <v>2</v>
      </c>
      <c r="N1616" s="2"/>
      <c r="O1616" s="2"/>
      <c r="P1616" s="2"/>
      <c r="Q1616" s="2"/>
    </row>
    <row r="1617" spans="1:17" x14ac:dyDescent="0.3">
      <c r="A1617" s="2">
        <v>8930</v>
      </c>
      <c r="B1617" s="2" t="s">
        <v>4049</v>
      </c>
      <c r="C1617" s="2" t="s">
        <v>4050</v>
      </c>
      <c r="D1617" s="2" t="s">
        <v>6016</v>
      </c>
      <c r="E1617" s="2" t="s">
        <v>4051</v>
      </c>
      <c r="F1617" s="2" t="s">
        <v>2</v>
      </c>
      <c r="G1617" s="2" t="s">
        <v>5393</v>
      </c>
      <c r="H1617" s="2" t="s">
        <v>640</v>
      </c>
      <c r="I1617" s="2" t="s">
        <v>6450</v>
      </c>
      <c r="J1617" s="2" t="s">
        <v>4696</v>
      </c>
      <c r="K1617" s="2" t="s">
        <v>4696</v>
      </c>
      <c r="L1617" s="2" t="s">
        <v>4696</v>
      </c>
      <c r="M1617" s="2" t="s">
        <v>4696</v>
      </c>
      <c r="N1617" s="2"/>
      <c r="O1617" s="2"/>
      <c r="P1617" s="2"/>
      <c r="Q1617" s="2"/>
    </row>
    <row r="1618" spans="1:17" x14ac:dyDescent="0.3">
      <c r="A1618" s="2">
        <v>8931</v>
      </c>
      <c r="B1618" s="2" t="s">
        <v>4052</v>
      </c>
      <c r="C1618" s="2" t="s">
        <v>6883</v>
      </c>
      <c r="D1618" s="2" t="s">
        <v>6015</v>
      </c>
      <c r="E1618" s="2" t="s">
        <v>6884</v>
      </c>
      <c r="F1618" s="2" t="s">
        <v>2</v>
      </c>
      <c r="G1618" s="2" t="s">
        <v>5394</v>
      </c>
      <c r="H1618" s="2" t="s">
        <v>667</v>
      </c>
      <c r="I1618" s="2" t="s">
        <v>4720</v>
      </c>
      <c r="J1618" s="2" t="s">
        <v>4696</v>
      </c>
      <c r="K1618" s="2" t="s">
        <v>4696</v>
      </c>
      <c r="L1618" s="2" t="s">
        <v>4696</v>
      </c>
      <c r="M1618" s="2" t="s">
        <v>2</v>
      </c>
      <c r="N1618" s="2"/>
      <c r="O1618" s="2"/>
      <c r="P1618" s="2"/>
      <c r="Q1618" s="2"/>
    </row>
    <row r="1619" spans="1:17" x14ac:dyDescent="0.3">
      <c r="A1619" s="2">
        <v>8932</v>
      </c>
      <c r="B1619" s="2" t="s">
        <v>4053</v>
      </c>
      <c r="C1619" s="2" t="s">
        <v>4054</v>
      </c>
      <c r="D1619" s="2" t="s">
        <v>6000</v>
      </c>
      <c r="E1619" s="2" t="s">
        <v>4055</v>
      </c>
      <c r="F1619" s="2" t="s">
        <v>2</v>
      </c>
      <c r="G1619" s="2" t="s">
        <v>5395</v>
      </c>
      <c r="H1619" s="2" t="s">
        <v>469</v>
      </c>
      <c r="I1619" s="2" t="s">
        <v>4755</v>
      </c>
      <c r="J1619" s="2" t="s">
        <v>4696</v>
      </c>
      <c r="K1619" s="2" t="s">
        <v>4696</v>
      </c>
      <c r="L1619" s="2" t="s">
        <v>4696</v>
      </c>
      <c r="M1619" s="2" t="s">
        <v>4696</v>
      </c>
      <c r="N1619" s="2"/>
      <c r="O1619" s="2"/>
      <c r="P1619" s="2"/>
      <c r="Q1619" s="2"/>
    </row>
    <row r="1620" spans="1:17" x14ac:dyDescent="0.3">
      <c r="A1620" s="2">
        <v>8933</v>
      </c>
      <c r="B1620" s="2" t="s">
        <v>171</v>
      </c>
      <c r="C1620" s="2" t="s">
        <v>4056</v>
      </c>
      <c r="D1620" s="2" t="s">
        <v>6016</v>
      </c>
      <c r="E1620" s="2" t="s">
        <v>4057</v>
      </c>
      <c r="F1620" s="2" t="s">
        <v>2</v>
      </c>
      <c r="G1620" s="2" t="s">
        <v>5396</v>
      </c>
      <c r="H1620" s="2" t="s">
        <v>4058</v>
      </c>
      <c r="I1620" s="2" t="s">
        <v>5397</v>
      </c>
      <c r="J1620" s="2" t="s">
        <v>4696</v>
      </c>
      <c r="K1620" s="2" t="s">
        <v>4696</v>
      </c>
      <c r="L1620" s="2" t="s">
        <v>4696</v>
      </c>
      <c r="M1620" s="2" t="s">
        <v>4696</v>
      </c>
      <c r="N1620" s="2"/>
      <c r="O1620" s="2"/>
      <c r="P1620" s="2"/>
      <c r="Q1620" s="2"/>
    </row>
    <row r="1621" spans="1:17" x14ac:dyDescent="0.3">
      <c r="A1621" s="2">
        <v>8934</v>
      </c>
      <c r="B1621" s="2" t="s">
        <v>4059</v>
      </c>
      <c r="C1621" s="2" t="s">
        <v>4060</v>
      </c>
      <c r="D1621" s="2" t="s">
        <v>5999</v>
      </c>
      <c r="E1621" s="2" t="s">
        <v>6885</v>
      </c>
      <c r="F1621" s="2" t="s">
        <v>2</v>
      </c>
      <c r="G1621" s="2" t="s">
        <v>5398</v>
      </c>
      <c r="H1621" s="2" t="s">
        <v>431</v>
      </c>
      <c r="I1621" s="2" t="s">
        <v>4693</v>
      </c>
      <c r="J1621" s="2" t="s">
        <v>4696</v>
      </c>
      <c r="K1621" s="2" t="s">
        <v>4696</v>
      </c>
      <c r="L1621" s="2" t="s">
        <v>4696</v>
      </c>
      <c r="M1621" s="2" t="s">
        <v>4696</v>
      </c>
      <c r="N1621" s="2"/>
      <c r="O1621" s="2"/>
      <c r="P1621" s="2"/>
      <c r="Q1621" s="2"/>
    </row>
    <row r="1622" spans="1:17" x14ac:dyDescent="0.3">
      <c r="A1622" s="2">
        <v>8935</v>
      </c>
      <c r="B1622" s="2" t="s">
        <v>44</v>
      </c>
      <c r="C1622" s="2" t="s">
        <v>4061</v>
      </c>
      <c r="D1622" s="2" t="s">
        <v>6141</v>
      </c>
      <c r="E1622" s="2" t="s">
        <v>4062</v>
      </c>
      <c r="F1622" s="2" t="s">
        <v>41</v>
      </c>
      <c r="G1622" s="2" t="s">
        <v>5399</v>
      </c>
      <c r="H1622" s="2" t="s">
        <v>431</v>
      </c>
      <c r="I1622" s="2" t="s">
        <v>4702</v>
      </c>
      <c r="J1622" s="2" t="s">
        <v>4696</v>
      </c>
      <c r="K1622" s="2" t="s">
        <v>4696</v>
      </c>
      <c r="L1622" s="2" t="s">
        <v>4696</v>
      </c>
      <c r="M1622" s="2" t="s">
        <v>2</v>
      </c>
      <c r="N1622" s="2"/>
      <c r="O1622" s="2"/>
      <c r="P1622" s="2"/>
      <c r="Q1622" s="2"/>
    </row>
    <row r="1623" spans="1:17" x14ac:dyDescent="0.3">
      <c r="A1623" s="2">
        <v>8936</v>
      </c>
      <c r="B1623" s="2" t="s">
        <v>4063</v>
      </c>
      <c r="C1623" s="2" t="s">
        <v>4064</v>
      </c>
      <c r="D1623" s="2" t="s">
        <v>6025</v>
      </c>
      <c r="E1623" s="2" t="s">
        <v>4065</v>
      </c>
      <c r="F1623" s="2" t="s">
        <v>41</v>
      </c>
      <c r="G1623" s="2" t="s">
        <v>5400</v>
      </c>
      <c r="H1623" s="2" t="s">
        <v>640</v>
      </c>
      <c r="I1623" s="2" t="s">
        <v>6454</v>
      </c>
      <c r="J1623" s="2" t="s">
        <v>6640</v>
      </c>
      <c r="K1623" s="2" t="s">
        <v>4690</v>
      </c>
      <c r="L1623" s="2" t="s">
        <v>4691</v>
      </c>
      <c r="M1623" s="2" t="s">
        <v>4692</v>
      </c>
      <c r="N1623" s="2"/>
      <c r="O1623" s="2"/>
      <c r="P1623" s="2"/>
      <c r="Q1623" s="2"/>
    </row>
    <row r="1624" spans="1:17" x14ac:dyDescent="0.3">
      <c r="A1624" s="2">
        <v>8937</v>
      </c>
      <c r="B1624" s="2" t="s">
        <v>4066</v>
      </c>
      <c r="C1624" s="2" t="s">
        <v>4067</v>
      </c>
      <c r="D1624" s="2" t="s">
        <v>6141</v>
      </c>
      <c r="E1624" s="2" t="s">
        <v>4068</v>
      </c>
      <c r="F1624" s="2" t="s">
        <v>2</v>
      </c>
      <c r="G1624" s="2" t="s">
        <v>5401</v>
      </c>
      <c r="H1624" s="2" t="s">
        <v>456</v>
      </c>
      <c r="I1624" s="2" t="s">
        <v>4723</v>
      </c>
      <c r="J1624" s="2" t="s">
        <v>4696</v>
      </c>
      <c r="K1624" s="2" t="s">
        <v>4696</v>
      </c>
      <c r="L1624" s="2" t="s">
        <v>4696</v>
      </c>
      <c r="M1624" s="2" t="s">
        <v>2</v>
      </c>
      <c r="N1624" s="2"/>
      <c r="O1624" s="2"/>
      <c r="P1624" s="2"/>
      <c r="Q1624" s="2"/>
    </row>
    <row r="1625" spans="1:17" x14ac:dyDescent="0.3">
      <c r="A1625" s="2">
        <v>8938</v>
      </c>
      <c r="B1625" s="2" t="s">
        <v>4069</v>
      </c>
      <c r="C1625" s="2" t="s">
        <v>4070</v>
      </c>
      <c r="D1625" s="2" t="s">
        <v>6037</v>
      </c>
      <c r="E1625" s="2" t="s">
        <v>6886</v>
      </c>
      <c r="F1625" s="2" t="s">
        <v>41</v>
      </c>
      <c r="G1625" s="2" t="s">
        <v>5402</v>
      </c>
      <c r="H1625" s="2" t="s">
        <v>415</v>
      </c>
      <c r="I1625" s="2" t="s">
        <v>4694</v>
      </c>
      <c r="J1625" s="2" t="s">
        <v>4696</v>
      </c>
      <c r="K1625" s="2" t="s">
        <v>4696</v>
      </c>
      <c r="L1625" s="2" t="s">
        <v>4696</v>
      </c>
      <c r="M1625" s="2" t="s">
        <v>2</v>
      </c>
      <c r="N1625" s="2"/>
      <c r="O1625" s="2"/>
      <c r="P1625" s="2"/>
      <c r="Q1625" s="2"/>
    </row>
    <row r="1626" spans="1:17" x14ac:dyDescent="0.3">
      <c r="A1626" s="2">
        <v>8941</v>
      </c>
      <c r="B1626" s="2" t="s">
        <v>4071</v>
      </c>
      <c r="C1626" s="2" t="s">
        <v>4072</v>
      </c>
      <c r="D1626" s="2" t="s">
        <v>6020</v>
      </c>
      <c r="E1626" s="2" t="s">
        <v>4072</v>
      </c>
      <c r="F1626" s="2" t="s">
        <v>2</v>
      </c>
      <c r="G1626" s="2" t="s">
        <v>5403</v>
      </c>
      <c r="H1626" s="2" t="s">
        <v>451</v>
      </c>
      <c r="I1626" s="2" t="s">
        <v>4703</v>
      </c>
      <c r="J1626" s="2" t="s">
        <v>4696</v>
      </c>
      <c r="K1626" s="2" t="s">
        <v>4696</v>
      </c>
      <c r="L1626" s="2" t="s">
        <v>4696</v>
      </c>
      <c r="M1626" s="2" t="s">
        <v>4696</v>
      </c>
      <c r="N1626" s="2"/>
      <c r="O1626" s="2"/>
      <c r="P1626" s="2"/>
      <c r="Q1626" s="2"/>
    </row>
    <row r="1627" spans="1:17" x14ac:dyDescent="0.3">
      <c r="A1627" s="2">
        <v>8942</v>
      </c>
      <c r="B1627" s="2" t="s">
        <v>4073</v>
      </c>
      <c r="C1627" s="2" t="s">
        <v>4074</v>
      </c>
      <c r="D1627" s="2" t="s">
        <v>6034</v>
      </c>
      <c r="E1627" s="2" t="s">
        <v>4075</v>
      </c>
      <c r="F1627" s="2" t="s">
        <v>2</v>
      </c>
      <c r="G1627" s="2" t="s">
        <v>5404</v>
      </c>
      <c r="H1627" s="2" t="s">
        <v>4076</v>
      </c>
      <c r="I1627" s="2" t="s">
        <v>4710</v>
      </c>
      <c r="J1627" s="2" t="s">
        <v>4696</v>
      </c>
      <c r="K1627" s="2" t="s">
        <v>4696</v>
      </c>
      <c r="L1627" s="2" t="s">
        <v>4696</v>
      </c>
      <c r="M1627" s="2" t="s">
        <v>2</v>
      </c>
      <c r="N1627" s="2"/>
      <c r="O1627" s="2"/>
      <c r="P1627" s="2"/>
      <c r="Q1627" s="2"/>
    </row>
    <row r="1628" spans="1:17" x14ac:dyDescent="0.3">
      <c r="A1628" s="2">
        <v>9949</v>
      </c>
      <c r="B1628" s="2" t="s">
        <v>4077</v>
      </c>
      <c r="C1628" s="2" t="s">
        <v>4078</v>
      </c>
      <c r="D1628" s="2" t="s">
        <v>6007</v>
      </c>
      <c r="E1628" s="2" t="s">
        <v>4079</v>
      </c>
      <c r="F1628" s="2" t="s">
        <v>2</v>
      </c>
      <c r="G1628" s="2" t="s">
        <v>5405</v>
      </c>
      <c r="H1628" s="2" t="s">
        <v>653</v>
      </c>
      <c r="I1628" s="2">
        <v>27686668</v>
      </c>
      <c r="J1628" s="2" t="s">
        <v>4696</v>
      </c>
      <c r="K1628" s="2" t="s">
        <v>4696</v>
      </c>
      <c r="L1628" s="2" t="s">
        <v>4696</v>
      </c>
      <c r="M1628" s="2" t="s">
        <v>4696</v>
      </c>
      <c r="N1628" s="2"/>
      <c r="O1628" s="2"/>
      <c r="P1628" s="2"/>
      <c r="Q1628" s="2"/>
    </row>
    <row r="1629" spans="1:17" x14ac:dyDescent="0.3">
      <c r="A1629" s="2">
        <v>9950</v>
      </c>
      <c r="B1629" s="2" t="s">
        <v>4080</v>
      </c>
      <c r="C1629" s="2" t="s">
        <v>4081</v>
      </c>
      <c r="D1629" s="2" t="s">
        <v>6021</v>
      </c>
      <c r="E1629" s="2" t="s">
        <v>4081</v>
      </c>
      <c r="F1629" s="2" t="s">
        <v>41</v>
      </c>
      <c r="G1629" s="2" t="s">
        <v>5406</v>
      </c>
      <c r="H1629" s="2" t="s">
        <v>556</v>
      </c>
      <c r="I1629" s="2" t="s">
        <v>6454</v>
      </c>
      <c r="J1629" s="2" t="s">
        <v>4696</v>
      </c>
      <c r="K1629" s="2" t="s">
        <v>4696</v>
      </c>
      <c r="L1629" s="2" t="s">
        <v>4696</v>
      </c>
      <c r="M1629" s="2" t="s">
        <v>2</v>
      </c>
      <c r="N1629" s="2"/>
      <c r="O1629" s="2"/>
      <c r="P1629" s="2"/>
      <c r="Q1629" s="2"/>
    </row>
    <row r="1630" spans="1:17" x14ac:dyDescent="0.3">
      <c r="A1630" s="2">
        <v>9951</v>
      </c>
      <c r="B1630" s="2" t="s">
        <v>4082</v>
      </c>
      <c r="C1630" s="2" t="s">
        <v>4083</v>
      </c>
      <c r="D1630" s="2" t="s">
        <v>6025</v>
      </c>
      <c r="E1630" s="2" t="s">
        <v>6887</v>
      </c>
      <c r="F1630" s="2" t="s">
        <v>2</v>
      </c>
      <c r="G1630" s="2" t="s">
        <v>5407</v>
      </c>
      <c r="H1630" s="2" t="s">
        <v>431</v>
      </c>
      <c r="I1630" s="2" t="s">
        <v>14</v>
      </c>
      <c r="J1630" s="2" t="s">
        <v>4696</v>
      </c>
      <c r="K1630" s="2" t="s">
        <v>4696</v>
      </c>
      <c r="L1630" s="2" t="s">
        <v>4696</v>
      </c>
      <c r="M1630" s="2" t="s">
        <v>2</v>
      </c>
      <c r="N1630" s="2"/>
      <c r="O1630" s="2"/>
      <c r="P1630" s="2"/>
      <c r="Q1630" s="2"/>
    </row>
    <row r="1631" spans="1:17" x14ac:dyDescent="0.3">
      <c r="A1631" s="2">
        <v>9960</v>
      </c>
      <c r="B1631" s="2" t="s">
        <v>303</v>
      </c>
      <c r="C1631" s="2" t="s">
        <v>4084</v>
      </c>
      <c r="D1631" s="2" t="s">
        <v>6024</v>
      </c>
      <c r="E1631" s="2" t="s">
        <v>4085</v>
      </c>
      <c r="F1631" s="2" t="s">
        <v>2</v>
      </c>
      <c r="G1631" s="2" t="s">
        <v>5408</v>
      </c>
      <c r="H1631" s="2" t="s">
        <v>675</v>
      </c>
      <c r="I1631" s="2" t="s">
        <v>4698</v>
      </c>
      <c r="J1631" s="2" t="s">
        <v>4696</v>
      </c>
      <c r="K1631" s="2" t="s">
        <v>4696</v>
      </c>
      <c r="L1631" s="2" t="s">
        <v>4696</v>
      </c>
      <c r="M1631" s="2" t="s">
        <v>2</v>
      </c>
      <c r="N1631" s="2"/>
      <c r="O1631" s="2"/>
      <c r="P1631" s="2"/>
      <c r="Q1631" s="2"/>
    </row>
    <row r="1632" spans="1:17" x14ac:dyDescent="0.3">
      <c r="A1632" s="2">
        <v>9962</v>
      </c>
      <c r="B1632" s="2" t="s">
        <v>4086</v>
      </c>
      <c r="C1632" s="2" t="s">
        <v>4087</v>
      </c>
      <c r="D1632" s="2" t="s">
        <v>6016</v>
      </c>
      <c r="E1632" s="2" t="s">
        <v>4088</v>
      </c>
      <c r="F1632" s="2" t="s">
        <v>2</v>
      </c>
      <c r="G1632" s="2" t="s">
        <v>5409</v>
      </c>
      <c r="H1632" s="2" t="s">
        <v>1251</v>
      </c>
      <c r="I1632" s="2" t="s">
        <v>6450</v>
      </c>
      <c r="J1632" s="2" t="s">
        <v>4696</v>
      </c>
      <c r="K1632" s="2" t="s">
        <v>4696</v>
      </c>
      <c r="L1632" s="2" t="s">
        <v>4696</v>
      </c>
      <c r="M1632" s="2" t="s">
        <v>2</v>
      </c>
      <c r="N1632" s="2"/>
      <c r="O1632" s="2"/>
      <c r="P1632" s="2"/>
      <c r="Q1632" s="2"/>
    </row>
    <row r="1633" spans="1:17" x14ac:dyDescent="0.3">
      <c r="A1633" s="2"/>
      <c r="B1633" s="2"/>
      <c r="C1633" s="2"/>
      <c r="D1633" s="2"/>
      <c r="E1633" s="2"/>
      <c r="F1633" s="2"/>
      <c r="G1633" s="2"/>
      <c r="H1633" s="2"/>
      <c r="I1633" s="2"/>
      <c r="J1633" s="2"/>
      <c r="K1633" s="2"/>
      <c r="L1633" s="2"/>
      <c r="M1633" s="2"/>
      <c r="N1633" s="2"/>
      <c r="O1633" s="2"/>
      <c r="P1633" s="2"/>
      <c r="Q1633" s="2"/>
    </row>
    <row r="1634" spans="1:17" x14ac:dyDescent="0.3">
      <c r="A1634" s="2" t="str">
        <f>"1260"</f>
        <v>1260</v>
      </c>
      <c r="B1634" s="2" t="s">
        <v>4089</v>
      </c>
      <c r="C1634" s="2" t="s">
        <v>4090</v>
      </c>
      <c r="D1634" s="2" t="s">
        <v>6014</v>
      </c>
      <c r="E1634" s="2" t="s">
        <v>4091</v>
      </c>
      <c r="F1634" s="2" t="s">
        <v>41</v>
      </c>
      <c r="G1634" s="2" t="str">
        <f>"(04)898-3226"</f>
        <v>(04)898-3226</v>
      </c>
      <c r="H1634" s="2" t="s">
        <v>640</v>
      </c>
      <c r="I1634" s="2" t="str">
        <f>"(02)2371-1658"</f>
        <v>(02)2371-1658</v>
      </c>
      <c r="J1634" s="2" t="str">
        <f>"--"</f>
        <v>--</v>
      </c>
      <c r="K1634" s="2" t="str">
        <f>"--"</f>
        <v>--</v>
      </c>
      <c r="L1634" s="2" t="str">
        <f>"--"</f>
        <v>--</v>
      </c>
      <c r="M1634" s="2" t="str">
        <f>"--"</f>
        <v>--</v>
      </c>
      <c r="N1634" s="2"/>
      <c r="O1634" s="2"/>
      <c r="P1634" s="2"/>
      <c r="Q1634" s="2"/>
    </row>
    <row r="1635" spans="1:17" x14ac:dyDescent="0.3">
      <c r="A1635" s="2" t="str">
        <f>"1268"</f>
        <v>1268</v>
      </c>
      <c r="B1635" s="2" t="s">
        <v>6888</v>
      </c>
      <c r="C1635" s="2" t="s">
        <v>6889</v>
      </c>
      <c r="D1635" s="2" t="s">
        <v>6051</v>
      </c>
      <c r="E1635" s="2" t="s">
        <v>6890</v>
      </c>
      <c r="F1635" s="2" t="s">
        <v>2</v>
      </c>
      <c r="G1635" s="2" t="str">
        <f>"(07)213-5788"</f>
        <v>(07)213-5788</v>
      </c>
      <c r="H1635" s="2" t="s">
        <v>640</v>
      </c>
      <c r="I1635" s="2" t="str">
        <f>"(02)2371-1658"</f>
        <v>(02)2371-1658</v>
      </c>
      <c r="J1635" s="2" t="str">
        <f t="shared" ref="J1635:L1639" si="125">"--"</f>
        <v>--</v>
      </c>
      <c r="K1635" s="2" t="str">
        <f t="shared" si="125"/>
        <v>--</v>
      </c>
      <c r="L1635" s="2" t="str">
        <f t="shared" si="125"/>
        <v>--</v>
      </c>
      <c r="M1635" s="2" t="str">
        <f>"否"</f>
        <v>否</v>
      </c>
      <c r="N1635" s="2"/>
      <c r="O1635" s="2"/>
      <c r="P1635" s="2"/>
      <c r="Q1635" s="2"/>
    </row>
    <row r="1636" spans="1:17" x14ac:dyDescent="0.3">
      <c r="A1636" s="2" t="str">
        <f>"1563"</f>
        <v>1563</v>
      </c>
      <c r="B1636" s="2" t="s">
        <v>4092</v>
      </c>
      <c r="C1636" s="2" t="s">
        <v>4093</v>
      </c>
      <c r="D1636" s="2" t="s">
        <v>6001</v>
      </c>
      <c r="E1636" s="2" t="s">
        <v>4094</v>
      </c>
      <c r="F1636" s="2" t="s">
        <v>2</v>
      </c>
      <c r="G1636" s="2" t="str">
        <f>"05-5512288"</f>
        <v>05-5512288</v>
      </c>
      <c r="H1636" s="2" t="s">
        <v>541</v>
      </c>
      <c r="I1636" s="2" t="str">
        <f>"02-33930898"</f>
        <v>02-33930898</v>
      </c>
      <c r="J1636" s="2" t="str">
        <f t="shared" si="125"/>
        <v>--</v>
      </c>
      <c r="K1636" s="2" t="str">
        <f t="shared" si="125"/>
        <v>--</v>
      </c>
      <c r="L1636" s="2" t="str">
        <f t="shared" si="125"/>
        <v>--</v>
      </c>
      <c r="M1636" s="2" t="str">
        <f>"--"</f>
        <v>--</v>
      </c>
      <c r="N1636" s="2"/>
      <c r="O1636" s="2"/>
      <c r="P1636" s="2"/>
      <c r="Q1636" s="2"/>
    </row>
    <row r="1637" spans="1:17" x14ac:dyDescent="0.3">
      <c r="A1637" s="2" t="str">
        <f>"1585"</f>
        <v>1585</v>
      </c>
      <c r="B1637" s="2" t="s">
        <v>4095</v>
      </c>
      <c r="C1637" s="2" t="s">
        <v>4096</v>
      </c>
      <c r="D1637" s="2" t="s">
        <v>6007</v>
      </c>
      <c r="E1637" s="2" t="s">
        <v>4097</v>
      </c>
      <c r="F1637" s="2" t="s">
        <v>2</v>
      </c>
      <c r="G1637" s="2" t="str">
        <f>"02-26685678"</f>
        <v>02-26685678</v>
      </c>
      <c r="H1637" s="2" t="s">
        <v>996</v>
      </c>
      <c r="I1637" s="2" t="str">
        <f>"02-33930898"</f>
        <v>02-33930898</v>
      </c>
      <c r="J1637" s="2" t="str">
        <f t="shared" si="125"/>
        <v>--</v>
      </c>
      <c r="K1637" s="2" t="str">
        <f t="shared" si="125"/>
        <v>--</v>
      </c>
      <c r="L1637" s="2" t="str">
        <f t="shared" si="125"/>
        <v>--</v>
      </c>
      <c r="M1637" s="2" t="str">
        <f>"否"</f>
        <v>否</v>
      </c>
      <c r="N1637" s="2"/>
      <c r="O1637" s="2"/>
      <c r="P1637" s="2"/>
      <c r="Q1637" s="2"/>
    </row>
    <row r="1638" spans="1:17" x14ac:dyDescent="0.3">
      <c r="A1638" s="2" t="str">
        <f>"1587"</f>
        <v>1587</v>
      </c>
      <c r="B1638" s="2" t="s">
        <v>4098</v>
      </c>
      <c r="C1638" s="2" t="s">
        <v>4099</v>
      </c>
      <c r="D1638" s="2" t="s">
        <v>6051</v>
      </c>
      <c r="E1638" s="2" t="s">
        <v>6891</v>
      </c>
      <c r="F1638" s="2" t="s">
        <v>41</v>
      </c>
      <c r="G1638" s="2" t="str">
        <f>"(04)896-7892"</f>
        <v>(04)896-7892</v>
      </c>
      <c r="H1638" s="2" t="s">
        <v>1063</v>
      </c>
      <c r="I1638" s="2" t="str">
        <f>"02-7719-8899"</f>
        <v>02-7719-8899</v>
      </c>
      <c r="J1638" s="2" t="str">
        <f t="shared" si="125"/>
        <v>--</v>
      </c>
      <c r="K1638" s="2" t="str">
        <f t="shared" si="125"/>
        <v>--</v>
      </c>
      <c r="L1638" s="2" t="str">
        <f t="shared" si="125"/>
        <v>--</v>
      </c>
      <c r="M1638" s="2" t="str">
        <f>"否"</f>
        <v>否</v>
      </c>
      <c r="N1638" s="2"/>
      <c r="O1638" s="2"/>
      <c r="P1638" s="2"/>
      <c r="Q1638" s="2"/>
    </row>
    <row r="1639" spans="1:17" x14ac:dyDescent="0.3">
      <c r="A1639" s="2" t="str">
        <f>"1594"</f>
        <v>1594</v>
      </c>
      <c r="B1639" s="2" t="s">
        <v>4100</v>
      </c>
      <c r="C1639" s="2" t="s">
        <v>4101</v>
      </c>
      <c r="D1639" s="2" t="s">
        <v>6025</v>
      </c>
      <c r="E1639" s="2" t="s">
        <v>4102</v>
      </c>
      <c r="F1639" s="2" t="s">
        <v>2</v>
      </c>
      <c r="G1639" s="2" t="str">
        <f>"07-2858631"</f>
        <v>07-2858631</v>
      </c>
      <c r="H1639" s="2" t="s">
        <v>478</v>
      </c>
      <c r="I1639" s="2" t="str">
        <f>"02-25936666"</f>
        <v>02-25936666</v>
      </c>
      <c r="J1639" s="2" t="str">
        <f t="shared" si="125"/>
        <v>--</v>
      </c>
      <c r="K1639" s="2" t="str">
        <f t="shared" si="125"/>
        <v>--</v>
      </c>
      <c r="L1639" s="2" t="str">
        <f t="shared" si="125"/>
        <v>--</v>
      </c>
      <c r="M1639" s="2" t="str">
        <f>"否"</f>
        <v>否</v>
      </c>
      <c r="N1639" s="2"/>
      <c r="O1639" s="2"/>
      <c r="P1639" s="2"/>
      <c r="Q1639" s="2"/>
    </row>
    <row r="1640" spans="1:17" x14ac:dyDescent="0.3">
      <c r="A1640" s="2" t="str">
        <f>"1598"</f>
        <v>1598</v>
      </c>
      <c r="B1640" s="2" t="s">
        <v>4103</v>
      </c>
      <c r="C1640" s="2" t="s">
        <v>4104</v>
      </c>
      <c r="D1640" s="2" t="s">
        <v>6014</v>
      </c>
      <c r="E1640" s="2" t="s">
        <v>4105</v>
      </c>
      <c r="F1640" s="2" t="s">
        <v>2</v>
      </c>
      <c r="G1640" s="2" t="str">
        <f>"(02)25152288"</f>
        <v>(02)25152288</v>
      </c>
      <c r="H1640" s="2" t="s">
        <v>404</v>
      </c>
      <c r="I1640" s="2" t="str">
        <f>"(02)66365566"</f>
        <v>(02)66365566</v>
      </c>
      <c r="J1640" s="2" t="str">
        <f>"自105年05月28日至105年06月26日止"</f>
        <v>自105年05月28日至105年06月26日止</v>
      </c>
      <c r="K1640" s="2" t="str">
        <f>"台灣集中保管結算所股份有限公司"</f>
        <v>台灣集中保管結算所股份有限公司</v>
      </c>
      <c r="L1640" s="2" t="str">
        <f>"http://www.stockvote.com.tw"</f>
        <v>http://www.stockvote.com.tw</v>
      </c>
      <c r="M1640" s="2" t="str">
        <f>"&lt;b&gt;&lt;font color='red'&gt;自願&lt;/font&gt;&lt;/b&gt;"</f>
        <v>&lt;b&gt;&lt;font color='red'&gt;自願&lt;/font&gt;&lt;/b&gt;</v>
      </c>
      <c r="N1640" s="2"/>
      <c r="O1640" s="2"/>
      <c r="P1640" s="2"/>
      <c r="Q1640" s="2"/>
    </row>
    <row r="1641" spans="1:17" x14ac:dyDescent="0.3">
      <c r="A1641" s="2" t="str">
        <f>"1760"</f>
        <v>1760</v>
      </c>
      <c r="B1641" s="2" t="s">
        <v>4106</v>
      </c>
      <c r="C1641" s="2" t="s">
        <v>4107</v>
      </c>
      <c r="D1641" s="2" t="s">
        <v>6051</v>
      </c>
      <c r="E1641" s="2" t="s">
        <v>4108</v>
      </c>
      <c r="F1641" s="2" t="s">
        <v>41</v>
      </c>
      <c r="G1641" s="2" t="str">
        <f>"02-26558218"</f>
        <v>02-26558218</v>
      </c>
      <c r="H1641" s="2" t="s">
        <v>444</v>
      </c>
      <c r="I1641" s="2" t="str">
        <f>"(02)2746- 379"</f>
        <v>(02)2746- 379</v>
      </c>
      <c r="J1641" s="2" t="str">
        <f>"--"</f>
        <v>--</v>
      </c>
      <c r="K1641" s="2" t="str">
        <f>"--"</f>
        <v>--</v>
      </c>
      <c r="L1641" s="2" t="str">
        <f>"--"</f>
        <v>--</v>
      </c>
      <c r="M1641" s="2" t="str">
        <f>"否"</f>
        <v>否</v>
      </c>
      <c r="N1641" s="2"/>
      <c r="O1641" s="2"/>
      <c r="P1641" s="2"/>
      <c r="Q1641" s="2"/>
    </row>
    <row r="1642" spans="1:17" x14ac:dyDescent="0.3">
      <c r="A1642" s="2" t="str">
        <f>"1776"</f>
        <v>1776</v>
      </c>
      <c r="B1642" s="2" t="s">
        <v>4109</v>
      </c>
      <c r="C1642" s="2" t="s">
        <v>6892</v>
      </c>
      <c r="D1642" s="2" t="s">
        <v>6034</v>
      </c>
      <c r="E1642" s="2" t="s">
        <v>6893</v>
      </c>
      <c r="F1642" s="2" t="s">
        <v>41</v>
      </c>
      <c r="G1642" s="2" t="str">
        <f>"03-5978899"</f>
        <v>03-5978899</v>
      </c>
      <c r="H1642" s="2" t="s">
        <v>996</v>
      </c>
      <c r="I1642" s="2" t="str">
        <f>"02-33930898"</f>
        <v>02-33930898</v>
      </c>
      <c r="J1642" s="2" t="str">
        <f>"自105年04月27日至105年05月24日止"</f>
        <v>自105年04月27日至105年05月24日止</v>
      </c>
      <c r="K1642" s="2" t="str">
        <f>"台灣集中保管結算所股份有限公司"</f>
        <v>台灣集中保管結算所股份有限公司</v>
      </c>
      <c r="L1642" s="2" t="str">
        <f>"http://www.stockvote.com.tw"</f>
        <v>http://www.stockvote.com.tw</v>
      </c>
      <c r="M1642" s="2" t="str">
        <f>"強制"</f>
        <v>強制</v>
      </c>
      <c r="N1642" s="2"/>
      <c r="O1642" s="2"/>
      <c r="P1642" s="2"/>
      <c r="Q1642" s="2"/>
    </row>
    <row r="1643" spans="1:17" x14ac:dyDescent="0.3">
      <c r="A1643" s="2" t="str">
        <f>"1780"</f>
        <v>1780</v>
      </c>
      <c r="B1643" s="2" t="s">
        <v>4110</v>
      </c>
      <c r="C1643" s="2" t="s">
        <v>4111</v>
      </c>
      <c r="D1643" s="2" t="s">
        <v>6194</v>
      </c>
      <c r="E1643" s="2" t="s">
        <v>6894</v>
      </c>
      <c r="F1643" s="2" t="s">
        <v>41</v>
      </c>
      <c r="G1643" s="2" t="str">
        <f>"27030209"</f>
        <v>27030209</v>
      </c>
      <c r="H1643" s="2" t="s">
        <v>431</v>
      </c>
      <c r="I1643" s="2" t="str">
        <f>"27023999"</f>
        <v>27023999</v>
      </c>
      <c r="J1643" s="2" t="str">
        <f>"--"</f>
        <v>--</v>
      </c>
      <c r="K1643" s="2" t="str">
        <f>"--"</f>
        <v>--</v>
      </c>
      <c r="L1643" s="2" t="str">
        <f>"--"</f>
        <v>--</v>
      </c>
      <c r="M1643" s="2" t="str">
        <f>"否"</f>
        <v>否</v>
      </c>
      <c r="N1643" s="2"/>
      <c r="O1643" s="2"/>
      <c r="P1643" s="2"/>
      <c r="Q1643" s="2"/>
    </row>
    <row r="1644" spans="1:17" x14ac:dyDescent="0.3">
      <c r="A1644" s="2" t="str">
        <f>"1814"</f>
        <v>1814</v>
      </c>
      <c r="B1644" s="2" t="s">
        <v>4112</v>
      </c>
      <c r="C1644" s="2" t="s">
        <v>6895</v>
      </c>
      <c r="D1644" s="2" t="s">
        <v>6028</v>
      </c>
      <c r="E1644" s="2" t="s">
        <v>4113</v>
      </c>
      <c r="F1644" s="2" t="s">
        <v>41</v>
      </c>
      <c r="G1644" s="2" t="str">
        <f>"03-3245122"</f>
        <v>03-3245122</v>
      </c>
      <c r="H1644" s="2" t="s">
        <v>631</v>
      </c>
      <c r="I1644" s="2" t="str">
        <f>"02-25419977"</f>
        <v>02-25419977</v>
      </c>
      <c r="J1644" s="2" t="str">
        <f>"自105年05月17日至105年06月13日止"</f>
        <v>自105年05月17日至105年06月13日止</v>
      </c>
      <c r="K1644" s="2" t="str">
        <f>"台灣集中保管結算所股份有限公司"</f>
        <v>台灣集中保管結算所股份有限公司</v>
      </c>
      <c r="L1644" s="2" t="str">
        <f>"http://www.stockvote.com.tw"</f>
        <v>http://www.stockvote.com.tw</v>
      </c>
      <c r="M1644" s="2" t="str">
        <f>"--"</f>
        <v>--</v>
      </c>
      <c r="N1644" s="2"/>
      <c r="O1644" s="2"/>
      <c r="P1644" s="2"/>
      <c r="Q1644" s="2"/>
    </row>
    <row r="1645" spans="1:17" x14ac:dyDescent="0.3">
      <c r="A1645" s="2" t="str">
        <f>"1818"</f>
        <v>1818</v>
      </c>
      <c r="B1645" s="2" t="s">
        <v>4114</v>
      </c>
      <c r="C1645" s="2" t="s">
        <v>4115</v>
      </c>
      <c r="D1645" s="2" t="s">
        <v>6020</v>
      </c>
      <c r="E1645" s="2" t="s">
        <v>4115</v>
      </c>
      <c r="F1645" s="2" t="s">
        <v>2</v>
      </c>
      <c r="G1645" s="2" t="str">
        <f>"(03)539-8718"</f>
        <v>(03)539-8718</v>
      </c>
      <c r="H1645" s="2" t="s">
        <v>478</v>
      </c>
      <c r="I1645" s="2" t="str">
        <f>"02-25936666"</f>
        <v>02-25936666</v>
      </c>
      <c r="J1645" s="2" t="str">
        <f t="shared" ref="J1645:L1648" si="126">"--"</f>
        <v>--</v>
      </c>
      <c r="K1645" s="2" t="str">
        <f t="shared" si="126"/>
        <v>--</v>
      </c>
      <c r="L1645" s="2" t="str">
        <f t="shared" si="126"/>
        <v>--</v>
      </c>
      <c r="M1645" s="2" t="str">
        <f>"--"</f>
        <v>--</v>
      </c>
      <c r="N1645" s="2"/>
      <c r="O1645" s="2"/>
      <c r="P1645" s="2"/>
      <c r="Q1645" s="2"/>
    </row>
    <row r="1646" spans="1:17" x14ac:dyDescent="0.3">
      <c r="A1646" s="2" t="str">
        <f>"1819"</f>
        <v>1819</v>
      </c>
      <c r="B1646" s="2" t="s">
        <v>6896</v>
      </c>
      <c r="C1646" s="2" t="s">
        <v>6897</v>
      </c>
      <c r="D1646" s="2" t="s">
        <v>6016</v>
      </c>
      <c r="E1646" s="2" t="s">
        <v>6898</v>
      </c>
      <c r="F1646" s="2" t="s">
        <v>2</v>
      </c>
      <c r="G1646" s="2" t="str">
        <f>"02-66196611"</f>
        <v>02-66196611</v>
      </c>
      <c r="H1646" s="2" t="s">
        <v>6899</v>
      </c>
      <c r="I1646" s="2" t="str">
        <f>"02-27463797"</f>
        <v>02-27463797</v>
      </c>
      <c r="J1646" s="2" t="str">
        <f t="shared" si="126"/>
        <v>--</v>
      </c>
      <c r="K1646" s="2" t="str">
        <f t="shared" si="126"/>
        <v>--</v>
      </c>
      <c r="L1646" s="2" t="str">
        <f t="shared" si="126"/>
        <v>--</v>
      </c>
      <c r="M1646" s="2" t="str">
        <f>"--"</f>
        <v>--</v>
      </c>
      <c r="N1646" s="2"/>
      <c r="O1646" s="2"/>
      <c r="P1646" s="2"/>
      <c r="Q1646" s="2"/>
    </row>
    <row r="1647" spans="1:17" x14ac:dyDescent="0.3">
      <c r="A1647" s="2" t="str">
        <f>"2065"</f>
        <v>2065</v>
      </c>
      <c r="B1647" s="2" t="s">
        <v>6900</v>
      </c>
      <c r="C1647" s="2" t="s">
        <v>6901</v>
      </c>
      <c r="D1647" s="2" t="s">
        <v>5999</v>
      </c>
      <c r="E1647" s="2" t="s">
        <v>6902</v>
      </c>
      <c r="F1647" s="2" t="s">
        <v>41</v>
      </c>
      <c r="G1647" s="2" t="str">
        <f>"07-6116116"</f>
        <v>07-6116116</v>
      </c>
      <c r="H1647" s="2" t="s">
        <v>667</v>
      </c>
      <c r="I1647" s="2" t="str">
        <f>"02-23611300"</f>
        <v>02-23611300</v>
      </c>
      <c r="J1647" s="2" t="str">
        <f t="shared" si="126"/>
        <v>--</v>
      </c>
      <c r="K1647" s="2" t="str">
        <f t="shared" si="126"/>
        <v>--</v>
      </c>
      <c r="L1647" s="2" t="str">
        <f t="shared" si="126"/>
        <v>--</v>
      </c>
      <c r="M1647" s="2" t="str">
        <f>"否"</f>
        <v>否</v>
      </c>
      <c r="N1647" s="2"/>
      <c r="O1647" s="2"/>
      <c r="P1647" s="2"/>
      <c r="Q1647" s="2"/>
    </row>
    <row r="1648" spans="1:17" x14ac:dyDescent="0.3">
      <c r="A1648" s="2" t="str">
        <f>"2070"</f>
        <v>2070</v>
      </c>
      <c r="B1648" s="2" t="s">
        <v>6903</v>
      </c>
      <c r="C1648" s="2" t="s">
        <v>6904</v>
      </c>
      <c r="D1648" s="2" t="s">
        <v>6025</v>
      </c>
      <c r="E1648" s="2" t="s">
        <v>6905</v>
      </c>
      <c r="F1648" s="2" t="s">
        <v>41</v>
      </c>
      <c r="G1648" s="2" t="str">
        <f>"07-6937937"</f>
        <v>07-6937937</v>
      </c>
      <c r="H1648" s="2" t="s">
        <v>431</v>
      </c>
      <c r="I1648" s="2" t="str">
        <f>"02-2703-5000"</f>
        <v>02-2703-5000</v>
      </c>
      <c r="J1648" s="2" t="str">
        <f t="shared" si="126"/>
        <v>--</v>
      </c>
      <c r="K1648" s="2" t="str">
        <f t="shared" si="126"/>
        <v>--</v>
      </c>
      <c r="L1648" s="2" t="str">
        <f t="shared" si="126"/>
        <v>--</v>
      </c>
      <c r="M1648" s="2" t="str">
        <f>"否"</f>
        <v>否</v>
      </c>
      <c r="N1648" s="2"/>
      <c r="O1648" s="2"/>
      <c r="P1648" s="2"/>
      <c r="Q1648" s="2"/>
    </row>
    <row r="1649" spans="1:17" x14ac:dyDescent="0.3">
      <c r="A1649" s="2" t="str">
        <f>"2237"</f>
        <v>2237</v>
      </c>
      <c r="B1649" s="2" t="s">
        <v>4119</v>
      </c>
      <c r="C1649" s="2" t="s">
        <v>6906</v>
      </c>
      <c r="D1649" s="2" t="s">
        <v>6042</v>
      </c>
      <c r="E1649" s="2" t="s">
        <v>6907</v>
      </c>
      <c r="F1649" s="2" t="s">
        <v>41</v>
      </c>
      <c r="G1649" s="2" t="str">
        <f>"02-2738-2821"</f>
        <v>02-2738-2821</v>
      </c>
      <c r="H1649" s="2" t="s">
        <v>431</v>
      </c>
      <c r="I1649" s="2" t="str">
        <f>"02-2703-5000"</f>
        <v>02-2703-5000</v>
      </c>
      <c r="J1649" s="2" t="str">
        <f>"--"</f>
        <v>--</v>
      </c>
      <c r="K1649" s="2" t="str">
        <f>"????"</f>
        <v>????</v>
      </c>
      <c r="L1649" s="2" t="str">
        <f>"????"</f>
        <v>????</v>
      </c>
      <c r="M1649" s="2" t="str">
        <f>"--"</f>
        <v>--</v>
      </c>
      <c r="N1649" s="2"/>
      <c r="O1649" s="2"/>
      <c r="P1649" s="2"/>
      <c r="Q1649" s="2"/>
    </row>
    <row r="1650" spans="1:17" x14ac:dyDescent="0.3">
      <c r="A1650" s="2" t="str">
        <f>"2241"</f>
        <v>2241</v>
      </c>
      <c r="B1650" s="2" t="s">
        <v>6908</v>
      </c>
      <c r="C1650" s="2" t="s">
        <v>6909</v>
      </c>
      <c r="D1650" s="2" t="s">
        <v>6042</v>
      </c>
      <c r="E1650" s="2" t="s">
        <v>6910</v>
      </c>
      <c r="F1650" s="2" t="s">
        <v>41</v>
      </c>
      <c r="G1650" s="2" t="str">
        <f>"2603-3655#100"</f>
        <v>2603-3655#100</v>
      </c>
      <c r="H1650" s="2" t="s">
        <v>539</v>
      </c>
      <c r="I1650" s="2" t="str">
        <f>"02-2586-5859"</f>
        <v>02-2586-5859</v>
      </c>
      <c r="J1650" s="2" t="str">
        <f>"--"</f>
        <v>--</v>
      </c>
      <c r="K1650" s="2" t="str">
        <f>"--"</f>
        <v>--</v>
      </c>
      <c r="L1650" s="2" t="str">
        <f>"--"</f>
        <v>--</v>
      </c>
      <c r="M1650" s="2" t="str">
        <f>"否"</f>
        <v>否</v>
      </c>
      <c r="N1650" s="2"/>
      <c r="O1650" s="2"/>
      <c r="P1650" s="2"/>
      <c r="Q1650" s="2"/>
    </row>
    <row r="1651" spans="1:17" x14ac:dyDescent="0.3">
      <c r="A1651" s="2" t="str">
        <f>"2599"</f>
        <v>2599</v>
      </c>
      <c r="B1651" s="2" t="s">
        <v>4120</v>
      </c>
      <c r="C1651" s="2" t="s">
        <v>4121</v>
      </c>
      <c r="D1651" s="2" t="s">
        <v>6016</v>
      </c>
      <c r="E1651" s="2" t="s">
        <v>6911</v>
      </c>
      <c r="F1651" s="2" t="s">
        <v>41</v>
      </c>
      <c r="G1651" s="2" t="str">
        <f>"(02)27788255"</f>
        <v>(02)27788255</v>
      </c>
      <c r="H1651" s="2" t="s">
        <v>996</v>
      </c>
      <c r="I1651" s="2" t="str">
        <f>"02-33930898"</f>
        <v>02-33930898</v>
      </c>
      <c r="J1651" s="2" t="str">
        <f>"--"</f>
        <v>--</v>
      </c>
      <c r="K1651" s="2" t="str">
        <f>"--"</f>
        <v>--</v>
      </c>
      <c r="L1651" s="2" t="str">
        <f>"--"</f>
        <v>--</v>
      </c>
      <c r="M1651" s="2" t="str">
        <f>"--"</f>
        <v>--</v>
      </c>
      <c r="N1651" s="2"/>
      <c r="O1651" s="2"/>
      <c r="P1651" s="2"/>
      <c r="Q1651" s="2"/>
    </row>
    <row r="1652" spans="1:17" x14ac:dyDescent="0.3">
      <c r="A1652" s="2" t="str">
        <f>"2633"</f>
        <v>2633</v>
      </c>
      <c r="B1652" s="2" t="s">
        <v>4122</v>
      </c>
      <c r="C1652" s="2" t="s">
        <v>4123</v>
      </c>
      <c r="D1652" s="2" t="s">
        <v>6010</v>
      </c>
      <c r="E1652" s="2" t="s">
        <v>6912</v>
      </c>
      <c r="F1652" s="2" t="s">
        <v>2</v>
      </c>
      <c r="G1652" s="2" t="str">
        <f>"02-8789-2000"</f>
        <v>02-8789-2000</v>
      </c>
      <c r="H1652" s="2" t="s">
        <v>565</v>
      </c>
      <c r="I1652" s="2" t="str">
        <f>"02-2361-1300"</f>
        <v>02-2361-1300</v>
      </c>
      <c r="J1652" s="2" t="str">
        <f>"自105年05月25日至105年06月21日止"</f>
        <v>自105年05月25日至105年06月21日止</v>
      </c>
      <c r="K1652" s="2" t="str">
        <f>"台灣集中保管結算所股份有限公司"</f>
        <v>台灣集中保管結算所股份有限公司</v>
      </c>
      <c r="L1652" s="2" t="str">
        <f>"http://www.stockvote.com.tw"</f>
        <v>http://www.stockvote.com.tw</v>
      </c>
      <c r="M1652" s="2" t="str">
        <f>"&lt;b&gt;&lt;font color='red'&gt;自願&lt;/font&gt;&lt;/b&gt;"</f>
        <v>&lt;b&gt;&lt;font color='red'&gt;自願&lt;/font&gt;&lt;/b&gt;</v>
      </c>
      <c r="N1652" s="2"/>
      <c r="O1652" s="2"/>
      <c r="P1652" s="2"/>
      <c r="Q1652" s="2"/>
    </row>
    <row r="1653" spans="1:17" x14ac:dyDescent="0.3">
      <c r="A1653" s="2"/>
      <c r="B1653" s="2"/>
      <c r="C1653" s="2"/>
      <c r="D1653" s="2"/>
      <c r="E1653" s="2"/>
      <c r="F1653" s="2"/>
      <c r="G1653" s="2"/>
      <c r="H1653" s="2"/>
      <c r="I1653" s="2"/>
      <c r="J1653" s="2"/>
      <c r="K1653" s="2"/>
      <c r="L1653" s="2"/>
      <c r="M1653" s="2"/>
      <c r="N1653" s="2"/>
      <c r="O1653" s="2"/>
      <c r="P1653" s="2"/>
      <c r="Q1653" s="2"/>
    </row>
    <row r="1654" spans="1:17" x14ac:dyDescent="0.3">
      <c r="A1654" s="2" t="str">
        <f>"2720"</f>
        <v>2720</v>
      </c>
      <c r="B1654" s="2" t="s">
        <v>4126</v>
      </c>
      <c r="C1654" s="2" t="s">
        <v>4127</v>
      </c>
      <c r="D1654" s="2" t="s">
        <v>6031</v>
      </c>
      <c r="E1654" s="2" t="s">
        <v>6913</v>
      </c>
      <c r="F1654" s="2" t="s">
        <v>2</v>
      </c>
      <c r="G1654" s="2" t="str">
        <f>"2504-8585"</f>
        <v>2504-8585</v>
      </c>
      <c r="H1654" s="2" t="s">
        <v>1926</v>
      </c>
      <c r="I1654" s="2" t="str">
        <f>"02-27035000"</f>
        <v>02-27035000</v>
      </c>
      <c r="J1654" s="2" t="str">
        <f>"--"</f>
        <v>--</v>
      </c>
      <c r="K1654" s="2" t="str">
        <f t="shared" ref="K1654:L1657" si="127">"--"</f>
        <v>--</v>
      </c>
      <c r="L1654" s="2" t="str">
        <f t="shared" si="127"/>
        <v>--</v>
      </c>
      <c r="M1654" s="2" t="str">
        <f>"否"</f>
        <v>否</v>
      </c>
      <c r="N1654" s="2"/>
      <c r="O1654" s="2"/>
      <c r="P1654" s="2"/>
      <c r="Q1654" s="2"/>
    </row>
    <row r="1655" spans="1:17" x14ac:dyDescent="0.3">
      <c r="A1655" s="2" t="str">
        <f>"2721"</f>
        <v>2721</v>
      </c>
      <c r="B1655" s="2" t="s">
        <v>4128</v>
      </c>
      <c r="C1655" s="2" t="s">
        <v>6914</v>
      </c>
      <c r="D1655" s="2" t="s">
        <v>6000</v>
      </c>
      <c r="E1655" s="2" t="s">
        <v>4129</v>
      </c>
      <c r="F1655" s="2" t="s">
        <v>2</v>
      </c>
      <c r="G1655" s="2" t="str">
        <f>"02-8771-8691"</f>
        <v>02-8771-8691</v>
      </c>
      <c r="H1655" s="2" t="s">
        <v>431</v>
      </c>
      <c r="I1655" s="2" t="str">
        <f>"(02)2702-3999"</f>
        <v>(02)2702-3999</v>
      </c>
      <c r="J1655" s="2" t="str">
        <f>"--"</f>
        <v>--</v>
      </c>
      <c r="K1655" s="2" t="str">
        <f t="shared" si="127"/>
        <v>--</v>
      </c>
      <c r="L1655" s="2" t="str">
        <f t="shared" si="127"/>
        <v>--</v>
      </c>
      <c r="M1655" s="2" t="str">
        <f>"否"</f>
        <v>否</v>
      </c>
      <c r="N1655" s="2"/>
      <c r="O1655" s="2"/>
      <c r="P1655" s="2"/>
      <c r="Q1655" s="2"/>
    </row>
    <row r="1656" spans="1:17" x14ac:dyDescent="0.3">
      <c r="A1656" s="2" t="str">
        <f>"2730"</f>
        <v>2730</v>
      </c>
      <c r="B1656" s="2" t="s">
        <v>251</v>
      </c>
      <c r="C1656" s="2" t="s">
        <v>4130</v>
      </c>
      <c r="D1656" s="2" t="s">
        <v>6001</v>
      </c>
      <c r="E1656" s="2" t="s">
        <v>6915</v>
      </c>
      <c r="F1656" s="2" t="s">
        <v>2</v>
      </c>
      <c r="G1656" s="2" t="str">
        <f>"(02)77028800"</f>
        <v>(02)77028800</v>
      </c>
      <c r="H1656" s="2" t="s">
        <v>431</v>
      </c>
      <c r="I1656" s="2" t="str">
        <f>"(02)27023999"</f>
        <v>(02)27023999</v>
      </c>
      <c r="J1656" s="2" t="str">
        <f>"--"</f>
        <v>--</v>
      </c>
      <c r="K1656" s="2" t="str">
        <f t="shared" si="127"/>
        <v>--</v>
      </c>
      <c r="L1656" s="2" t="str">
        <f t="shared" si="127"/>
        <v>--</v>
      </c>
      <c r="M1656" s="2" t="str">
        <f>"--"</f>
        <v>--</v>
      </c>
      <c r="N1656" s="2"/>
      <c r="O1656" s="2"/>
      <c r="P1656" s="2"/>
      <c r="Q1656" s="2"/>
    </row>
    <row r="1657" spans="1:17" x14ac:dyDescent="0.3">
      <c r="A1657" s="2" t="str">
        <f>"2733"</f>
        <v>2733</v>
      </c>
      <c r="B1657" s="2" t="s">
        <v>4131</v>
      </c>
      <c r="C1657" s="2" t="s">
        <v>4132</v>
      </c>
      <c r="D1657" s="2" t="s">
        <v>6080</v>
      </c>
      <c r="E1657" s="2" t="s">
        <v>4133</v>
      </c>
      <c r="F1657" s="2" t="s">
        <v>41</v>
      </c>
      <c r="G1657" s="2" t="str">
        <f>"02-2291-9122"</f>
        <v>02-2291-9122</v>
      </c>
      <c r="H1657" s="2" t="s">
        <v>565</v>
      </c>
      <c r="I1657" s="2" t="str">
        <f>"02-2361-1300"</f>
        <v>02-2361-1300</v>
      </c>
      <c r="J1657" s="2" t="str">
        <f>"--"</f>
        <v>--</v>
      </c>
      <c r="K1657" s="2" t="str">
        <f t="shared" si="127"/>
        <v>--</v>
      </c>
      <c r="L1657" s="2" t="str">
        <f t="shared" si="127"/>
        <v>--</v>
      </c>
      <c r="M1657" s="2" t="str">
        <f>"否"</f>
        <v>否</v>
      </c>
      <c r="N1657" s="2"/>
      <c r="O1657" s="2"/>
      <c r="P1657" s="2"/>
      <c r="Q1657" s="2"/>
    </row>
    <row r="1658" spans="1:17" x14ac:dyDescent="0.3">
      <c r="A1658" s="2" t="str">
        <f>"2738"</f>
        <v>2738</v>
      </c>
      <c r="B1658" s="2" t="s">
        <v>4137</v>
      </c>
      <c r="C1658" s="2" t="s">
        <v>6916</v>
      </c>
      <c r="D1658" s="2" t="s">
        <v>6413</v>
      </c>
      <c r="E1658" s="2" t="s">
        <v>6917</v>
      </c>
      <c r="F1658" s="2" t="s">
        <v>41</v>
      </c>
      <c r="G1658" s="2" t="str">
        <f>"+1-9738244000"</f>
        <v>+1-9738244000</v>
      </c>
      <c r="H1658" s="2" t="s">
        <v>631</v>
      </c>
      <c r="I1658" s="2" t="str">
        <f>"(02)2541-9977"</f>
        <v>(02)2541-9977</v>
      </c>
      <c r="J1658" s="2" t="str">
        <f>"自105年04月09日至105年05月07日止"</f>
        <v>自105年04月09日至105年05月07日止</v>
      </c>
      <c r="K1658" s="2" t="str">
        <f>"台灣集中保管結算所股份有限公司"</f>
        <v>台灣集中保管結算所股份有限公司</v>
      </c>
      <c r="L1658" s="2" t="str">
        <f>"http://www.stockvote.com.tw"</f>
        <v>http://www.stockvote.com.tw</v>
      </c>
      <c r="M1658" s="2" t="str">
        <f>"&lt;b&gt;&lt;font color='red'&gt;自願&lt;/font&gt;&lt;/b&gt;"</f>
        <v>&lt;b&gt;&lt;font color='red'&gt;自願&lt;/font&gt;&lt;/b&gt;</v>
      </c>
      <c r="N1658" s="2"/>
      <c r="O1658" s="2"/>
      <c r="P1658" s="2"/>
      <c r="Q1658" s="2"/>
    </row>
    <row r="1659" spans="1:17" x14ac:dyDescent="0.3">
      <c r="A1659" s="2" t="str">
        <f>"2739"</f>
        <v>2739</v>
      </c>
      <c r="B1659" s="2" t="s">
        <v>4138</v>
      </c>
      <c r="C1659" s="2" t="s">
        <v>4139</v>
      </c>
      <c r="D1659" s="2" t="s">
        <v>6141</v>
      </c>
      <c r="E1659" s="2" t="s">
        <v>6918</v>
      </c>
      <c r="F1659" s="2" t="s">
        <v>41</v>
      </c>
      <c r="G1659" s="2" t="str">
        <f>"(02)2321-5858"</f>
        <v>(02)2321-5858</v>
      </c>
      <c r="H1659" s="2" t="s">
        <v>644</v>
      </c>
      <c r="I1659" s="2" t="str">
        <f>"(02)2361-1300"</f>
        <v>(02)2361-1300</v>
      </c>
      <c r="J1659" s="2" t="str">
        <f>"自105年04月30日至105年05月30日止"</f>
        <v>自105年04月30日至105年05月30日止</v>
      </c>
      <c r="K1659" s="2" t="str">
        <f>"台灣集中保管結算所股份有限公司"</f>
        <v>台灣集中保管結算所股份有限公司</v>
      </c>
      <c r="L1659" s="2" t="str">
        <f>"http://www.stockvote.com.tw"</f>
        <v>http://www.stockvote.com.tw</v>
      </c>
      <c r="M1659" s="2" t="str">
        <f>"強制"</f>
        <v>強制</v>
      </c>
      <c r="N1659" s="2"/>
      <c r="O1659" s="2"/>
      <c r="P1659" s="2"/>
      <c r="Q1659" s="2"/>
    </row>
    <row r="1660" spans="1:17" x14ac:dyDescent="0.3">
      <c r="A1660" s="2" t="str">
        <f>"2741"</f>
        <v>2741</v>
      </c>
      <c r="B1660" s="2" t="s">
        <v>4143</v>
      </c>
      <c r="C1660" s="2" t="s">
        <v>4144</v>
      </c>
      <c r="D1660" s="2" t="s">
        <v>6655</v>
      </c>
      <c r="E1660" s="2" t="s">
        <v>6919</v>
      </c>
      <c r="F1660" s="2" t="s">
        <v>2</v>
      </c>
      <c r="G1660" s="2" t="str">
        <f>"07-3416222"</f>
        <v>07-3416222</v>
      </c>
      <c r="H1660" s="2" t="s">
        <v>415</v>
      </c>
      <c r="I1660" s="2" t="str">
        <f>"02-23892999"</f>
        <v>02-23892999</v>
      </c>
      <c r="J1660" s="2" t="str">
        <f t="shared" ref="J1660:L1664" si="128">"--"</f>
        <v>--</v>
      </c>
      <c r="K1660" s="2" t="str">
        <f t="shared" si="128"/>
        <v>--</v>
      </c>
      <c r="L1660" s="2" t="str">
        <f t="shared" si="128"/>
        <v>--</v>
      </c>
      <c r="M1660" s="2" t="str">
        <f>"否"</f>
        <v>否</v>
      </c>
      <c r="N1660" s="2"/>
      <c r="O1660" s="2"/>
      <c r="P1660" s="2"/>
      <c r="Q1660" s="2"/>
    </row>
    <row r="1661" spans="1:17" x14ac:dyDescent="0.3">
      <c r="A1661" s="2" t="str">
        <f>"2743"</f>
        <v>2743</v>
      </c>
      <c r="B1661" s="2" t="s">
        <v>4145</v>
      </c>
      <c r="C1661" s="2" t="s">
        <v>4146</v>
      </c>
      <c r="D1661" s="2" t="s">
        <v>6016</v>
      </c>
      <c r="E1661" s="2" t="s">
        <v>4147</v>
      </c>
      <c r="F1661" s="2" t="s">
        <v>2</v>
      </c>
      <c r="G1661" s="2" t="str">
        <f>"02-25612999"</f>
        <v>02-25612999</v>
      </c>
      <c r="H1661" s="2" t="s">
        <v>556</v>
      </c>
      <c r="I1661" s="2" t="str">
        <f>"02-2371-1658"</f>
        <v>02-2371-1658</v>
      </c>
      <c r="J1661" s="2" t="str">
        <f t="shared" si="128"/>
        <v>--</v>
      </c>
      <c r="K1661" s="2" t="str">
        <f t="shared" si="128"/>
        <v>--</v>
      </c>
      <c r="L1661" s="2" t="str">
        <f t="shared" si="128"/>
        <v>--</v>
      </c>
      <c r="M1661" s="2" t="str">
        <f>"--"</f>
        <v>--</v>
      </c>
      <c r="N1661" s="2"/>
      <c r="O1661" s="2"/>
      <c r="P1661" s="2"/>
      <c r="Q1661" s="2"/>
    </row>
    <row r="1662" spans="1:17" x14ac:dyDescent="0.3">
      <c r="A1662" s="2"/>
      <c r="B1662" s="2"/>
      <c r="C1662" s="2"/>
      <c r="D1662" s="2"/>
      <c r="E1662" s="2"/>
      <c r="F1662" s="2"/>
      <c r="G1662" s="2"/>
      <c r="H1662" s="2"/>
      <c r="I1662" s="2"/>
      <c r="J1662" s="2"/>
      <c r="K1662" s="2"/>
      <c r="L1662" s="2"/>
      <c r="M1662" s="2"/>
      <c r="N1662" s="2"/>
      <c r="O1662" s="2"/>
      <c r="P1662" s="2"/>
      <c r="Q1662" s="2"/>
    </row>
    <row r="1663" spans="1:17" x14ac:dyDescent="0.3">
      <c r="A1663" s="2" t="str">
        <f>"2745"</f>
        <v>2745</v>
      </c>
      <c r="B1663" s="2" t="s">
        <v>6920</v>
      </c>
      <c r="C1663" s="2" t="s">
        <v>6921</v>
      </c>
      <c r="D1663" s="2" t="s">
        <v>6004</v>
      </c>
      <c r="E1663" s="2" t="s">
        <v>6922</v>
      </c>
      <c r="F1663" s="2" t="s">
        <v>2</v>
      </c>
      <c r="G1663" s="2" t="str">
        <f>"07-3231158"</f>
        <v>07-3231158</v>
      </c>
      <c r="H1663" s="2" t="s">
        <v>456</v>
      </c>
      <c r="I1663" s="2" t="str">
        <f>"(02)2504-8125"</f>
        <v>(02)2504-8125</v>
      </c>
      <c r="J1663" s="2" t="str">
        <f t="shared" si="128"/>
        <v>--</v>
      </c>
      <c r="K1663" s="2" t="str">
        <f t="shared" si="128"/>
        <v>--</v>
      </c>
      <c r="L1663" s="2" t="str">
        <f t="shared" si="128"/>
        <v>--</v>
      </c>
      <c r="M1663" s="2" t="str">
        <f>"--"</f>
        <v>--</v>
      </c>
      <c r="N1663" s="2"/>
      <c r="O1663" s="2"/>
      <c r="P1663" s="2"/>
      <c r="Q1663" s="2"/>
    </row>
    <row r="1664" spans="1:17" x14ac:dyDescent="0.3">
      <c r="A1664" s="2" t="str">
        <f>"2748"</f>
        <v>2748</v>
      </c>
      <c r="B1664" s="2" t="s">
        <v>6923</v>
      </c>
      <c r="C1664" s="2" t="s">
        <v>6924</v>
      </c>
      <c r="D1664" s="2" t="s">
        <v>6037</v>
      </c>
      <c r="E1664" s="2" t="s">
        <v>6924</v>
      </c>
      <c r="F1664" s="2" t="s">
        <v>41</v>
      </c>
      <c r="G1664" s="2" t="str">
        <f>"(02)2998-6788"</f>
        <v>(02)2998-6788</v>
      </c>
      <c r="H1664" s="2" t="s">
        <v>404</v>
      </c>
      <c r="I1664" s="2" t="str">
        <f>"(02)6636-5566"</f>
        <v>(02)6636-5566</v>
      </c>
      <c r="J1664" s="2" t="str">
        <f t="shared" si="128"/>
        <v>--</v>
      </c>
      <c r="K1664" s="2" t="str">
        <f t="shared" si="128"/>
        <v>--</v>
      </c>
      <c r="L1664" s="2" t="str">
        <f t="shared" si="128"/>
        <v>--</v>
      </c>
      <c r="M1664" s="2" t="str">
        <f>"否"</f>
        <v>否</v>
      </c>
      <c r="N1664" s="2"/>
      <c r="O1664" s="2"/>
      <c r="P1664" s="2"/>
      <c r="Q1664" s="2"/>
    </row>
    <row r="1665" spans="1:17" x14ac:dyDescent="0.3">
      <c r="A1665" s="2" t="str">
        <f>"2897"</f>
        <v>2897</v>
      </c>
      <c r="B1665" s="2" t="s">
        <v>4148</v>
      </c>
      <c r="C1665" s="2" t="s">
        <v>4149</v>
      </c>
      <c r="D1665" s="2" t="s">
        <v>6051</v>
      </c>
      <c r="E1665" s="2" t="s">
        <v>4150</v>
      </c>
      <c r="F1665" s="2" t="s">
        <v>2</v>
      </c>
      <c r="G1665" s="2" t="str">
        <f>"(02)87527000"</f>
        <v>(02)87527000</v>
      </c>
      <c r="H1665" s="2" t="s">
        <v>404</v>
      </c>
      <c r="I1665" s="2" t="str">
        <f>"(02)66365566"</f>
        <v>(02)66365566</v>
      </c>
      <c r="J1665" s="2" t="str">
        <f>"自105年05月04日至105年05月31日止"</f>
        <v>自105年05月04日至105年05月31日止</v>
      </c>
      <c r="K1665" s="2" t="str">
        <f>"台灣集中保管結算所股份有限公司"</f>
        <v>台灣集中保管結算所股份有限公司</v>
      </c>
      <c r="L1665" s="2" t="str">
        <f>"http://www.stockvote.com.tw"</f>
        <v>http://www.stockvote.com.tw</v>
      </c>
      <c r="M1665" s="2" t="str">
        <f>"&lt;b&gt;&lt;font color='red'&gt;自願&lt;/font&gt;&lt;/b&gt;"</f>
        <v>&lt;b&gt;&lt;font color='red'&gt;自願&lt;/font&gt;&lt;/b&gt;</v>
      </c>
      <c r="N1665" s="2"/>
      <c r="O1665" s="2"/>
      <c r="P1665" s="2"/>
      <c r="Q1665" s="2"/>
    </row>
    <row r="1666" spans="1:17" x14ac:dyDescent="0.3">
      <c r="A1666" s="2" t="str">
        <f>"2937"</f>
        <v>2937</v>
      </c>
      <c r="B1666" s="2" t="s">
        <v>6925</v>
      </c>
      <c r="C1666" s="2" t="s">
        <v>6926</v>
      </c>
      <c r="D1666" s="2" t="s">
        <v>6020</v>
      </c>
      <c r="E1666" s="2" t="s">
        <v>6927</v>
      </c>
      <c r="F1666" s="2" t="s">
        <v>2</v>
      </c>
      <c r="G1666" s="2" t="str">
        <f>"07-7273128"</f>
        <v>07-7273128</v>
      </c>
      <c r="H1666" s="2" t="s">
        <v>896</v>
      </c>
      <c r="I1666" s="2" t="str">
        <f>"02-2563-5711"</f>
        <v>02-2563-5711</v>
      </c>
      <c r="J1666" s="2" t="str">
        <f t="shared" ref="J1666:L1673" si="129">"--"</f>
        <v>--</v>
      </c>
      <c r="K1666" s="2" t="str">
        <f t="shared" si="129"/>
        <v>--</v>
      </c>
      <c r="L1666" s="2" t="str">
        <f t="shared" si="129"/>
        <v>--</v>
      </c>
      <c r="M1666" s="2" t="str">
        <f>"否"</f>
        <v>否</v>
      </c>
      <c r="N1666" s="2"/>
      <c r="O1666" s="2"/>
      <c r="P1666" s="2"/>
      <c r="Q1666" s="2"/>
    </row>
    <row r="1667" spans="1:17" x14ac:dyDescent="0.3">
      <c r="A1667" s="2" t="str">
        <f>"3074"</f>
        <v>3074</v>
      </c>
      <c r="B1667" s="2" t="s">
        <v>4151</v>
      </c>
      <c r="C1667" s="2" t="s">
        <v>4152</v>
      </c>
      <c r="D1667" s="2" t="s">
        <v>6016</v>
      </c>
      <c r="E1667" s="2" t="s">
        <v>4153</v>
      </c>
      <c r="F1667" s="2" t="s">
        <v>2</v>
      </c>
      <c r="G1667" s="2" t="str">
        <f>"02-25570808"</f>
        <v>02-25570808</v>
      </c>
      <c r="H1667" s="2" t="s">
        <v>817</v>
      </c>
      <c r="I1667" s="2" t="str">
        <f>"02-6636-5566"</f>
        <v>02-6636-5566</v>
      </c>
      <c r="J1667" s="2" t="str">
        <f t="shared" si="129"/>
        <v>--</v>
      </c>
      <c r="K1667" s="2" t="str">
        <f t="shared" si="129"/>
        <v>--</v>
      </c>
      <c r="L1667" s="2" t="str">
        <f t="shared" si="129"/>
        <v>--</v>
      </c>
      <c r="M1667" s="2" t="str">
        <f>"否"</f>
        <v>否</v>
      </c>
      <c r="N1667" s="2"/>
      <c r="O1667" s="2"/>
      <c r="P1667" s="2"/>
      <c r="Q1667" s="2"/>
    </row>
    <row r="1668" spans="1:17" x14ac:dyDescent="0.3">
      <c r="A1668" s="2" t="str">
        <f>"3097"</f>
        <v>3097</v>
      </c>
      <c r="B1668" s="2" t="s">
        <v>4157</v>
      </c>
      <c r="C1668" s="2" t="s">
        <v>4158</v>
      </c>
      <c r="D1668" s="2" t="s">
        <v>6020</v>
      </c>
      <c r="E1668" s="2" t="s">
        <v>6928</v>
      </c>
      <c r="F1668" s="2" t="s">
        <v>2</v>
      </c>
      <c r="G1668" s="2" t="str">
        <f>"29188500"</f>
        <v>29188500</v>
      </c>
      <c r="H1668" s="2" t="s">
        <v>640</v>
      </c>
      <c r="I1668" s="2" t="str">
        <f>"(02)2371-1658"</f>
        <v>(02)2371-1658</v>
      </c>
      <c r="J1668" s="2" t="str">
        <f t="shared" si="129"/>
        <v>--</v>
      </c>
      <c r="K1668" s="2" t="str">
        <f t="shared" si="129"/>
        <v>--</v>
      </c>
      <c r="L1668" s="2" t="str">
        <f t="shared" si="129"/>
        <v>--</v>
      </c>
      <c r="M1668" s="2" t="str">
        <f>"--"</f>
        <v>--</v>
      </c>
      <c r="N1668" s="2"/>
      <c r="O1668" s="2"/>
      <c r="P1668" s="2"/>
      <c r="Q1668" s="2"/>
    </row>
    <row r="1669" spans="1:17" x14ac:dyDescent="0.3">
      <c r="A1669" s="2" t="str">
        <f>"3117"</f>
        <v>3117</v>
      </c>
      <c r="B1669" s="2" t="s">
        <v>4159</v>
      </c>
      <c r="C1669" s="2" t="s">
        <v>4160</v>
      </c>
      <c r="D1669" s="2" t="s">
        <v>6001</v>
      </c>
      <c r="E1669" s="2" t="s">
        <v>4161</v>
      </c>
      <c r="F1669" s="2" t="s">
        <v>2</v>
      </c>
      <c r="G1669" s="2" t="str">
        <f>"(03)4962286"</f>
        <v>(03)4962286</v>
      </c>
      <c r="H1669" s="2" t="s">
        <v>1587</v>
      </c>
      <c r="I1669" s="2" t="str">
        <f>"(02)2768-6668"</f>
        <v>(02)2768-6668</v>
      </c>
      <c r="J1669" s="2" t="str">
        <f t="shared" si="129"/>
        <v>--</v>
      </c>
      <c r="K1669" s="2" t="str">
        <f t="shared" si="129"/>
        <v>--</v>
      </c>
      <c r="L1669" s="2" t="str">
        <f t="shared" si="129"/>
        <v>--</v>
      </c>
      <c r="M1669" s="2" t="str">
        <f>"--"</f>
        <v>--</v>
      </c>
      <c r="N1669" s="2"/>
      <c r="O1669" s="2"/>
      <c r="P1669" s="2"/>
      <c r="Q1669" s="2"/>
    </row>
    <row r="1670" spans="1:17" x14ac:dyDescent="0.3">
      <c r="A1670" s="2" t="str">
        <f>"3138"</f>
        <v>3138</v>
      </c>
      <c r="B1670" s="2" t="s">
        <v>4162</v>
      </c>
      <c r="C1670" s="2" t="s">
        <v>6929</v>
      </c>
      <c r="D1670" s="2" t="s">
        <v>6037</v>
      </c>
      <c r="E1670" s="2" t="s">
        <v>4163</v>
      </c>
      <c r="F1670" s="2" t="s">
        <v>41</v>
      </c>
      <c r="G1670" s="2" t="str">
        <f>"03-3631901"</f>
        <v>03-3631901</v>
      </c>
      <c r="H1670" s="2" t="s">
        <v>631</v>
      </c>
      <c r="I1670" s="2" t="str">
        <f>"02-25419977"</f>
        <v>02-25419977</v>
      </c>
      <c r="J1670" s="2" t="str">
        <f t="shared" si="129"/>
        <v>--</v>
      </c>
      <c r="K1670" s="2" t="str">
        <f t="shared" si="129"/>
        <v>--</v>
      </c>
      <c r="L1670" s="2" t="str">
        <f t="shared" si="129"/>
        <v>--</v>
      </c>
      <c r="M1670" s="2" t="str">
        <f>"否"</f>
        <v>否</v>
      </c>
      <c r="N1670" s="2"/>
      <c r="O1670" s="2"/>
      <c r="P1670" s="2"/>
      <c r="Q1670" s="2"/>
    </row>
    <row r="1671" spans="1:17" x14ac:dyDescent="0.3">
      <c r="A1671" s="2" t="str">
        <f>"3147"</f>
        <v>3147</v>
      </c>
      <c r="B1671" s="2" t="s">
        <v>4164</v>
      </c>
      <c r="C1671" s="2" t="s">
        <v>4165</v>
      </c>
      <c r="D1671" s="2" t="s">
        <v>6021</v>
      </c>
      <c r="E1671" s="2" t="s">
        <v>4166</v>
      </c>
      <c r="F1671" s="2" t="s">
        <v>41</v>
      </c>
      <c r="G1671" s="2" t="str">
        <f>"07-3458011"</f>
        <v>07-3458011</v>
      </c>
      <c r="H1671" s="2" t="s">
        <v>574</v>
      </c>
      <c r="I1671" s="2" t="str">
        <f>"02-27186425"</f>
        <v>02-27186425</v>
      </c>
      <c r="J1671" s="2" t="str">
        <f t="shared" si="129"/>
        <v>--</v>
      </c>
      <c r="K1671" s="2" t="str">
        <f t="shared" si="129"/>
        <v>--</v>
      </c>
      <c r="L1671" s="2" t="str">
        <f t="shared" si="129"/>
        <v>--</v>
      </c>
      <c r="M1671" s="2" t="str">
        <f>"否"</f>
        <v>否</v>
      </c>
      <c r="N1671" s="2"/>
      <c r="O1671" s="2"/>
      <c r="P1671" s="2"/>
      <c r="Q1671" s="2"/>
    </row>
    <row r="1672" spans="1:17" x14ac:dyDescent="0.3">
      <c r="A1672" s="2" t="str">
        <f>"3150"</f>
        <v>3150</v>
      </c>
      <c r="B1672" s="2" t="s">
        <v>4167</v>
      </c>
      <c r="C1672" s="2" t="s">
        <v>4168</v>
      </c>
      <c r="D1672" s="2" t="s">
        <v>6014</v>
      </c>
      <c r="E1672" s="2" t="s">
        <v>4169</v>
      </c>
      <c r="F1672" s="2" t="s">
        <v>2</v>
      </c>
      <c r="G1672" s="2" t="str">
        <f>"03-5169188"</f>
        <v>03-5169188</v>
      </c>
      <c r="H1672" s="2" t="s">
        <v>640</v>
      </c>
      <c r="I1672" s="2" t="str">
        <f>"02-2371-1658"</f>
        <v>02-2371-1658</v>
      </c>
      <c r="J1672" s="2" t="str">
        <f t="shared" si="129"/>
        <v>--</v>
      </c>
      <c r="K1672" s="2" t="str">
        <f t="shared" si="129"/>
        <v>--</v>
      </c>
      <c r="L1672" s="2" t="str">
        <f t="shared" si="129"/>
        <v>--</v>
      </c>
      <c r="M1672" s="2" t="str">
        <f>"--"</f>
        <v>--</v>
      </c>
      <c r="N1672" s="2"/>
      <c r="O1672" s="2"/>
      <c r="P1672" s="2"/>
      <c r="Q1672" s="2"/>
    </row>
    <row r="1673" spans="1:17" x14ac:dyDescent="0.3">
      <c r="A1673" s="2" t="str">
        <f>"3168"</f>
        <v>3168</v>
      </c>
      <c r="B1673" s="2" t="s">
        <v>4170</v>
      </c>
      <c r="C1673" s="2" t="s">
        <v>4171</v>
      </c>
      <c r="D1673" s="2" t="s">
        <v>6020</v>
      </c>
      <c r="E1673" s="2" t="s">
        <v>4172</v>
      </c>
      <c r="F1673" s="2" t="s">
        <v>2</v>
      </c>
      <c r="G1673" s="2" t="str">
        <f>"02-26962808"</f>
        <v>02-26962808</v>
      </c>
      <c r="H1673" s="2" t="s">
        <v>667</v>
      </c>
      <c r="I1673" s="2" t="str">
        <f>"02-2361-1300"</f>
        <v>02-2361-1300</v>
      </c>
      <c r="J1673" s="2" t="str">
        <f t="shared" si="129"/>
        <v>--</v>
      </c>
      <c r="K1673" s="2" t="str">
        <f t="shared" si="129"/>
        <v>--</v>
      </c>
      <c r="L1673" s="2" t="str">
        <f t="shared" si="129"/>
        <v>--</v>
      </c>
      <c r="M1673" s="2" t="str">
        <f>"--"</f>
        <v>--</v>
      </c>
      <c r="N1673" s="2"/>
      <c r="O1673" s="2"/>
      <c r="P1673" s="2"/>
      <c r="Q1673" s="2"/>
    </row>
    <row r="1674" spans="1:17" x14ac:dyDescent="0.3">
      <c r="A1674" s="2" t="str">
        <f>"3178"</f>
        <v>3178</v>
      </c>
      <c r="B1674" s="2" t="s">
        <v>4173</v>
      </c>
      <c r="C1674" s="2" t="s">
        <v>4174</v>
      </c>
      <c r="D1674" s="2" t="s">
        <v>6004</v>
      </c>
      <c r="E1674" s="2" t="s">
        <v>6930</v>
      </c>
      <c r="F1674" s="2" t="s">
        <v>2</v>
      </c>
      <c r="G1674" s="2" t="str">
        <f>"07-3597177"</f>
        <v>07-3597177</v>
      </c>
      <c r="H1674" s="2" t="s">
        <v>4175</v>
      </c>
      <c r="I1674" s="2" t="str">
        <f>"02-25635711"</f>
        <v>02-25635711</v>
      </c>
      <c r="J1674" s="2" t="str">
        <f>"自105年05月18日至105年06月14日止"</f>
        <v>自105年05月18日至105年06月14日止</v>
      </c>
      <c r="K1674" s="2" t="str">
        <f>"台灣集中保管結算所股份有限公司"</f>
        <v>台灣集中保管結算所股份有限公司</v>
      </c>
      <c r="L1674" s="2" t="str">
        <f>"http://www.stockvote.com.tw"</f>
        <v>http://www.stockvote.com.tw</v>
      </c>
      <c r="M1674" s="2" t="str">
        <f>"--"</f>
        <v>--</v>
      </c>
      <c r="N1674" s="2"/>
      <c r="O1674" s="2"/>
      <c r="P1674" s="2"/>
      <c r="Q1674" s="2"/>
    </row>
    <row r="1675" spans="1:17" x14ac:dyDescent="0.3">
      <c r="A1675" s="2" t="str">
        <f>"3184"</f>
        <v>3184</v>
      </c>
      <c r="B1675" s="2" t="s">
        <v>4176</v>
      </c>
      <c r="C1675" s="2" t="s">
        <v>4177</v>
      </c>
      <c r="D1675" s="2" t="s">
        <v>5999</v>
      </c>
      <c r="E1675" s="2" t="s">
        <v>6931</v>
      </c>
      <c r="F1675" s="2" t="s">
        <v>41</v>
      </c>
      <c r="G1675" s="2" t="str">
        <f>"(03)376-7555"</f>
        <v>(03)376-7555</v>
      </c>
      <c r="H1675" s="2" t="s">
        <v>451</v>
      </c>
      <c r="I1675" s="2" t="str">
        <f>"(02)2389-2999"</f>
        <v>(02)2389-2999</v>
      </c>
      <c r="J1675" s="2" t="str">
        <f t="shared" ref="J1675:L1684" si="130">"--"</f>
        <v>--</v>
      </c>
      <c r="K1675" s="2" t="str">
        <f t="shared" si="130"/>
        <v>--</v>
      </c>
      <c r="L1675" s="2" t="str">
        <f t="shared" si="130"/>
        <v>--</v>
      </c>
      <c r="M1675" s="2" t="str">
        <f>"--"</f>
        <v>--</v>
      </c>
      <c r="N1675" s="2"/>
      <c r="O1675" s="2"/>
      <c r="P1675" s="2"/>
      <c r="Q1675" s="2"/>
    </row>
    <row r="1676" spans="1:17" x14ac:dyDescent="0.3">
      <c r="A1676" s="2" t="str">
        <f>"3307"</f>
        <v>3307</v>
      </c>
      <c r="B1676" s="2" t="s">
        <v>4178</v>
      </c>
      <c r="C1676" s="2" t="s">
        <v>4179</v>
      </c>
      <c r="D1676" s="2" t="s">
        <v>6031</v>
      </c>
      <c r="E1676" s="2" t="s">
        <v>4180</v>
      </c>
      <c r="F1676" s="2" t="s">
        <v>41</v>
      </c>
      <c r="G1676" s="2" t="str">
        <f>"87890900"</f>
        <v>87890900</v>
      </c>
      <c r="H1676" s="2" t="s">
        <v>896</v>
      </c>
      <c r="I1676" s="2" t="str">
        <f>"(02)25635711"</f>
        <v>(02)25635711</v>
      </c>
      <c r="J1676" s="2" t="str">
        <f t="shared" si="130"/>
        <v>--</v>
      </c>
      <c r="K1676" s="2" t="str">
        <f t="shared" si="130"/>
        <v>--</v>
      </c>
      <c r="L1676" s="2" t="str">
        <f t="shared" si="130"/>
        <v>--</v>
      </c>
      <c r="M1676" s="2" t="str">
        <f>"否"</f>
        <v>否</v>
      </c>
      <c r="N1676" s="2"/>
      <c r="O1676" s="2"/>
      <c r="P1676" s="2"/>
      <c r="Q1676" s="2"/>
    </row>
    <row r="1677" spans="1:17" x14ac:dyDescent="0.3">
      <c r="A1677" s="2" t="str">
        <f>"3318"</f>
        <v>3318</v>
      </c>
      <c r="B1677" s="2" t="s">
        <v>4181</v>
      </c>
      <c r="C1677" s="2" t="s">
        <v>4182</v>
      </c>
      <c r="D1677" s="2" t="s">
        <v>6080</v>
      </c>
      <c r="E1677" s="2" t="s">
        <v>4183</v>
      </c>
      <c r="F1677" s="2" t="s">
        <v>2</v>
      </c>
      <c r="G1677" s="2" t="str">
        <f>"03-4392416"</f>
        <v>03-4392416</v>
      </c>
      <c r="H1677" s="2" t="s">
        <v>456</v>
      </c>
      <c r="I1677" s="2" t="str">
        <f>"02-25048125"</f>
        <v>02-25048125</v>
      </c>
      <c r="J1677" s="2" t="str">
        <f t="shared" si="130"/>
        <v>--</v>
      </c>
      <c r="K1677" s="2" t="str">
        <f t="shared" si="130"/>
        <v>--</v>
      </c>
      <c r="L1677" s="2" t="str">
        <f t="shared" si="130"/>
        <v>--</v>
      </c>
      <c r="M1677" s="2" t="str">
        <f>"否"</f>
        <v>否</v>
      </c>
      <c r="N1677" s="2"/>
      <c r="O1677" s="2"/>
      <c r="P1677" s="2"/>
      <c r="Q1677" s="2"/>
    </row>
    <row r="1678" spans="1:17" x14ac:dyDescent="0.3">
      <c r="A1678" s="2" t="str">
        <f>"3345"</f>
        <v>3345</v>
      </c>
      <c r="B1678" s="2" t="s">
        <v>4187</v>
      </c>
      <c r="C1678" s="2" t="s">
        <v>4188</v>
      </c>
      <c r="D1678" s="2" t="s">
        <v>6010</v>
      </c>
      <c r="E1678" s="2" t="s">
        <v>4189</v>
      </c>
      <c r="F1678" s="2" t="s">
        <v>2</v>
      </c>
      <c r="G1678" s="2" t="str">
        <f>"(02)2299-5088"</f>
        <v>(02)2299-5088</v>
      </c>
      <c r="H1678" s="2" t="s">
        <v>1587</v>
      </c>
      <c r="I1678" s="2" t="str">
        <f>"(02)2768-6668"</f>
        <v>(02)2768-6668</v>
      </c>
      <c r="J1678" s="2" t="str">
        <f t="shared" si="130"/>
        <v>--</v>
      </c>
      <c r="K1678" s="2" t="str">
        <f t="shared" si="130"/>
        <v>--</v>
      </c>
      <c r="L1678" s="2" t="str">
        <f t="shared" si="130"/>
        <v>--</v>
      </c>
      <c r="M1678" s="2" t="str">
        <f>"--"</f>
        <v>--</v>
      </c>
      <c r="N1678" s="2"/>
      <c r="O1678" s="2"/>
      <c r="P1678" s="2"/>
      <c r="Q1678" s="2"/>
    </row>
    <row r="1679" spans="1:17" x14ac:dyDescent="0.3">
      <c r="A1679" s="2" t="str">
        <f>"3346"</f>
        <v>3346</v>
      </c>
      <c r="B1679" s="2" t="s">
        <v>4190</v>
      </c>
      <c r="C1679" s="2" t="s">
        <v>4191</v>
      </c>
      <c r="D1679" s="2" t="s">
        <v>6014</v>
      </c>
      <c r="E1679" s="2" t="s">
        <v>6932</v>
      </c>
      <c r="F1679" s="2" t="s">
        <v>2</v>
      </c>
      <c r="G1679" s="2" t="str">
        <f>"(02)22226112"</f>
        <v>(02)22226112</v>
      </c>
      <c r="H1679" s="2" t="s">
        <v>6006</v>
      </c>
      <c r="I1679" s="2" t="str">
        <f>"(02)25865859"</f>
        <v>(02)25865859</v>
      </c>
      <c r="J1679" s="2" t="str">
        <f t="shared" si="130"/>
        <v>--</v>
      </c>
      <c r="K1679" s="2" t="str">
        <f t="shared" si="130"/>
        <v>--</v>
      </c>
      <c r="L1679" s="2" t="str">
        <f t="shared" si="130"/>
        <v>--</v>
      </c>
      <c r="M1679" s="2" t="str">
        <f>"--"</f>
        <v>--</v>
      </c>
      <c r="N1679" s="2"/>
      <c r="O1679" s="2"/>
      <c r="P1679" s="2"/>
      <c r="Q1679" s="2"/>
    </row>
    <row r="1680" spans="1:17" x14ac:dyDescent="0.3">
      <c r="A1680" s="2" t="str">
        <f>"3349"</f>
        <v>3349</v>
      </c>
      <c r="B1680" s="2" t="s">
        <v>4192</v>
      </c>
      <c r="C1680" s="2" t="s">
        <v>4193</v>
      </c>
      <c r="D1680" s="2" t="s">
        <v>6933</v>
      </c>
      <c r="E1680" s="2" t="s">
        <v>4194</v>
      </c>
      <c r="F1680" s="2" t="s">
        <v>41</v>
      </c>
      <c r="G1680" s="2" t="str">
        <f>"82271093"</f>
        <v>82271093</v>
      </c>
      <c r="H1680" s="2" t="s">
        <v>631</v>
      </c>
      <c r="I1680" s="2" t="str">
        <f>"02-25419977"</f>
        <v>02-25419977</v>
      </c>
      <c r="J1680" s="2" t="str">
        <f t="shared" si="130"/>
        <v>--</v>
      </c>
      <c r="K1680" s="2" t="str">
        <f t="shared" si="130"/>
        <v>--</v>
      </c>
      <c r="L1680" s="2" t="str">
        <f t="shared" si="130"/>
        <v>--</v>
      </c>
      <c r="M1680" s="2" t="str">
        <f>"否"</f>
        <v>否</v>
      </c>
      <c r="N1680" s="2"/>
      <c r="O1680" s="2"/>
      <c r="P1680" s="2"/>
      <c r="Q1680" s="2"/>
    </row>
    <row r="1681" spans="1:17" x14ac:dyDescent="0.3">
      <c r="A1681" s="2" t="str">
        <f>"3357"</f>
        <v>3357</v>
      </c>
      <c r="B1681" s="2" t="s">
        <v>4195</v>
      </c>
      <c r="C1681" s="2" t="s">
        <v>6934</v>
      </c>
      <c r="D1681" s="2" t="s">
        <v>6051</v>
      </c>
      <c r="E1681" s="2" t="s">
        <v>6935</v>
      </c>
      <c r="F1681" s="2" t="s">
        <v>41</v>
      </c>
      <c r="G1681" s="2" t="str">
        <f>"(03)464-1148"</f>
        <v>(03)464-1148</v>
      </c>
      <c r="H1681" s="2" t="s">
        <v>996</v>
      </c>
      <c r="I1681" s="2" t="str">
        <f>"(02)2327-8988"</f>
        <v>(02)2327-8988</v>
      </c>
      <c r="J1681" s="2" t="str">
        <f t="shared" si="130"/>
        <v>--</v>
      </c>
      <c r="K1681" s="2" t="str">
        <f t="shared" si="130"/>
        <v>--</v>
      </c>
      <c r="L1681" s="2" t="str">
        <f t="shared" si="130"/>
        <v>--</v>
      </c>
      <c r="M1681" s="2" t="str">
        <f>"否"</f>
        <v>否</v>
      </c>
      <c r="N1681" s="2"/>
      <c r="O1681" s="2"/>
      <c r="P1681" s="2"/>
      <c r="Q1681" s="2"/>
    </row>
    <row r="1682" spans="1:17" x14ac:dyDescent="0.3">
      <c r="A1682" s="2" t="str">
        <f>"3377"</f>
        <v>3377</v>
      </c>
      <c r="B1682" s="2" t="s">
        <v>4196</v>
      </c>
      <c r="C1682" s="2" t="s">
        <v>4197</v>
      </c>
      <c r="D1682" s="2" t="s">
        <v>6031</v>
      </c>
      <c r="E1682" s="2" t="s">
        <v>6936</v>
      </c>
      <c r="F1682" s="2" t="s">
        <v>41</v>
      </c>
      <c r="G1682" s="2" t="str">
        <f>"87912889"</f>
        <v>87912889</v>
      </c>
      <c r="H1682" s="2" t="s">
        <v>653</v>
      </c>
      <c r="I1682" s="2" t="str">
        <f>"(02)2768-6668"</f>
        <v>(02)2768-6668</v>
      </c>
      <c r="J1682" s="2" t="str">
        <f t="shared" si="130"/>
        <v>--</v>
      </c>
      <c r="K1682" s="2" t="str">
        <f t="shared" si="130"/>
        <v>--</v>
      </c>
      <c r="L1682" s="2" t="str">
        <f t="shared" si="130"/>
        <v>--</v>
      </c>
      <c r="M1682" s="2" t="str">
        <f>"--"</f>
        <v>--</v>
      </c>
      <c r="N1682" s="2"/>
      <c r="O1682" s="2"/>
      <c r="P1682" s="2"/>
      <c r="Q1682" s="2"/>
    </row>
    <row r="1683" spans="1:17" x14ac:dyDescent="0.3">
      <c r="A1683" s="2" t="str">
        <f>"3391"</f>
        <v>3391</v>
      </c>
      <c r="B1683" s="2" t="s">
        <v>6937</v>
      </c>
      <c r="C1683" s="2" t="s">
        <v>6938</v>
      </c>
      <c r="D1683" s="2" t="s">
        <v>6016</v>
      </c>
      <c r="E1683" s="2" t="s">
        <v>6939</v>
      </c>
      <c r="F1683" s="2" t="s">
        <v>41</v>
      </c>
      <c r="G1683" s="2" t="str">
        <f>"0226982211"</f>
        <v>0226982211</v>
      </c>
      <c r="H1683" s="2" t="s">
        <v>996</v>
      </c>
      <c r="I1683" s="2" t="str">
        <f>"33980898"</f>
        <v>33980898</v>
      </c>
      <c r="J1683" s="2" t="str">
        <f t="shared" si="130"/>
        <v>--</v>
      </c>
      <c r="K1683" s="2" t="str">
        <f t="shared" si="130"/>
        <v>--</v>
      </c>
      <c r="L1683" s="2" t="str">
        <f t="shared" si="130"/>
        <v>--</v>
      </c>
      <c r="M1683" s="2" t="str">
        <f>"--"</f>
        <v>--</v>
      </c>
      <c r="N1683" s="2"/>
      <c r="O1683" s="2"/>
      <c r="P1683" s="2"/>
      <c r="Q1683" s="2"/>
    </row>
    <row r="1684" spans="1:17" x14ac:dyDescent="0.3">
      <c r="A1684" s="2" t="str">
        <f>"3411"</f>
        <v>3411</v>
      </c>
      <c r="B1684" s="2" t="s">
        <v>312</v>
      </c>
      <c r="C1684" s="2" t="s">
        <v>4198</v>
      </c>
      <c r="D1684" s="2" t="s">
        <v>6042</v>
      </c>
      <c r="E1684" s="2" t="s">
        <v>6940</v>
      </c>
      <c r="F1684" s="2" t="s">
        <v>2</v>
      </c>
      <c r="G1684" s="2" t="str">
        <f>"03-5525686"</f>
        <v>03-5525686</v>
      </c>
      <c r="H1684" s="2" t="s">
        <v>456</v>
      </c>
      <c r="I1684" s="2" t="str">
        <f>"02-25048125"</f>
        <v>02-25048125</v>
      </c>
      <c r="J1684" s="2" t="str">
        <f t="shared" si="130"/>
        <v>--</v>
      </c>
      <c r="K1684" s="2" t="str">
        <f t="shared" si="130"/>
        <v>--</v>
      </c>
      <c r="L1684" s="2" t="str">
        <f t="shared" si="130"/>
        <v>--</v>
      </c>
      <c r="M1684" s="2" t="str">
        <f>"--"</f>
        <v>--</v>
      </c>
      <c r="N1684" s="2"/>
      <c r="O1684" s="2"/>
      <c r="P1684" s="2"/>
      <c r="Q1684" s="2"/>
    </row>
    <row r="1685" spans="1:17" x14ac:dyDescent="0.3">
      <c r="A1685" s="2" t="str">
        <f>"3426"</f>
        <v>3426</v>
      </c>
      <c r="B1685" s="2" t="s">
        <v>6941</v>
      </c>
      <c r="C1685" s="2" t="s">
        <v>6942</v>
      </c>
      <c r="D1685" s="2" t="s">
        <v>6025</v>
      </c>
      <c r="E1685" s="2" t="s">
        <v>6943</v>
      </c>
      <c r="F1685" s="2" t="s">
        <v>41</v>
      </c>
      <c r="G1685" s="2" t="str">
        <f>"(02)2299-1238"</f>
        <v>(02)2299-1238</v>
      </c>
      <c r="H1685" s="2" t="s">
        <v>6006</v>
      </c>
      <c r="I1685" s="2" t="str">
        <f>"(02)2586-5859"</f>
        <v>(02)2586-5859</v>
      </c>
      <c r="J1685" s="2" t="str">
        <f>"自105年05月07日至105年06月05日止"</f>
        <v>自105年05月07日至105年06月05日止</v>
      </c>
      <c r="K1685" s="2" t="str">
        <f>"台灣集中保管結算所股份有限公司"</f>
        <v>台灣集中保管結算所股份有限公司</v>
      </c>
      <c r="L1685" s="2" t="str">
        <f>"http://www.stockvote.com.tw"</f>
        <v>http://www.stockvote.com.tw</v>
      </c>
      <c r="M1685" s="2" t="str">
        <f>"&lt;b&gt;&lt;font color='red'&gt;自願&lt;/font&gt;&lt;/b&gt;"</f>
        <v>&lt;b&gt;&lt;font color='red'&gt;自願&lt;/font&gt;&lt;/b&gt;</v>
      </c>
      <c r="N1685" s="2"/>
      <c r="O1685" s="2"/>
      <c r="P1685" s="2"/>
      <c r="Q1685" s="2"/>
    </row>
    <row r="1686" spans="1:17" x14ac:dyDescent="0.3">
      <c r="A1686" s="2" t="str">
        <f>"3429"</f>
        <v>3429</v>
      </c>
      <c r="B1686" s="2" t="s">
        <v>4201</v>
      </c>
      <c r="C1686" s="2" t="s">
        <v>4202</v>
      </c>
      <c r="D1686" s="2" t="s">
        <v>6000</v>
      </c>
      <c r="E1686" s="2" t="s">
        <v>4203</v>
      </c>
      <c r="F1686" s="2" t="s">
        <v>2</v>
      </c>
      <c r="G1686" s="2" t="str">
        <f>"(02)29182195"</f>
        <v>(02)29182195</v>
      </c>
      <c r="H1686" s="2" t="s">
        <v>431</v>
      </c>
      <c r="I1686" s="2" t="str">
        <f>"02-2703-5000"</f>
        <v>02-2703-5000</v>
      </c>
      <c r="J1686" s="2" t="str">
        <f>"--"</f>
        <v>--</v>
      </c>
      <c r="K1686" s="2" t="str">
        <f>"--"</f>
        <v>--</v>
      </c>
      <c r="L1686" s="2" t="str">
        <f>"--"</f>
        <v>--</v>
      </c>
      <c r="M1686" s="2" t="str">
        <f>"--"</f>
        <v>--</v>
      </c>
      <c r="N1686" s="2"/>
      <c r="O1686" s="2"/>
      <c r="P1686" s="2"/>
      <c r="Q1686" s="2"/>
    </row>
    <row r="1687" spans="1:17" x14ac:dyDescent="0.3">
      <c r="A1687" s="2" t="str">
        <f>"3430"</f>
        <v>3430</v>
      </c>
      <c r="B1687" s="2" t="s">
        <v>4204</v>
      </c>
      <c r="C1687" s="2" t="s">
        <v>4205</v>
      </c>
      <c r="D1687" s="2" t="s">
        <v>6004</v>
      </c>
      <c r="E1687" s="2" t="s">
        <v>6944</v>
      </c>
      <c r="F1687" s="2" t="s">
        <v>2</v>
      </c>
      <c r="G1687" s="2" t="str">
        <f>"27006678"</f>
        <v>27006678</v>
      </c>
      <c r="H1687" s="2" t="s">
        <v>415</v>
      </c>
      <c r="I1687" s="2" t="str">
        <f>"23892999"</f>
        <v>23892999</v>
      </c>
      <c r="J1687" s="2" t="str">
        <f t="shared" ref="J1687:L1702" si="131">"--"</f>
        <v>--</v>
      </c>
      <c r="K1687" s="2" t="str">
        <f t="shared" si="131"/>
        <v>--</v>
      </c>
      <c r="L1687" s="2" t="str">
        <f t="shared" si="131"/>
        <v>--</v>
      </c>
      <c r="M1687" s="2" t="str">
        <f>"否"</f>
        <v>否</v>
      </c>
      <c r="N1687" s="2"/>
      <c r="O1687" s="2"/>
      <c r="P1687" s="2"/>
      <c r="Q1687" s="2"/>
    </row>
    <row r="1688" spans="1:17" x14ac:dyDescent="0.3">
      <c r="A1688" s="2" t="str">
        <f>"3485"</f>
        <v>3485</v>
      </c>
      <c r="B1688" s="2" t="s">
        <v>4206</v>
      </c>
      <c r="C1688" s="2" t="s">
        <v>6945</v>
      </c>
      <c r="D1688" s="2" t="s">
        <v>6014</v>
      </c>
      <c r="E1688" s="2" t="s">
        <v>6946</v>
      </c>
      <c r="F1688" s="2" t="s">
        <v>2</v>
      </c>
      <c r="G1688" s="2" t="str">
        <f>"(03)3646445"</f>
        <v>(03)3646445</v>
      </c>
      <c r="H1688" s="2" t="s">
        <v>431</v>
      </c>
      <c r="I1688" s="2" t="str">
        <f>"(02)27035000"</f>
        <v>(02)27035000</v>
      </c>
      <c r="J1688" s="2" t="str">
        <f t="shared" si="131"/>
        <v>--</v>
      </c>
      <c r="K1688" s="2" t="str">
        <f t="shared" si="131"/>
        <v>--</v>
      </c>
      <c r="L1688" s="2" t="str">
        <f t="shared" si="131"/>
        <v>--</v>
      </c>
      <c r="M1688" s="2" t="str">
        <f>"--"</f>
        <v>--</v>
      </c>
      <c r="N1688" s="2"/>
      <c r="O1688" s="2"/>
      <c r="P1688" s="2"/>
      <c r="Q1688" s="2"/>
    </row>
    <row r="1689" spans="1:17" x14ac:dyDescent="0.3">
      <c r="A1689" s="2" t="str">
        <f>"3505"</f>
        <v>3505</v>
      </c>
      <c r="B1689" s="2" t="s">
        <v>4210</v>
      </c>
      <c r="C1689" s="2" t="s">
        <v>4211</v>
      </c>
      <c r="D1689" s="2" t="s">
        <v>6051</v>
      </c>
      <c r="E1689" s="2" t="s">
        <v>4212</v>
      </c>
      <c r="F1689" s="2" t="s">
        <v>2</v>
      </c>
      <c r="G1689" s="2" t="str">
        <f>"8692-5588"</f>
        <v>8692-5588</v>
      </c>
      <c r="H1689" s="2" t="s">
        <v>4076</v>
      </c>
      <c r="I1689" s="2" t="str">
        <f>"(02)3393-0898"</f>
        <v>(02)3393-0898</v>
      </c>
      <c r="J1689" s="2" t="str">
        <f t="shared" si="131"/>
        <v>--</v>
      </c>
      <c r="K1689" s="2" t="str">
        <f t="shared" si="131"/>
        <v>--</v>
      </c>
      <c r="L1689" s="2" t="str">
        <f t="shared" si="131"/>
        <v>--</v>
      </c>
      <c r="M1689" s="2" t="str">
        <f>"否"</f>
        <v>否</v>
      </c>
      <c r="N1689" s="2"/>
      <c r="O1689" s="2"/>
      <c r="P1689" s="2"/>
      <c r="Q1689" s="2"/>
    </row>
    <row r="1690" spans="1:17" x14ac:dyDescent="0.3">
      <c r="A1690" s="2" t="str">
        <f>"3507"</f>
        <v>3507</v>
      </c>
      <c r="B1690" s="2" t="s">
        <v>4213</v>
      </c>
      <c r="C1690" s="2" t="s">
        <v>4214</v>
      </c>
      <c r="D1690" s="2" t="s">
        <v>6002</v>
      </c>
      <c r="E1690" s="2" t="s">
        <v>4215</v>
      </c>
      <c r="F1690" s="2" t="s">
        <v>2</v>
      </c>
      <c r="G1690" s="2" t="str">
        <f>"22679000"</f>
        <v>22679000</v>
      </c>
      <c r="H1690" s="2" t="s">
        <v>640</v>
      </c>
      <c r="I1690" s="2" t="str">
        <f>"02-2371-1658"</f>
        <v>02-2371-1658</v>
      </c>
      <c r="J1690" s="2" t="str">
        <f t="shared" si="131"/>
        <v>--</v>
      </c>
      <c r="K1690" s="2" t="str">
        <f t="shared" si="131"/>
        <v>--</v>
      </c>
      <c r="L1690" s="2" t="str">
        <f t="shared" si="131"/>
        <v>--</v>
      </c>
      <c r="M1690" s="2" t="str">
        <f>"--"</f>
        <v>--</v>
      </c>
      <c r="N1690" s="2"/>
      <c r="O1690" s="2"/>
      <c r="P1690" s="2"/>
      <c r="Q1690" s="2"/>
    </row>
    <row r="1691" spans="1:17" x14ac:dyDescent="0.3">
      <c r="A1691" s="2" t="str">
        <f>"3530"</f>
        <v>3530</v>
      </c>
      <c r="B1691" s="2" t="s">
        <v>4216</v>
      </c>
      <c r="C1691" s="2" t="s">
        <v>6947</v>
      </c>
      <c r="D1691" s="2" t="s">
        <v>6025</v>
      </c>
      <c r="E1691" s="2" t="s">
        <v>6948</v>
      </c>
      <c r="F1691" s="2" t="s">
        <v>41</v>
      </c>
      <c r="G1691" s="2" t="str">
        <f>"03-5678986"</f>
        <v>03-5678986</v>
      </c>
      <c r="H1691" s="2" t="s">
        <v>411</v>
      </c>
      <c r="I1691" s="2" t="str">
        <f>"(02)2702-3999"</f>
        <v>(02)2702-3999</v>
      </c>
      <c r="J1691" s="2" t="str">
        <f t="shared" si="131"/>
        <v>--</v>
      </c>
      <c r="K1691" s="2" t="str">
        <f t="shared" si="131"/>
        <v>--</v>
      </c>
      <c r="L1691" s="2" t="str">
        <f t="shared" si="131"/>
        <v>--</v>
      </c>
      <c r="M1691" s="2" t="str">
        <f>"--"</f>
        <v>--</v>
      </c>
      <c r="N1691" s="2"/>
      <c r="O1691" s="2"/>
      <c r="P1691" s="2"/>
      <c r="Q1691" s="2"/>
    </row>
    <row r="1692" spans="1:17" x14ac:dyDescent="0.3">
      <c r="A1692" s="2" t="str">
        <f>"3543"</f>
        <v>3543</v>
      </c>
      <c r="B1692" s="2" t="s">
        <v>4217</v>
      </c>
      <c r="C1692" s="2" t="s">
        <v>4218</v>
      </c>
      <c r="D1692" s="2" t="s">
        <v>6020</v>
      </c>
      <c r="E1692" s="2" t="s">
        <v>3207</v>
      </c>
      <c r="F1692" s="2" t="s">
        <v>2</v>
      </c>
      <c r="G1692" s="2" t="str">
        <f>"(03)5981919"</f>
        <v>(03)5981919</v>
      </c>
      <c r="H1692" s="2" t="s">
        <v>791</v>
      </c>
      <c r="I1692" s="2" t="str">
        <f>"(02)2371-1658"</f>
        <v>(02)2371-1658</v>
      </c>
      <c r="J1692" s="2" t="str">
        <f t="shared" si="131"/>
        <v>--</v>
      </c>
      <c r="K1692" s="2" t="str">
        <f t="shared" si="131"/>
        <v>--</v>
      </c>
      <c r="L1692" s="2" t="str">
        <f t="shared" si="131"/>
        <v>--</v>
      </c>
      <c r="M1692" s="2" t="str">
        <f t="shared" ref="M1692:M1697" si="132">"否"</f>
        <v>否</v>
      </c>
      <c r="N1692" s="2"/>
      <c r="O1692" s="2"/>
      <c r="P1692" s="2"/>
      <c r="Q1692" s="2"/>
    </row>
    <row r="1693" spans="1:17" x14ac:dyDescent="0.3">
      <c r="A1693" s="2" t="str">
        <f>"3566"</f>
        <v>3566</v>
      </c>
      <c r="B1693" s="2" t="s">
        <v>22</v>
      </c>
      <c r="C1693" s="2" t="s">
        <v>4219</v>
      </c>
      <c r="D1693" s="2" t="s">
        <v>6014</v>
      </c>
      <c r="E1693" s="2" t="s">
        <v>4220</v>
      </c>
      <c r="F1693" s="2" t="s">
        <v>2</v>
      </c>
      <c r="G1693" s="2" t="str">
        <f>"03-5980288"</f>
        <v>03-5980288</v>
      </c>
      <c r="H1693" s="2" t="s">
        <v>431</v>
      </c>
      <c r="I1693" s="2" t="str">
        <f>"02-2702-3999"</f>
        <v>02-2702-3999</v>
      </c>
      <c r="J1693" s="2" t="str">
        <f t="shared" si="131"/>
        <v>--</v>
      </c>
      <c r="K1693" s="2" t="str">
        <f t="shared" si="131"/>
        <v>--</v>
      </c>
      <c r="L1693" s="2" t="str">
        <f t="shared" si="131"/>
        <v>--</v>
      </c>
      <c r="M1693" s="2" t="str">
        <f t="shared" si="132"/>
        <v>否</v>
      </c>
      <c r="N1693" s="2"/>
      <c r="O1693" s="2"/>
      <c r="P1693" s="2"/>
      <c r="Q1693" s="2"/>
    </row>
    <row r="1694" spans="1:17" x14ac:dyDescent="0.3">
      <c r="A1694" s="2" t="str">
        <f>"3585"</f>
        <v>3585</v>
      </c>
      <c r="B1694" s="2" t="s">
        <v>4221</v>
      </c>
      <c r="C1694" s="2" t="s">
        <v>6949</v>
      </c>
      <c r="D1694" s="2" t="s">
        <v>6015</v>
      </c>
      <c r="E1694" s="2" t="s">
        <v>4222</v>
      </c>
      <c r="F1694" s="2" t="s">
        <v>41</v>
      </c>
      <c r="G1694" s="2" t="str">
        <f>"03-3246000"</f>
        <v>03-3246000</v>
      </c>
      <c r="H1694" s="2" t="s">
        <v>475</v>
      </c>
      <c r="I1694" s="2" t="str">
        <f>"(02) 77198899"</f>
        <v>(02) 77198899</v>
      </c>
      <c r="J1694" s="2" t="str">
        <f t="shared" si="131"/>
        <v>--</v>
      </c>
      <c r="K1694" s="2" t="str">
        <f t="shared" si="131"/>
        <v>--</v>
      </c>
      <c r="L1694" s="2" t="str">
        <f t="shared" si="131"/>
        <v>--</v>
      </c>
      <c r="M1694" s="2" t="str">
        <f t="shared" si="132"/>
        <v>否</v>
      </c>
      <c r="N1694" s="2"/>
      <c r="O1694" s="2"/>
      <c r="P1694" s="2"/>
      <c r="Q1694" s="2"/>
    </row>
    <row r="1695" spans="1:17" x14ac:dyDescent="0.3">
      <c r="A1695" s="2" t="str">
        <f>"3592"</f>
        <v>3592</v>
      </c>
      <c r="B1695" s="2" t="s">
        <v>4223</v>
      </c>
      <c r="C1695" s="2" t="s">
        <v>4224</v>
      </c>
      <c r="D1695" s="2" t="s">
        <v>6000</v>
      </c>
      <c r="E1695" s="2" t="s">
        <v>4225</v>
      </c>
      <c r="F1695" s="2" t="s">
        <v>2</v>
      </c>
      <c r="G1695" s="2" t="str">
        <f>"03-6661818"</f>
        <v>03-6661818</v>
      </c>
      <c r="H1695" s="2" t="s">
        <v>456</v>
      </c>
      <c r="I1695" s="2" t="str">
        <f>"02-25048125"</f>
        <v>02-25048125</v>
      </c>
      <c r="J1695" s="2" t="str">
        <f t="shared" si="131"/>
        <v>--</v>
      </c>
      <c r="K1695" s="2" t="str">
        <f t="shared" si="131"/>
        <v>--</v>
      </c>
      <c r="L1695" s="2" t="str">
        <f t="shared" si="131"/>
        <v>--</v>
      </c>
      <c r="M1695" s="2" t="str">
        <f t="shared" si="132"/>
        <v>否</v>
      </c>
      <c r="N1695" s="2"/>
      <c r="O1695" s="2"/>
      <c r="P1695" s="2"/>
      <c r="Q1695" s="2"/>
    </row>
    <row r="1696" spans="1:17" x14ac:dyDescent="0.3">
      <c r="A1696" s="2" t="str">
        <f>"3595"</f>
        <v>3595</v>
      </c>
      <c r="B1696" s="2" t="s">
        <v>4226</v>
      </c>
      <c r="C1696" s="2" t="s">
        <v>4227</v>
      </c>
      <c r="D1696" s="2" t="s">
        <v>6020</v>
      </c>
      <c r="E1696" s="2" t="s">
        <v>4228</v>
      </c>
      <c r="F1696" s="2" t="s">
        <v>41</v>
      </c>
      <c r="G1696" s="2" t="str">
        <f>"03-5550999"</f>
        <v>03-5550999</v>
      </c>
      <c r="H1696" s="2" t="s">
        <v>667</v>
      </c>
      <c r="I1696" s="2" t="str">
        <f>"(02) 23611300"</f>
        <v>(02) 23611300</v>
      </c>
      <c r="J1696" s="2" t="str">
        <f t="shared" si="131"/>
        <v>--</v>
      </c>
      <c r="K1696" s="2" t="str">
        <f t="shared" si="131"/>
        <v>--</v>
      </c>
      <c r="L1696" s="2" t="str">
        <f t="shared" si="131"/>
        <v>--</v>
      </c>
      <c r="M1696" s="2" t="str">
        <f t="shared" si="132"/>
        <v>否</v>
      </c>
      <c r="N1696" s="2"/>
      <c r="O1696" s="2"/>
      <c r="P1696" s="2"/>
      <c r="Q1696" s="2"/>
    </row>
    <row r="1697" spans="1:17" x14ac:dyDescent="0.3">
      <c r="A1697" s="2" t="str">
        <f>"3597"</f>
        <v>3597</v>
      </c>
      <c r="B1697" s="2" t="s">
        <v>4229</v>
      </c>
      <c r="C1697" s="2" t="s">
        <v>4230</v>
      </c>
      <c r="D1697" s="2" t="s">
        <v>6020</v>
      </c>
      <c r="E1697" s="2" t="s">
        <v>6950</v>
      </c>
      <c r="F1697" s="2" t="s">
        <v>41</v>
      </c>
      <c r="G1697" s="2" t="str">
        <f>"04-23581581"</f>
        <v>04-23581581</v>
      </c>
      <c r="H1697" s="2" t="s">
        <v>574</v>
      </c>
      <c r="I1697" s="2" t="str">
        <f>"02-27186425"</f>
        <v>02-27186425</v>
      </c>
      <c r="J1697" s="2" t="str">
        <f t="shared" si="131"/>
        <v>--</v>
      </c>
      <c r="K1697" s="2" t="str">
        <f t="shared" si="131"/>
        <v>--</v>
      </c>
      <c r="L1697" s="2" t="str">
        <f t="shared" si="131"/>
        <v>--</v>
      </c>
      <c r="M1697" s="2" t="str">
        <f t="shared" si="132"/>
        <v>否</v>
      </c>
      <c r="N1697" s="2"/>
      <c r="O1697" s="2"/>
      <c r="P1697" s="2"/>
      <c r="Q1697" s="2"/>
    </row>
    <row r="1698" spans="1:17" x14ac:dyDescent="0.3">
      <c r="A1698" s="2" t="str">
        <f>"3601"</f>
        <v>3601</v>
      </c>
      <c r="B1698" s="2" t="s">
        <v>6951</v>
      </c>
      <c r="C1698" s="2" t="s">
        <v>6952</v>
      </c>
      <c r="D1698" s="2" t="s">
        <v>6000</v>
      </c>
      <c r="E1698" s="2" t="s">
        <v>6953</v>
      </c>
      <c r="F1698" s="2" t="s">
        <v>41</v>
      </c>
      <c r="G1698" s="2" t="str">
        <f>"03-5787871"</f>
        <v>03-5787871</v>
      </c>
      <c r="H1698" s="2" t="s">
        <v>6954</v>
      </c>
      <c r="I1698" s="2" t="str">
        <f>"02-23161653"</f>
        <v>02-23161653</v>
      </c>
      <c r="J1698" s="2" t="str">
        <f t="shared" si="131"/>
        <v>--</v>
      </c>
      <c r="K1698" s="2" t="str">
        <f t="shared" si="131"/>
        <v>--</v>
      </c>
      <c r="L1698" s="2" t="str">
        <f t="shared" si="131"/>
        <v>--</v>
      </c>
      <c r="M1698" s="2" t="str">
        <f>"--"</f>
        <v>--</v>
      </c>
      <c r="N1698" s="2"/>
      <c r="O1698" s="2"/>
      <c r="P1698" s="2"/>
      <c r="Q1698" s="2"/>
    </row>
    <row r="1699" spans="1:17" x14ac:dyDescent="0.3">
      <c r="A1699" s="2" t="str">
        <f>"3603"</f>
        <v>3603</v>
      </c>
      <c r="B1699" s="2" t="s">
        <v>4231</v>
      </c>
      <c r="C1699" s="2" t="s">
        <v>4232</v>
      </c>
      <c r="D1699" s="2" t="s">
        <v>6020</v>
      </c>
      <c r="E1699" s="2" t="s">
        <v>4233</v>
      </c>
      <c r="F1699" s="2" t="s">
        <v>2</v>
      </c>
      <c r="G1699" s="2" t="str">
        <f>"02-29997555"</f>
        <v>02-29997555</v>
      </c>
      <c r="H1699" s="2" t="s">
        <v>431</v>
      </c>
      <c r="I1699" s="2" t="str">
        <f>"02-27023999"</f>
        <v>02-27023999</v>
      </c>
      <c r="J1699" s="2" t="str">
        <f t="shared" si="131"/>
        <v>--</v>
      </c>
      <c r="K1699" s="2" t="str">
        <f t="shared" si="131"/>
        <v>--</v>
      </c>
      <c r="L1699" s="2" t="str">
        <f t="shared" si="131"/>
        <v>--</v>
      </c>
      <c r="M1699" s="2" t="str">
        <f>"否"</f>
        <v>否</v>
      </c>
      <c r="N1699" s="2"/>
      <c r="O1699" s="2"/>
      <c r="P1699" s="2"/>
      <c r="Q1699" s="2"/>
    </row>
    <row r="1700" spans="1:17" x14ac:dyDescent="0.3">
      <c r="A1700" s="2" t="str">
        <f>"3627"</f>
        <v>3627</v>
      </c>
      <c r="B1700" s="2" t="s">
        <v>4234</v>
      </c>
      <c r="C1700" s="2" t="s">
        <v>4235</v>
      </c>
      <c r="D1700" s="2" t="s">
        <v>6405</v>
      </c>
      <c r="E1700" s="2" t="s">
        <v>4236</v>
      </c>
      <c r="F1700" s="2" t="s">
        <v>41</v>
      </c>
      <c r="G1700" s="2" t="str">
        <f>"(03)469-9800"</f>
        <v>(03)469-9800</v>
      </c>
      <c r="H1700" s="2" t="s">
        <v>404</v>
      </c>
      <c r="I1700" s="2" t="str">
        <f>"(02)6636-5566"</f>
        <v>(02)6636-5566</v>
      </c>
      <c r="J1700" s="2" t="str">
        <f t="shared" si="131"/>
        <v>--</v>
      </c>
      <c r="K1700" s="2" t="str">
        <f t="shared" si="131"/>
        <v>--</v>
      </c>
      <c r="L1700" s="2" t="str">
        <f t="shared" si="131"/>
        <v>--</v>
      </c>
      <c r="M1700" s="2" t="str">
        <f>"否"</f>
        <v>否</v>
      </c>
      <c r="N1700" s="2"/>
      <c r="O1700" s="2"/>
      <c r="P1700" s="2"/>
      <c r="Q1700" s="2"/>
    </row>
    <row r="1701" spans="1:17" x14ac:dyDescent="0.3">
      <c r="A1701" s="2" t="str">
        <f>"3633"</f>
        <v>3633</v>
      </c>
      <c r="B1701" s="2" t="s">
        <v>4237</v>
      </c>
      <c r="C1701" s="2" t="s">
        <v>4238</v>
      </c>
      <c r="D1701" s="2" t="s">
        <v>6020</v>
      </c>
      <c r="E1701" s="2" t="s">
        <v>4239</v>
      </c>
      <c r="F1701" s="2" t="s">
        <v>2</v>
      </c>
      <c r="G1701" s="2" t="str">
        <f>"03-5545488"</f>
        <v>03-5545488</v>
      </c>
      <c r="H1701" s="2" t="s">
        <v>431</v>
      </c>
      <c r="I1701" s="2" t="str">
        <f>"02-2702-3999"</f>
        <v>02-2702-3999</v>
      </c>
      <c r="J1701" s="2" t="str">
        <f t="shared" si="131"/>
        <v>--</v>
      </c>
      <c r="K1701" s="2" t="str">
        <f t="shared" si="131"/>
        <v>--</v>
      </c>
      <c r="L1701" s="2" t="str">
        <f t="shared" si="131"/>
        <v>--</v>
      </c>
      <c r="M1701" s="2" t="str">
        <f>"--"</f>
        <v>--</v>
      </c>
      <c r="N1701" s="2"/>
      <c r="O1701" s="2"/>
      <c r="P1701" s="2"/>
      <c r="Q1701" s="2"/>
    </row>
    <row r="1702" spans="1:17" x14ac:dyDescent="0.3">
      <c r="A1702" s="2" t="str">
        <f>"3637"</f>
        <v>3637</v>
      </c>
      <c r="B1702" s="2" t="s">
        <v>4240</v>
      </c>
      <c r="C1702" s="2" t="s">
        <v>4241</v>
      </c>
      <c r="D1702" s="2" t="s">
        <v>6014</v>
      </c>
      <c r="E1702" s="2" t="s">
        <v>4242</v>
      </c>
      <c r="F1702" s="2" t="s">
        <v>41</v>
      </c>
      <c r="G1702" s="2" t="str">
        <f>"02-82271799"</f>
        <v>02-82271799</v>
      </c>
      <c r="H1702" s="2" t="s">
        <v>4243</v>
      </c>
      <c r="I1702" s="2" t="str">
        <f>"02-27186425"</f>
        <v>02-27186425</v>
      </c>
      <c r="J1702" s="2" t="str">
        <f t="shared" si="131"/>
        <v>--</v>
      </c>
      <c r="K1702" s="2" t="str">
        <f t="shared" si="131"/>
        <v>--</v>
      </c>
      <c r="L1702" s="2" t="str">
        <f t="shared" si="131"/>
        <v>--</v>
      </c>
      <c r="M1702" s="2" t="str">
        <f>"否"</f>
        <v>否</v>
      </c>
      <c r="N1702" s="2"/>
      <c r="O1702" s="2"/>
      <c r="P1702" s="2"/>
      <c r="Q1702" s="2"/>
    </row>
    <row r="1703" spans="1:17" x14ac:dyDescent="0.3">
      <c r="A1703" s="2" t="str">
        <f>"3644"</f>
        <v>3644</v>
      </c>
      <c r="B1703" s="2" t="s">
        <v>4244</v>
      </c>
      <c r="C1703" s="2" t="s">
        <v>6955</v>
      </c>
      <c r="D1703" s="2" t="s">
        <v>6091</v>
      </c>
      <c r="E1703" s="2" t="s">
        <v>4245</v>
      </c>
      <c r="F1703" s="2" t="s">
        <v>2</v>
      </c>
      <c r="G1703" s="2" t="str">
        <f>"(04)24608771"</f>
        <v>(04)24608771</v>
      </c>
      <c r="H1703" s="2" t="s">
        <v>456</v>
      </c>
      <c r="I1703" s="2" t="str">
        <f>"(02)25048125"</f>
        <v>(02)25048125</v>
      </c>
      <c r="J1703" s="2" t="str">
        <f>"自105年04月24日至105年05月21日止"</f>
        <v>自105年04月24日至105年05月21日止</v>
      </c>
      <c r="K1703" s="2" t="str">
        <f>"台灣集中保管結算所股份有限公司"</f>
        <v>台灣集中保管結算所股份有限公司</v>
      </c>
      <c r="L1703" s="2" t="str">
        <f>"http://www.stockvote.com.tw"</f>
        <v>http://www.stockvote.com.tw</v>
      </c>
      <c r="M1703" s="2" t="str">
        <f>"&lt;b&gt;&lt;font color='red'&gt;自願&lt;/font&gt;&lt;/b&gt;"</f>
        <v>&lt;b&gt;&lt;font color='red'&gt;自願&lt;/font&gt;&lt;/b&gt;</v>
      </c>
      <c r="N1703" s="2"/>
      <c r="O1703" s="2"/>
      <c r="P1703" s="2"/>
      <c r="Q1703" s="2"/>
    </row>
    <row r="1704" spans="1:17" x14ac:dyDescent="0.3">
      <c r="A1704" s="2" t="str">
        <f>"3647"</f>
        <v>3647</v>
      </c>
      <c r="B1704" s="2" t="s">
        <v>4246</v>
      </c>
      <c r="C1704" s="2" t="s">
        <v>6956</v>
      </c>
      <c r="D1704" s="2" t="s">
        <v>6021</v>
      </c>
      <c r="E1704" s="2" t="s">
        <v>6957</v>
      </c>
      <c r="F1704" s="2" t="s">
        <v>41</v>
      </c>
      <c r="G1704" s="2" t="str">
        <f>"02-7743-7222"</f>
        <v>02-7743-7222</v>
      </c>
      <c r="H1704" s="2" t="s">
        <v>896</v>
      </c>
      <c r="I1704" s="2" t="str">
        <f>"02-25635711"</f>
        <v>02-25635711</v>
      </c>
      <c r="J1704" s="2" t="str">
        <f t="shared" ref="J1704:M1711" si="133">"--"</f>
        <v>--</v>
      </c>
      <c r="K1704" s="2" t="str">
        <f t="shared" si="133"/>
        <v>--</v>
      </c>
      <c r="L1704" s="2" t="str">
        <f t="shared" si="133"/>
        <v>--</v>
      </c>
      <c r="M1704" s="2" t="str">
        <f t="shared" si="133"/>
        <v>--</v>
      </c>
      <c r="N1704" s="2"/>
      <c r="O1704" s="2"/>
      <c r="P1704" s="2"/>
      <c r="Q1704" s="2"/>
    </row>
    <row r="1705" spans="1:17" x14ac:dyDescent="0.3">
      <c r="A1705" s="2" t="str">
        <f>"3659"</f>
        <v>3659</v>
      </c>
      <c r="B1705" s="2" t="s">
        <v>4247</v>
      </c>
      <c r="C1705" s="2" t="s">
        <v>4248</v>
      </c>
      <c r="D1705" s="2" t="s">
        <v>6016</v>
      </c>
      <c r="E1705" s="2" t="s">
        <v>4249</v>
      </c>
      <c r="F1705" s="2" t="s">
        <v>2</v>
      </c>
      <c r="G1705" s="2" t="str">
        <f>"02-6600-6610"</f>
        <v>02-6600-6610</v>
      </c>
      <c r="H1705" s="2" t="s">
        <v>456</v>
      </c>
      <c r="I1705" s="2" t="str">
        <f>"02-25048125"</f>
        <v>02-25048125</v>
      </c>
      <c r="J1705" s="2" t="str">
        <f t="shared" si="133"/>
        <v>--</v>
      </c>
      <c r="K1705" s="2" t="str">
        <f t="shared" si="133"/>
        <v>--</v>
      </c>
      <c r="L1705" s="2" t="str">
        <f t="shared" si="133"/>
        <v>--</v>
      </c>
      <c r="M1705" s="2" t="str">
        <f t="shared" si="133"/>
        <v>--</v>
      </c>
      <c r="N1705" s="2"/>
      <c r="O1705" s="2"/>
      <c r="P1705" s="2"/>
      <c r="Q1705" s="2"/>
    </row>
    <row r="1706" spans="1:17" x14ac:dyDescent="0.3">
      <c r="A1706" s="2" t="str">
        <f>"3671"</f>
        <v>3671</v>
      </c>
      <c r="B1706" s="2" t="s">
        <v>4250</v>
      </c>
      <c r="C1706" s="2" t="s">
        <v>4251</v>
      </c>
      <c r="D1706" s="2" t="s">
        <v>6031</v>
      </c>
      <c r="E1706" s="2" t="s">
        <v>6958</v>
      </c>
      <c r="F1706" s="2" t="s">
        <v>2</v>
      </c>
      <c r="G1706" s="2" t="str">
        <f>"02-23210970"</f>
        <v>02-23210970</v>
      </c>
      <c r="H1706" s="2" t="s">
        <v>1926</v>
      </c>
      <c r="I1706" s="2" t="str">
        <f>"(02)2702-3999"</f>
        <v>(02)2702-3999</v>
      </c>
      <c r="J1706" s="2" t="str">
        <f t="shared" si="133"/>
        <v>--</v>
      </c>
      <c r="K1706" s="2" t="str">
        <f t="shared" si="133"/>
        <v>--</v>
      </c>
      <c r="L1706" s="2" t="str">
        <f t="shared" si="133"/>
        <v>--</v>
      </c>
      <c r="M1706" s="2" t="str">
        <f>"否"</f>
        <v>否</v>
      </c>
      <c r="N1706" s="2"/>
      <c r="O1706" s="2"/>
      <c r="P1706" s="2"/>
      <c r="Q1706" s="2"/>
    </row>
    <row r="1707" spans="1:17" x14ac:dyDescent="0.3">
      <c r="A1707" s="2" t="str">
        <f>"3674"</f>
        <v>3674</v>
      </c>
      <c r="B1707" s="2" t="s">
        <v>4252</v>
      </c>
      <c r="C1707" s="2" t="s">
        <v>4253</v>
      </c>
      <c r="D1707" s="2" t="s">
        <v>6025</v>
      </c>
      <c r="E1707" s="2" t="s">
        <v>4254</v>
      </c>
      <c r="F1707" s="2" t="s">
        <v>41</v>
      </c>
      <c r="G1707" s="2" t="str">
        <f>"(02)26981599"</f>
        <v>(02)26981599</v>
      </c>
      <c r="H1707" s="2" t="s">
        <v>478</v>
      </c>
      <c r="I1707" s="2" t="str">
        <f>"(02)2593-6666"</f>
        <v>(02)2593-6666</v>
      </c>
      <c r="J1707" s="2" t="str">
        <f t="shared" si="133"/>
        <v>--</v>
      </c>
      <c r="K1707" s="2" t="str">
        <f t="shared" si="133"/>
        <v>--</v>
      </c>
      <c r="L1707" s="2" t="str">
        <f t="shared" si="133"/>
        <v>--</v>
      </c>
      <c r="M1707" s="2" t="str">
        <f>"否"</f>
        <v>否</v>
      </c>
      <c r="N1707" s="2"/>
      <c r="O1707" s="2"/>
      <c r="P1707" s="2"/>
      <c r="Q1707" s="2"/>
    </row>
    <row r="1708" spans="1:17" x14ac:dyDescent="0.3">
      <c r="A1708" s="2" t="str">
        <f>"3678"</f>
        <v>3678</v>
      </c>
      <c r="B1708" s="2" t="s">
        <v>4255</v>
      </c>
      <c r="C1708" s="2" t="s">
        <v>4256</v>
      </c>
      <c r="D1708" s="2" t="s">
        <v>6001</v>
      </c>
      <c r="E1708" s="2" t="s">
        <v>6959</v>
      </c>
      <c r="F1708" s="2" t="s">
        <v>41</v>
      </c>
      <c r="G1708" s="2" t="str">
        <f>"03-6561668"</f>
        <v>03-6561668</v>
      </c>
      <c r="H1708" s="2" t="s">
        <v>404</v>
      </c>
      <c r="I1708" s="2" t="str">
        <f>"02-66365566"</f>
        <v>02-66365566</v>
      </c>
      <c r="J1708" s="2" t="str">
        <f t="shared" si="133"/>
        <v>--</v>
      </c>
      <c r="K1708" s="2" t="str">
        <f t="shared" si="133"/>
        <v>--</v>
      </c>
      <c r="L1708" s="2" t="str">
        <f t="shared" si="133"/>
        <v>--</v>
      </c>
      <c r="M1708" s="2" t="str">
        <f>"--"</f>
        <v>--</v>
      </c>
      <c r="N1708" s="2"/>
      <c r="O1708" s="2"/>
      <c r="P1708" s="2"/>
      <c r="Q1708" s="2"/>
    </row>
    <row r="1709" spans="1:17" x14ac:dyDescent="0.3">
      <c r="A1709" s="2" t="str">
        <f>"3688"</f>
        <v>3688</v>
      </c>
      <c r="B1709" s="2" t="s">
        <v>4257</v>
      </c>
      <c r="C1709" s="2" t="s">
        <v>6960</v>
      </c>
      <c r="D1709" s="2" t="s">
        <v>6010</v>
      </c>
      <c r="E1709" s="2" t="s">
        <v>4258</v>
      </c>
      <c r="F1709" s="2" t="s">
        <v>41</v>
      </c>
      <c r="G1709" s="2" t="str">
        <f>"03-5973077"</f>
        <v>03-5973077</v>
      </c>
      <c r="H1709" s="2" t="s">
        <v>644</v>
      </c>
      <c r="I1709" s="2" t="str">
        <f>"02-23611300"</f>
        <v>02-23611300</v>
      </c>
      <c r="J1709" s="2" t="str">
        <f t="shared" si="133"/>
        <v>--</v>
      </c>
      <c r="K1709" s="2" t="str">
        <f t="shared" si="133"/>
        <v>--</v>
      </c>
      <c r="L1709" s="2" t="str">
        <f t="shared" si="133"/>
        <v>--</v>
      </c>
      <c r="M1709" s="2" t="str">
        <f>"否"</f>
        <v>否</v>
      </c>
      <c r="N1709" s="2"/>
      <c r="O1709" s="2"/>
      <c r="P1709" s="2"/>
      <c r="Q1709" s="2"/>
    </row>
    <row r="1710" spans="1:17" x14ac:dyDescent="0.3">
      <c r="A1710" s="2" t="str">
        <f>"3690"</f>
        <v>3690</v>
      </c>
      <c r="B1710" s="2" t="s">
        <v>4259</v>
      </c>
      <c r="C1710" s="2" t="s">
        <v>4260</v>
      </c>
      <c r="D1710" s="2" t="s">
        <v>6024</v>
      </c>
      <c r="E1710" s="2" t="s">
        <v>6961</v>
      </c>
      <c r="F1710" s="2" t="s">
        <v>2</v>
      </c>
      <c r="G1710" s="2" t="str">
        <f>"(037)586068"</f>
        <v>(037)586068</v>
      </c>
      <c r="H1710" s="2" t="s">
        <v>456</v>
      </c>
      <c r="I1710" s="2" t="str">
        <f>"(02)25048125"</f>
        <v>(02)25048125</v>
      </c>
      <c r="J1710" s="2" t="str">
        <f t="shared" si="133"/>
        <v>--</v>
      </c>
      <c r="K1710" s="2" t="str">
        <f t="shared" si="133"/>
        <v>--</v>
      </c>
      <c r="L1710" s="2" t="str">
        <f t="shared" si="133"/>
        <v>--</v>
      </c>
      <c r="M1710" s="2" t="str">
        <f>"否"</f>
        <v>否</v>
      </c>
      <c r="N1710" s="2"/>
      <c r="O1710" s="2"/>
      <c r="P1710" s="2"/>
      <c r="Q1710" s="2"/>
    </row>
    <row r="1711" spans="1:17" x14ac:dyDescent="0.3">
      <c r="A1711" s="2" t="str">
        <f>"4117"</f>
        <v>4117</v>
      </c>
      <c r="B1711" s="2" t="s">
        <v>4263</v>
      </c>
      <c r="C1711" s="2" t="s">
        <v>4264</v>
      </c>
      <c r="D1711" s="2" t="s">
        <v>6007</v>
      </c>
      <c r="E1711" s="2" t="s">
        <v>4265</v>
      </c>
      <c r="F1711" s="2" t="s">
        <v>41</v>
      </c>
      <c r="G1711" s="2" t="str">
        <f>"(03)5779221"</f>
        <v>(03)5779221</v>
      </c>
      <c r="H1711" s="2" t="s">
        <v>996</v>
      </c>
      <c r="I1711" s="2" t="str">
        <f>"02-33930898"</f>
        <v>02-33930898</v>
      </c>
      <c r="J1711" s="2" t="str">
        <f t="shared" si="133"/>
        <v>--</v>
      </c>
      <c r="K1711" s="2" t="str">
        <f t="shared" si="133"/>
        <v>--</v>
      </c>
      <c r="L1711" s="2" t="str">
        <f t="shared" si="133"/>
        <v>--</v>
      </c>
      <c r="M1711" s="2" t="str">
        <f>"--"</f>
        <v>--</v>
      </c>
      <c r="N1711" s="2"/>
      <c r="O1711" s="2"/>
      <c r="P1711" s="2"/>
      <c r="Q1711" s="2"/>
    </row>
    <row r="1712" spans="1:17" x14ac:dyDescent="0.3">
      <c r="A1712" s="2" t="str">
        <f>"4132"</f>
        <v>4132</v>
      </c>
      <c r="B1712" s="2" t="s">
        <v>4266</v>
      </c>
      <c r="C1712" s="2" t="s">
        <v>4267</v>
      </c>
      <c r="D1712" s="2" t="s">
        <v>6025</v>
      </c>
      <c r="E1712" s="2" t="s">
        <v>4268</v>
      </c>
      <c r="F1712" s="2" t="s">
        <v>41</v>
      </c>
      <c r="G1712" s="2" t="str">
        <f>"0228086006"</f>
        <v>0228086006</v>
      </c>
      <c r="H1712" s="2" t="s">
        <v>996</v>
      </c>
      <c r="I1712" s="2" t="str">
        <f>"(02)33930898"</f>
        <v>(02)33930898</v>
      </c>
      <c r="J1712" s="2" t="str">
        <f>"自105年05月09日至105年06月05日止"</f>
        <v>自105年05月09日至105年06月05日止</v>
      </c>
      <c r="K1712" s="2" t="str">
        <f>"台灣集中保管結算所股份有限公司"</f>
        <v>台灣集中保管結算所股份有限公司</v>
      </c>
      <c r="L1712" s="2" t="str">
        <f>"http://www.stockvote.com.tw"</f>
        <v>http://www.stockvote.com.tw</v>
      </c>
      <c r="M1712" s="2" t="str">
        <f>"--"</f>
        <v>--</v>
      </c>
      <c r="N1712" s="2"/>
      <c r="O1712" s="2"/>
      <c r="P1712" s="2"/>
      <c r="Q1712" s="2"/>
    </row>
    <row r="1713" spans="1:17" x14ac:dyDescent="0.3">
      <c r="A1713" s="2" t="str">
        <f>"4134"</f>
        <v>4134</v>
      </c>
      <c r="B1713" s="2" t="s">
        <v>4269</v>
      </c>
      <c r="C1713" s="2" t="s">
        <v>4270</v>
      </c>
      <c r="D1713" s="2" t="s">
        <v>6042</v>
      </c>
      <c r="E1713" s="2" t="s">
        <v>4271</v>
      </c>
      <c r="F1713" s="2" t="s">
        <v>2</v>
      </c>
      <c r="G1713" s="2" t="str">
        <f>"037-585988"</f>
        <v>037-585988</v>
      </c>
      <c r="H1713" s="2" t="s">
        <v>431</v>
      </c>
      <c r="I1713" s="2" t="str">
        <f>"(02)2703-5000"</f>
        <v>(02)2703-5000</v>
      </c>
      <c r="J1713" s="2" t="str">
        <f t="shared" ref="J1713:L1720" si="134">"--"</f>
        <v>--</v>
      </c>
      <c r="K1713" s="2" t="str">
        <f t="shared" si="134"/>
        <v>--</v>
      </c>
      <c r="L1713" s="2" t="str">
        <f t="shared" si="134"/>
        <v>--</v>
      </c>
      <c r="M1713" s="2" t="str">
        <f>"--"</f>
        <v>--</v>
      </c>
      <c r="N1713" s="2"/>
      <c r="O1713" s="2"/>
      <c r="P1713" s="2"/>
      <c r="Q1713" s="2"/>
    </row>
    <row r="1714" spans="1:17" x14ac:dyDescent="0.3">
      <c r="A1714" s="2" t="str">
        <f>"4135"</f>
        <v>4135</v>
      </c>
      <c r="B1714" s="2" t="s">
        <v>4272</v>
      </c>
      <c r="C1714" s="2" t="s">
        <v>4273</v>
      </c>
      <c r="D1714" s="2" t="s">
        <v>6020</v>
      </c>
      <c r="E1714" s="2" t="s">
        <v>4274</v>
      </c>
      <c r="F1714" s="2" t="s">
        <v>41</v>
      </c>
      <c r="G1714" s="2" t="str">
        <f>"(03)9615866"</f>
        <v>(03)9615866</v>
      </c>
      <c r="H1714" s="2" t="s">
        <v>408</v>
      </c>
      <c r="I1714" s="2" t="str">
        <f>"(02)23618608"</f>
        <v>(02)23618608</v>
      </c>
      <c r="J1714" s="2" t="str">
        <f t="shared" si="134"/>
        <v>--</v>
      </c>
      <c r="K1714" s="2" t="str">
        <f t="shared" si="134"/>
        <v>--</v>
      </c>
      <c r="L1714" s="2" t="str">
        <f t="shared" si="134"/>
        <v>--</v>
      </c>
      <c r="M1714" s="2" t="str">
        <f>"否"</f>
        <v>否</v>
      </c>
      <c r="N1714" s="2"/>
      <c r="O1714" s="2"/>
      <c r="P1714" s="2"/>
      <c r="Q1714" s="2"/>
    </row>
    <row r="1715" spans="1:17" x14ac:dyDescent="0.3">
      <c r="A1715" s="2" t="str">
        <f>"4136"</f>
        <v>4136</v>
      </c>
      <c r="B1715" s="2" t="s">
        <v>6962</v>
      </c>
      <c r="C1715" s="2" t="s">
        <v>6963</v>
      </c>
      <c r="D1715" s="2" t="s">
        <v>6001</v>
      </c>
      <c r="E1715" s="2" t="s">
        <v>6964</v>
      </c>
      <c r="F1715" s="2" t="s">
        <v>41</v>
      </c>
      <c r="G1715" s="2" t="str">
        <f>"07-2272798"</f>
        <v>07-2272798</v>
      </c>
      <c r="H1715" s="2" t="s">
        <v>3543</v>
      </c>
      <c r="I1715" s="2" t="str">
        <f>"02-2326-8818"</f>
        <v>02-2326-8818</v>
      </c>
      <c r="J1715" s="2" t="str">
        <f t="shared" si="134"/>
        <v>--</v>
      </c>
      <c r="K1715" s="2" t="str">
        <f t="shared" si="134"/>
        <v>--</v>
      </c>
      <c r="L1715" s="2" t="str">
        <f t="shared" si="134"/>
        <v>--</v>
      </c>
      <c r="M1715" s="2" t="str">
        <f>"--"</f>
        <v>--</v>
      </c>
      <c r="N1715" s="2"/>
      <c r="O1715" s="2"/>
      <c r="P1715" s="2"/>
      <c r="Q1715" s="2"/>
    </row>
    <row r="1716" spans="1:17" x14ac:dyDescent="0.3">
      <c r="A1716" s="2" t="str">
        <f>"4150"</f>
        <v>4150</v>
      </c>
      <c r="B1716" s="2" t="s">
        <v>4278</v>
      </c>
      <c r="C1716" s="2" t="s">
        <v>4279</v>
      </c>
      <c r="D1716" s="2" t="s">
        <v>6028</v>
      </c>
      <c r="E1716" s="2" t="s">
        <v>6965</v>
      </c>
      <c r="F1716" s="2" t="s">
        <v>41</v>
      </c>
      <c r="G1716" s="2" t="str">
        <f>"03-5775586"</f>
        <v>03-5775586</v>
      </c>
      <c r="H1716" s="2" t="s">
        <v>1926</v>
      </c>
      <c r="I1716" s="2" t="str">
        <f>"(02)27023999"</f>
        <v>(02)27023999</v>
      </c>
      <c r="J1716" s="2" t="str">
        <f t="shared" si="134"/>
        <v>--</v>
      </c>
      <c r="K1716" s="2" t="str">
        <f t="shared" si="134"/>
        <v>--</v>
      </c>
      <c r="L1716" s="2" t="str">
        <f t="shared" si="134"/>
        <v>--</v>
      </c>
      <c r="M1716" s="2" t="str">
        <f>"--"</f>
        <v>--</v>
      </c>
      <c r="N1716" s="2"/>
      <c r="O1716" s="2"/>
      <c r="P1716" s="2"/>
      <c r="Q1716" s="2"/>
    </row>
    <row r="1717" spans="1:17" x14ac:dyDescent="0.3">
      <c r="A1717" s="2" t="str">
        <f>"4151"</f>
        <v>4151</v>
      </c>
      <c r="B1717" s="2" t="s">
        <v>4280</v>
      </c>
      <c r="C1717" s="2" t="s">
        <v>4281</v>
      </c>
      <c r="D1717" s="2" t="s">
        <v>6000</v>
      </c>
      <c r="E1717" s="2" t="s">
        <v>4282</v>
      </c>
      <c r="F1717" s="2" t="s">
        <v>2</v>
      </c>
      <c r="G1717" s="2" t="str">
        <f>"04-8299998"</f>
        <v>04-8299998</v>
      </c>
      <c r="H1717" s="2" t="s">
        <v>996</v>
      </c>
      <c r="I1717" s="2" t="str">
        <f>"(02)3393-0898"</f>
        <v>(02)3393-0898</v>
      </c>
      <c r="J1717" s="2" t="str">
        <f t="shared" si="134"/>
        <v>--</v>
      </c>
      <c r="K1717" s="2" t="str">
        <f t="shared" si="134"/>
        <v>--</v>
      </c>
      <c r="L1717" s="2" t="str">
        <f t="shared" si="134"/>
        <v>--</v>
      </c>
      <c r="M1717" s="2" t="str">
        <f>"否"</f>
        <v>否</v>
      </c>
      <c r="N1717" s="2"/>
      <c r="O1717" s="2"/>
      <c r="P1717" s="2"/>
      <c r="Q1717" s="2"/>
    </row>
    <row r="1718" spans="1:17" x14ac:dyDescent="0.3">
      <c r="A1718" s="2" t="str">
        <f>"4155"</f>
        <v>4155</v>
      </c>
      <c r="B1718" s="2" t="s">
        <v>311</v>
      </c>
      <c r="C1718" s="2" t="s">
        <v>4283</v>
      </c>
      <c r="D1718" s="2" t="s">
        <v>6020</v>
      </c>
      <c r="E1718" s="2" t="s">
        <v>4284</v>
      </c>
      <c r="F1718" s="2" t="s">
        <v>2</v>
      </c>
      <c r="G1718" s="2" t="str">
        <f>"03-5160258"</f>
        <v>03-5160258</v>
      </c>
      <c r="H1718" s="2" t="s">
        <v>667</v>
      </c>
      <c r="I1718" s="2" t="str">
        <f>"02-2361-1300"</f>
        <v>02-2361-1300</v>
      </c>
      <c r="J1718" s="2" t="str">
        <f t="shared" si="134"/>
        <v>--</v>
      </c>
      <c r="K1718" s="2" t="str">
        <f t="shared" si="134"/>
        <v>--</v>
      </c>
      <c r="L1718" s="2" t="str">
        <f t="shared" si="134"/>
        <v>--</v>
      </c>
      <c r="M1718" s="2" t="str">
        <f>"--"</f>
        <v>--</v>
      </c>
      <c r="N1718" s="2"/>
      <c r="O1718" s="2"/>
      <c r="P1718" s="2"/>
      <c r="Q1718" s="2"/>
    </row>
    <row r="1719" spans="1:17" x14ac:dyDescent="0.3">
      <c r="A1719" s="2" t="str">
        <f>"4159"</f>
        <v>4159</v>
      </c>
      <c r="B1719" s="2" t="s">
        <v>272</v>
      </c>
      <c r="C1719" s="2" t="s">
        <v>4285</v>
      </c>
      <c r="D1719" s="2" t="s">
        <v>6002</v>
      </c>
      <c r="E1719" s="2" t="s">
        <v>6966</v>
      </c>
      <c r="F1719" s="2" t="s">
        <v>41</v>
      </c>
      <c r="G1719" s="2" t="str">
        <f>"02-2655-8687"</f>
        <v>02-2655-8687</v>
      </c>
      <c r="H1719" s="2" t="s">
        <v>996</v>
      </c>
      <c r="I1719" s="2" t="str">
        <f>"02-33930898"</f>
        <v>02-33930898</v>
      </c>
      <c r="J1719" s="2" t="str">
        <f t="shared" si="134"/>
        <v>--</v>
      </c>
      <c r="K1719" s="2" t="str">
        <f t="shared" si="134"/>
        <v>--</v>
      </c>
      <c r="L1719" s="2" t="str">
        <f t="shared" si="134"/>
        <v>--</v>
      </c>
      <c r="M1719" s="2" t="str">
        <f>"否"</f>
        <v>否</v>
      </c>
      <c r="N1719" s="2"/>
      <c r="O1719" s="2"/>
      <c r="P1719" s="2"/>
      <c r="Q1719" s="2"/>
    </row>
    <row r="1720" spans="1:17" x14ac:dyDescent="0.3">
      <c r="A1720" s="2" t="str">
        <f>"4166"</f>
        <v>4166</v>
      </c>
      <c r="B1720" s="2" t="s">
        <v>4286</v>
      </c>
      <c r="C1720" s="2" t="s">
        <v>6967</v>
      </c>
      <c r="D1720" s="2" t="s">
        <v>6968</v>
      </c>
      <c r="E1720" s="2" t="s">
        <v>6969</v>
      </c>
      <c r="F1720" s="2" t="s">
        <v>41</v>
      </c>
      <c r="G1720" s="2" t="str">
        <f>"(02)2325-7621"</f>
        <v>(02)2325-7621</v>
      </c>
      <c r="H1720" s="2" t="s">
        <v>806</v>
      </c>
      <c r="I1720" s="2" t="str">
        <f>"(02)8787-1888"</f>
        <v>(02)8787-1888</v>
      </c>
      <c r="J1720" s="2" t="str">
        <f t="shared" si="134"/>
        <v>--</v>
      </c>
      <c r="K1720" s="2" t="str">
        <f t="shared" si="134"/>
        <v>--</v>
      </c>
      <c r="L1720" s="2" t="str">
        <f t="shared" si="134"/>
        <v>--</v>
      </c>
      <c r="M1720" s="2" t="str">
        <f>"否"</f>
        <v>否</v>
      </c>
      <c r="N1720" s="2"/>
      <c r="O1720" s="2"/>
      <c r="P1720" s="2"/>
      <c r="Q1720" s="2"/>
    </row>
    <row r="1721" spans="1:17" x14ac:dyDescent="0.3">
      <c r="A1721" s="2" t="str">
        <f>"4169"</f>
        <v>4169</v>
      </c>
      <c r="B1721" s="2" t="s">
        <v>4290</v>
      </c>
      <c r="C1721" s="2" t="s">
        <v>4291</v>
      </c>
      <c r="D1721" s="2" t="s">
        <v>6010</v>
      </c>
      <c r="E1721" s="2" t="s">
        <v>6970</v>
      </c>
      <c r="F1721" s="2" t="s">
        <v>2</v>
      </c>
      <c r="G1721" s="2" t="str">
        <f>"02-26581677"</f>
        <v>02-26581677</v>
      </c>
      <c r="H1721" s="2" t="s">
        <v>404</v>
      </c>
      <c r="I1721" s="2" t="str">
        <f>"02-66365566"</f>
        <v>02-66365566</v>
      </c>
      <c r="J1721" s="2" t="str">
        <f>"自105年05月25日至105年06月21日止"</f>
        <v>自105年05月25日至105年06月21日止</v>
      </c>
      <c r="K1721" s="2" t="str">
        <f>"台灣集中保管結算所股份有限公司"</f>
        <v>台灣集中保管結算所股份有限公司</v>
      </c>
      <c r="L1721" s="2" t="str">
        <f>"http://www.stockvote.com.tw"</f>
        <v>http://www.stockvote.com.tw</v>
      </c>
      <c r="M1721" s="2" t="str">
        <f>"&lt;b&gt;&lt;font color='red'&gt;自願&lt;/font&gt;&lt;/b&gt;"</f>
        <v>&lt;b&gt;&lt;font color='red'&gt;自願&lt;/font&gt;&lt;/b&gt;</v>
      </c>
      <c r="N1721" s="2"/>
      <c r="O1721" s="2"/>
      <c r="P1721" s="2"/>
      <c r="Q1721" s="2"/>
    </row>
    <row r="1722" spans="1:17" x14ac:dyDescent="0.3">
      <c r="A1722" s="2" t="str">
        <f>"4170"</f>
        <v>4170</v>
      </c>
      <c r="B1722" s="2" t="s">
        <v>4292</v>
      </c>
      <c r="C1722" s="2" t="s">
        <v>6971</v>
      </c>
      <c r="D1722" s="2" t="s">
        <v>6007</v>
      </c>
      <c r="E1722" s="2" t="s">
        <v>6972</v>
      </c>
      <c r="F1722" s="2" t="s">
        <v>41</v>
      </c>
      <c r="G1722" s="2" t="str">
        <f>"02-2697-1100"</f>
        <v>02-2697-1100</v>
      </c>
      <c r="H1722" s="2" t="s">
        <v>456</v>
      </c>
      <c r="I1722" s="2" t="str">
        <f>"02-2504-8125"</f>
        <v>02-2504-8125</v>
      </c>
      <c r="J1722" s="2" t="str">
        <f t="shared" ref="J1722:M1727" si="135">"--"</f>
        <v>--</v>
      </c>
      <c r="K1722" s="2" t="str">
        <f t="shared" si="135"/>
        <v>--</v>
      </c>
      <c r="L1722" s="2" t="str">
        <f t="shared" si="135"/>
        <v>--</v>
      </c>
      <c r="M1722" s="2" t="str">
        <f t="shared" si="135"/>
        <v>--</v>
      </c>
      <c r="N1722" s="2"/>
      <c r="O1722" s="2"/>
      <c r="P1722" s="2"/>
      <c r="Q1722" s="2"/>
    </row>
    <row r="1723" spans="1:17" x14ac:dyDescent="0.3">
      <c r="A1723" s="2" t="str">
        <f>"4172"</f>
        <v>4172</v>
      </c>
      <c r="B1723" s="2" t="s">
        <v>4293</v>
      </c>
      <c r="C1723" s="2" t="s">
        <v>6973</v>
      </c>
      <c r="D1723" s="2" t="s">
        <v>6007</v>
      </c>
      <c r="E1723" s="2" t="s">
        <v>4294</v>
      </c>
      <c r="F1723" s="2" t="s">
        <v>2</v>
      </c>
      <c r="G1723" s="2" t="str">
        <f>"02-87977607"</f>
        <v>02-87977607</v>
      </c>
      <c r="H1723" s="2" t="s">
        <v>582</v>
      </c>
      <c r="I1723" s="2" t="str">
        <f>"02-25865859"</f>
        <v>02-25865859</v>
      </c>
      <c r="J1723" s="2" t="str">
        <f t="shared" si="135"/>
        <v>--</v>
      </c>
      <c r="K1723" s="2" t="str">
        <f t="shared" si="135"/>
        <v>--</v>
      </c>
      <c r="L1723" s="2" t="str">
        <f t="shared" si="135"/>
        <v>--</v>
      </c>
      <c r="M1723" s="2" t="str">
        <f t="shared" si="135"/>
        <v>--</v>
      </c>
      <c r="N1723" s="2"/>
      <c r="O1723" s="2"/>
      <c r="P1723" s="2"/>
      <c r="Q1723" s="2"/>
    </row>
    <row r="1724" spans="1:17" x14ac:dyDescent="0.3">
      <c r="A1724" s="2" t="str">
        <f>"4177"</f>
        <v>4177</v>
      </c>
      <c r="B1724" s="2" t="s">
        <v>4295</v>
      </c>
      <c r="C1724" s="2" t="s">
        <v>6974</v>
      </c>
      <c r="D1724" s="2" t="s">
        <v>6010</v>
      </c>
      <c r="E1724" s="2" t="s">
        <v>6975</v>
      </c>
      <c r="F1724" s="2" t="s">
        <v>2</v>
      </c>
      <c r="G1724" s="2" t="str">
        <f>"+886226597698"</f>
        <v>+886226597698</v>
      </c>
      <c r="H1724" s="2" t="s">
        <v>456</v>
      </c>
      <c r="I1724" s="2" t="str">
        <f>"02-2504-8125"</f>
        <v>02-2504-8125</v>
      </c>
      <c r="J1724" s="2" t="str">
        <f t="shared" si="135"/>
        <v>--</v>
      </c>
      <c r="K1724" s="2" t="str">
        <f t="shared" si="135"/>
        <v>--</v>
      </c>
      <c r="L1724" s="2" t="str">
        <f t="shared" si="135"/>
        <v>--</v>
      </c>
      <c r="M1724" s="2" t="str">
        <f t="shared" si="135"/>
        <v>--</v>
      </c>
      <c r="N1724" s="2"/>
      <c r="O1724" s="2"/>
      <c r="P1724" s="2"/>
      <c r="Q1724" s="2"/>
    </row>
    <row r="1725" spans="1:17" x14ac:dyDescent="0.3">
      <c r="A1725" s="2" t="str">
        <f>"4181"</f>
        <v>4181</v>
      </c>
      <c r="B1725" s="2" t="s">
        <v>4296</v>
      </c>
      <c r="C1725" s="2" t="s">
        <v>4297</v>
      </c>
      <c r="D1725" s="2" t="s">
        <v>6001</v>
      </c>
      <c r="E1725" s="2" t="s">
        <v>6976</v>
      </c>
      <c r="F1725" s="2" t="s">
        <v>41</v>
      </c>
      <c r="G1725" s="2" t="str">
        <f>"02-22673937"</f>
        <v>02-22673937</v>
      </c>
      <c r="H1725" s="2" t="s">
        <v>6006</v>
      </c>
      <c r="I1725" s="2" t="str">
        <f>"02-25863117"</f>
        <v>02-25863117</v>
      </c>
      <c r="J1725" s="2" t="str">
        <f t="shared" si="135"/>
        <v>--</v>
      </c>
      <c r="K1725" s="2" t="str">
        <f t="shared" si="135"/>
        <v>--</v>
      </c>
      <c r="L1725" s="2" t="str">
        <f t="shared" si="135"/>
        <v>--</v>
      </c>
      <c r="M1725" s="2" t="str">
        <f t="shared" si="135"/>
        <v>--</v>
      </c>
      <c r="N1725" s="2"/>
      <c r="O1725" s="2"/>
      <c r="P1725" s="2"/>
      <c r="Q1725" s="2"/>
    </row>
    <row r="1726" spans="1:17" x14ac:dyDescent="0.3">
      <c r="A1726" s="2" t="str">
        <f>"4183"</f>
        <v>4183</v>
      </c>
      <c r="B1726" s="2" t="s">
        <v>4298</v>
      </c>
      <c r="C1726" s="2" t="s">
        <v>4299</v>
      </c>
      <c r="D1726" s="2" t="s">
        <v>6034</v>
      </c>
      <c r="E1726" s="2" t="s">
        <v>4300</v>
      </c>
      <c r="F1726" s="2" t="s">
        <v>41</v>
      </c>
      <c r="G1726" s="2" t="str">
        <f>"03-6686868"</f>
        <v>03-6686868</v>
      </c>
      <c r="H1726" s="2" t="s">
        <v>456</v>
      </c>
      <c r="I1726" s="2" t="str">
        <f>"02-25048125"</f>
        <v>02-25048125</v>
      </c>
      <c r="J1726" s="2" t="str">
        <f t="shared" si="135"/>
        <v>--</v>
      </c>
      <c r="K1726" s="2" t="str">
        <f t="shared" si="135"/>
        <v>--</v>
      </c>
      <c r="L1726" s="2" t="str">
        <f t="shared" si="135"/>
        <v>--</v>
      </c>
      <c r="M1726" s="2" t="str">
        <f>"否"</f>
        <v>否</v>
      </c>
      <c r="N1726" s="2"/>
      <c r="O1726" s="2"/>
      <c r="P1726" s="2"/>
      <c r="Q1726" s="2"/>
    </row>
    <row r="1727" spans="1:17" x14ac:dyDescent="0.3">
      <c r="A1727" s="2" t="str">
        <f>"4186"</f>
        <v>4186</v>
      </c>
      <c r="B1727" s="2" t="s">
        <v>4301</v>
      </c>
      <c r="C1727" s="2" t="s">
        <v>4302</v>
      </c>
      <c r="D1727" s="2" t="s">
        <v>6014</v>
      </c>
      <c r="E1727" s="2" t="s">
        <v>4303</v>
      </c>
      <c r="F1727" s="2" t="s">
        <v>2</v>
      </c>
      <c r="G1727" s="2" t="str">
        <f>"(02)2692-6222"</f>
        <v>(02)2692-6222</v>
      </c>
      <c r="H1727" s="2" t="s">
        <v>444</v>
      </c>
      <c r="I1727" s="2" t="str">
        <f>"(02)2746-3797"</f>
        <v>(02)2746-3797</v>
      </c>
      <c r="J1727" s="2" t="str">
        <f t="shared" si="135"/>
        <v>--</v>
      </c>
      <c r="K1727" s="2" t="str">
        <f t="shared" si="135"/>
        <v>--</v>
      </c>
      <c r="L1727" s="2" t="str">
        <f t="shared" si="135"/>
        <v>--</v>
      </c>
      <c r="M1727" s="2" t="str">
        <f>"--"</f>
        <v>--</v>
      </c>
      <c r="N1727" s="2"/>
      <c r="O1727" s="2"/>
      <c r="P1727" s="2"/>
      <c r="Q1727" s="2"/>
    </row>
    <row r="1728" spans="1:17" x14ac:dyDescent="0.3">
      <c r="A1728" s="2" t="str">
        <f>"4187"</f>
        <v>4187</v>
      </c>
      <c r="B1728" s="2" t="s">
        <v>4304</v>
      </c>
      <c r="C1728" s="2" t="s">
        <v>4305</v>
      </c>
      <c r="D1728" s="2" t="s">
        <v>6001</v>
      </c>
      <c r="E1728" s="2" t="s">
        <v>3029</v>
      </c>
      <c r="F1728" s="2" t="s">
        <v>41</v>
      </c>
      <c r="G1728" s="2" t="str">
        <f>"05-2205800"</f>
        <v>05-2205800</v>
      </c>
      <c r="H1728" s="2" t="s">
        <v>4306</v>
      </c>
      <c r="I1728" s="2" t="str">
        <f>"02-27023999"</f>
        <v>02-27023999</v>
      </c>
      <c r="J1728" s="2" t="str">
        <f>"自105年05月28日至105年06月24日止"</f>
        <v>自105年05月28日至105年06月24日止</v>
      </c>
      <c r="K1728" s="2" t="str">
        <f>"台灣集中保管結算所股份有限公司"</f>
        <v>台灣集中保管結算所股份有限公司</v>
      </c>
      <c r="L1728" s="2" t="str">
        <f>"http://www.stockvote.com.tw"</f>
        <v>http://www.stockvote.com.tw</v>
      </c>
      <c r="M1728" s="2" t="str">
        <f>"--"</f>
        <v>--</v>
      </c>
      <c r="N1728" s="2"/>
      <c r="O1728" s="2"/>
      <c r="P1728" s="2"/>
      <c r="Q1728" s="2"/>
    </row>
    <row r="1729" spans="1:17" x14ac:dyDescent="0.3">
      <c r="A1729" s="2" t="str">
        <f>"4191"</f>
        <v>4191</v>
      </c>
      <c r="B1729" s="2" t="s">
        <v>4307</v>
      </c>
      <c r="C1729" s="2" t="s">
        <v>4308</v>
      </c>
      <c r="D1729" s="2" t="s">
        <v>5999</v>
      </c>
      <c r="E1729" s="2" t="s">
        <v>6977</v>
      </c>
      <c r="F1729" s="2" t="s">
        <v>2</v>
      </c>
      <c r="G1729" s="2" t="str">
        <f>"02-2223-1552"</f>
        <v>02-2223-1552</v>
      </c>
      <c r="H1729" s="2" t="s">
        <v>415</v>
      </c>
      <c r="I1729" s="2" t="str">
        <f>"02-2389-2999"</f>
        <v>02-2389-2999</v>
      </c>
      <c r="J1729" s="2" t="str">
        <f t="shared" ref="J1729:L1735" si="136">"--"</f>
        <v>--</v>
      </c>
      <c r="K1729" s="2" t="str">
        <f t="shared" si="136"/>
        <v>--</v>
      </c>
      <c r="L1729" s="2" t="str">
        <f t="shared" si="136"/>
        <v>--</v>
      </c>
      <c r="M1729" s="2" t="str">
        <f>"--"</f>
        <v>--</v>
      </c>
      <c r="N1729" s="2"/>
      <c r="O1729" s="2"/>
      <c r="P1729" s="2"/>
      <c r="Q1729" s="2"/>
    </row>
    <row r="1730" spans="1:17" x14ac:dyDescent="0.3">
      <c r="A1730" s="2" t="str">
        <f>"4193"</f>
        <v>4193</v>
      </c>
      <c r="B1730" s="2" t="s">
        <v>6978</v>
      </c>
      <c r="C1730" s="2" t="s">
        <v>6979</v>
      </c>
      <c r="D1730" s="2" t="s">
        <v>6007</v>
      </c>
      <c r="E1730" s="2" t="s">
        <v>6979</v>
      </c>
      <c r="F1730" s="2" t="s">
        <v>41</v>
      </c>
      <c r="G1730" s="2" t="str">
        <f>"08-7620033"</f>
        <v>08-7620033</v>
      </c>
      <c r="H1730" s="2" t="s">
        <v>505</v>
      </c>
      <c r="I1730" s="2" t="str">
        <f>"(02)2381-6288"</f>
        <v>(02)2381-6288</v>
      </c>
      <c r="J1730" s="2" t="str">
        <f t="shared" si="136"/>
        <v>--</v>
      </c>
      <c r="K1730" s="2" t="str">
        <f t="shared" si="136"/>
        <v>--</v>
      </c>
      <c r="L1730" s="2" t="str">
        <f t="shared" si="136"/>
        <v>--</v>
      </c>
      <c r="M1730" s="2" t="str">
        <f>"否"</f>
        <v>否</v>
      </c>
      <c r="N1730" s="2"/>
      <c r="O1730" s="2"/>
      <c r="P1730" s="2"/>
      <c r="Q1730" s="2"/>
    </row>
    <row r="1731" spans="1:17" x14ac:dyDescent="0.3">
      <c r="A1731" s="2" t="str">
        <f>"4194"</f>
        <v>4194</v>
      </c>
      <c r="B1731" s="2" t="s">
        <v>4309</v>
      </c>
      <c r="C1731" s="2" t="s">
        <v>4310</v>
      </c>
      <c r="D1731" s="2" t="s">
        <v>6116</v>
      </c>
      <c r="E1731" s="2" t="s">
        <v>1707</v>
      </c>
      <c r="F1731" s="2" t="s">
        <v>2</v>
      </c>
      <c r="G1731" s="2" t="str">
        <f>"0287975966"</f>
        <v>0287975966</v>
      </c>
      <c r="H1731" s="2" t="s">
        <v>404</v>
      </c>
      <c r="I1731" s="2" t="str">
        <f>"02-66365566"</f>
        <v>02-66365566</v>
      </c>
      <c r="J1731" s="2" t="str">
        <f t="shared" si="136"/>
        <v>--</v>
      </c>
      <c r="K1731" s="2" t="str">
        <f t="shared" si="136"/>
        <v>--</v>
      </c>
      <c r="L1731" s="2" t="str">
        <f t="shared" si="136"/>
        <v>--</v>
      </c>
      <c r="M1731" s="2" t="str">
        <f>"否"</f>
        <v>否</v>
      </c>
      <c r="N1731" s="2"/>
      <c r="O1731" s="2"/>
      <c r="P1731" s="2"/>
      <c r="Q1731" s="2"/>
    </row>
    <row r="1732" spans="1:17" x14ac:dyDescent="0.3">
      <c r="A1732" s="2" t="str">
        <f>"4195"</f>
        <v>4195</v>
      </c>
      <c r="B1732" s="2" t="s">
        <v>298</v>
      </c>
      <c r="C1732" s="2" t="s">
        <v>4311</v>
      </c>
      <c r="D1732" s="2" t="s">
        <v>6037</v>
      </c>
      <c r="E1732" s="2" t="s">
        <v>6980</v>
      </c>
      <c r="F1732" s="2" t="s">
        <v>41</v>
      </c>
      <c r="G1732" s="2" t="str">
        <f>"2696-1658"</f>
        <v>2696-1658</v>
      </c>
      <c r="H1732" s="2" t="s">
        <v>4175</v>
      </c>
      <c r="I1732" s="2" t="str">
        <f>"2563-5711"</f>
        <v>2563-5711</v>
      </c>
      <c r="J1732" s="2" t="str">
        <f t="shared" si="136"/>
        <v>--</v>
      </c>
      <c r="K1732" s="2" t="str">
        <f t="shared" si="136"/>
        <v>--</v>
      </c>
      <c r="L1732" s="2" t="str">
        <f t="shared" si="136"/>
        <v>--</v>
      </c>
      <c r="M1732" s="2" t="str">
        <f>"否"</f>
        <v>否</v>
      </c>
      <c r="N1732" s="2"/>
      <c r="O1732" s="2"/>
      <c r="P1732" s="2"/>
      <c r="Q1732" s="2"/>
    </row>
    <row r="1733" spans="1:17" x14ac:dyDescent="0.3">
      <c r="A1733" s="2" t="str">
        <f>"4197"</f>
        <v>4197</v>
      </c>
      <c r="B1733" s="2" t="s">
        <v>4312</v>
      </c>
      <c r="C1733" s="2" t="s">
        <v>6981</v>
      </c>
      <c r="D1733" s="2" t="s">
        <v>6116</v>
      </c>
      <c r="E1733" s="2" t="s">
        <v>6982</v>
      </c>
      <c r="F1733" s="2" t="s">
        <v>2</v>
      </c>
      <c r="G1733" s="2" t="str">
        <f>"(03)518-1918"</f>
        <v>(03)518-1918</v>
      </c>
      <c r="H1733" s="2" t="s">
        <v>6006</v>
      </c>
      <c r="I1733" s="2" t="str">
        <f>"(02)2586-5859"</f>
        <v>(02)2586-5859</v>
      </c>
      <c r="J1733" s="2" t="str">
        <f t="shared" si="136"/>
        <v>--</v>
      </c>
      <c r="K1733" s="2" t="str">
        <f t="shared" si="136"/>
        <v>--</v>
      </c>
      <c r="L1733" s="2" t="str">
        <f t="shared" si="136"/>
        <v>--</v>
      </c>
      <c r="M1733" s="2" t="str">
        <f>"否"</f>
        <v>否</v>
      </c>
      <c r="N1733" s="2"/>
      <c r="O1733" s="2"/>
      <c r="P1733" s="2"/>
      <c r="Q1733" s="2"/>
    </row>
    <row r="1734" spans="1:17" x14ac:dyDescent="0.3">
      <c r="A1734" s="2" t="str">
        <f>"4427"</f>
        <v>4427</v>
      </c>
      <c r="B1734" s="2" t="s">
        <v>4313</v>
      </c>
      <c r="C1734" s="2" t="s">
        <v>4314</v>
      </c>
      <c r="D1734" s="2" t="s">
        <v>6015</v>
      </c>
      <c r="E1734" s="2" t="s">
        <v>4315</v>
      </c>
      <c r="F1734" s="2" t="s">
        <v>2</v>
      </c>
      <c r="G1734" s="2" t="str">
        <f>"(04)23111313"</f>
        <v>(04)23111313</v>
      </c>
      <c r="H1734" s="2" t="s">
        <v>431</v>
      </c>
      <c r="I1734" s="2" t="str">
        <f>"02-27023999"</f>
        <v>02-27023999</v>
      </c>
      <c r="J1734" s="2" t="str">
        <f t="shared" si="136"/>
        <v>--</v>
      </c>
      <c r="K1734" s="2" t="str">
        <f t="shared" si="136"/>
        <v>--</v>
      </c>
      <c r="L1734" s="2" t="str">
        <f t="shared" si="136"/>
        <v>--</v>
      </c>
      <c r="M1734" s="2" t="str">
        <f>"--"</f>
        <v>--</v>
      </c>
      <c r="N1734" s="2"/>
      <c r="O1734" s="2"/>
      <c r="P1734" s="2"/>
      <c r="Q1734" s="2"/>
    </row>
    <row r="1735" spans="1:17" x14ac:dyDescent="0.3">
      <c r="A1735" s="2" t="str">
        <f>"4431"</f>
        <v>4431</v>
      </c>
      <c r="B1735" s="2" t="s">
        <v>4316</v>
      </c>
      <c r="C1735" s="2" t="s">
        <v>6983</v>
      </c>
      <c r="D1735" s="2" t="s">
        <v>6007</v>
      </c>
      <c r="E1735" s="2" t="s">
        <v>4317</v>
      </c>
      <c r="F1735" s="2" t="s">
        <v>2</v>
      </c>
      <c r="G1735" s="2" t="str">
        <f>"03-4631317"</f>
        <v>03-4631317</v>
      </c>
      <c r="H1735" s="2" t="s">
        <v>431</v>
      </c>
      <c r="I1735" s="2" t="str">
        <f>"02-27023999"</f>
        <v>02-27023999</v>
      </c>
      <c r="J1735" s="2" t="str">
        <f t="shared" si="136"/>
        <v>--</v>
      </c>
      <c r="K1735" s="2" t="str">
        <f t="shared" si="136"/>
        <v>--</v>
      </c>
      <c r="L1735" s="2" t="str">
        <f t="shared" si="136"/>
        <v>--</v>
      </c>
      <c r="M1735" s="2" t="str">
        <f>"--"</f>
        <v>--</v>
      </c>
      <c r="N1735" s="2"/>
      <c r="O1735" s="2"/>
      <c r="P1735" s="2"/>
      <c r="Q1735" s="2"/>
    </row>
    <row r="1736" spans="1:17" x14ac:dyDescent="0.3">
      <c r="A1736" s="2" t="str">
        <f>"4438"</f>
        <v>4438</v>
      </c>
      <c r="B1736" s="2" t="s">
        <v>6984</v>
      </c>
      <c r="C1736" s="2" t="s">
        <v>6985</v>
      </c>
      <c r="D1736" s="2" t="s">
        <v>6002</v>
      </c>
      <c r="E1736" s="2" t="s">
        <v>6986</v>
      </c>
      <c r="F1736" s="2" t="s">
        <v>2</v>
      </c>
      <c r="G1736" s="2" t="str">
        <f>"(02)2798-9169"</f>
        <v>(02)2798-9169</v>
      </c>
      <c r="H1736" s="2" t="s">
        <v>415</v>
      </c>
      <c r="I1736" s="2" t="str">
        <f>"(02)2389-2999"</f>
        <v>(02)2389-2999</v>
      </c>
      <c r="J1736" s="2" t="str">
        <f>"自105年05月15日至105年06月12日止"</f>
        <v>自105年05月15日至105年06月12日止</v>
      </c>
      <c r="K1736" s="2" t="str">
        <f>"台灣集中保管結算所股份有限公司"</f>
        <v>台灣集中保管結算所股份有限公司</v>
      </c>
      <c r="L1736" s="2" t="str">
        <f>"http://www.stockvote.com.tw"</f>
        <v>http://www.stockvote.com.tw</v>
      </c>
      <c r="M1736" s="2" t="str">
        <f>"&lt;b&gt;&lt;font color='red'&gt;自願&lt;/font&gt;&lt;/b&gt;"</f>
        <v>&lt;b&gt;&lt;font color='red'&gt;自願&lt;/font&gt;&lt;/b&gt;</v>
      </c>
      <c r="N1736" s="2"/>
      <c r="O1736" s="2"/>
      <c r="P1736" s="2"/>
      <c r="Q1736" s="2"/>
    </row>
    <row r="1737" spans="1:17" x14ac:dyDescent="0.3">
      <c r="A1737" s="2" t="str">
        <f>"4537"</f>
        <v>4537</v>
      </c>
      <c r="B1737" s="2" t="s">
        <v>4318</v>
      </c>
      <c r="C1737" s="2" t="s">
        <v>4319</v>
      </c>
      <c r="D1737" s="2" t="s">
        <v>6010</v>
      </c>
      <c r="E1737" s="2" t="s">
        <v>4320</v>
      </c>
      <c r="F1737" s="2" t="s">
        <v>2</v>
      </c>
      <c r="G1737" s="2" t="str">
        <f>"04-25561000"</f>
        <v>04-25561000</v>
      </c>
      <c r="H1737" s="2" t="s">
        <v>996</v>
      </c>
      <c r="I1737" s="2" t="str">
        <f>"02-33930898"</f>
        <v>02-33930898</v>
      </c>
      <c r="J1737" s="2" t="str">
        <f t="shared" ref="J1737:M1740" si="137">"--"</f>
        <v>--</v>
      </c>
      <c r="K1737" s="2" t="str">
        <f t="shared" si="137"/>
        <v>--</v>
      </c>
      <c r="L1737" s="2" t="str">
        <f t="shared" si="137"/>
        <v>--</v>
      </c>
      <c r="M1737" s="2" t="str">
        <f t="shared" si="137"/>
        <v>--</v>
      </c>
      <c r="N1737" s="2"/>
      <c r="O1737" s="2"/>
      <c r="P1737" s="2"/>
      <c r="Q1737" s="2"/>
    </row>
    <row r="1738" spans="1:17" x14ac:dyDescent="0.3">
      <c r="A1738" s="2" t="str">
        <f>"4538"</f>
        <v>4538</v>
      </c>
      <c r="B1738" s="2" t="s">
        <v>4321</v>
      </c>
      <c r="C1738" s="2" t="s">
        <v>4322</v>
      </c>
      <c r="D1738" s="2" t="s">
        <v>6028</v>
      </c>
      <c r="E1738" s="2" t="s">
        <v>4323</v>
      </c>
      <c r="F1738" s="2" t="s">
        <v>2</v>
      </c>
      <c r="G1738" s="2" t="str">
        <f>"04-7813033"</f>
        <v>04-7813033</v>
      </c>
      <c r="H1738" s="2" t="s">
        <v>2059</v>
      </c>
      <c r="I1738" s="2" t="str">
        <f>"(02)2541-9977"</f>
        <v>(02)2541-9977</v>
      </c>
      <c r="J1738" s="2" t="str">
        <f t="shared" si="137"/>
        <v>--</v>
      </c>
      <c r="K1738" s="2" t="str">
        <f t="shared" si="137"/>
        <v>--</v>
      </c>
      <c r="L1738" s="2" t="str">
        <f t="shared" si="137"/>
        <v>--</v>
      </c>
      <c r="M1738" s="2" t="str">
        <f t="shared" si="137"/>
        <v>--</v>
      </c>
      <c r="N1738" s="2"/>
      <c r="O1738" s="2"/>
      <c r="P1738" s="2"/>
      <c r="Q1738" s="2"/>
    </row>
    <row r="1739" spans="1:17" x14ac:dyDescent="0.3">
      <c r="A1739" s="2" t="str">
        <f>"4540"</f>
        <v>4540</v>
      </c>
      <c r="B1739" s="2" t="s">
        <v>4324</v>
      </c>
      <c r="C1739" s="2" t="s">
        <v>6987</v>
      </c>
      <c r="D1739" s="2" t="s">
        <v>6001</v>
      </c>
      <c r="E1739" s="2" t="s">
        <v>6988</v>
      </c>
      <c r="F1739" s="2" t="s">
        <v>41</v>
      </c>
      <c r="G1739" s="2" t="str">
        <f>"(02)2689-2689"</f>
        <v>(02)2689-2689</v>
      </c>
      <c r="H1739" s="2" t="s">
        <v>896</v>
      </c>
      <c r="I1739" s="2" t="str">
        <f>"(02)2563-5711"</f>
        <v>(02)2563-5711</v>
      </c>
      <c r="J1739" s="2" t="str">
        <f t="shared" si="137"/>
        <v>--</v>
      </c>
      <c r="K1739" s="2" t="str">
        <f t="shared" si="137"/>
        <v>--</v>
      </c>
      <c r="L1739" s="2" t="str">
        <f t="shared" si="137"/>
        <v>--</v>
      </c>
      <c r="M1739" s="2" t="str">
        <f t="shared" si="137"/>
        <v>--</v>
      </c>
      <c r="N1739" s="2"/>
      <c r="O1739" s="2"/>
      <c r="P1739" s="2"/>
      <c r="Q1739" s="2"/>
    </row>
    <row r="1740" spans="1:17" x14ac:dyDescent="0.3">
      <c r="A1740" s="2" t="str">
        <f>"4544"</f>
        <v>4544</v>
      </c>
      <c r="B1740" s="2" t="s">
        <v>4328</v>
      </c>
      <c r="C1740" s="2" t="s">
        <v>4329</v>
      </c>
      <c r="D1740" s="2" t="s">
        <v>6004</v>
      </c>
      <c r="E1740" s="2" t="s">
        <v>4330</v>
      </c>
      <c r="F1740" s="2" t="s">
        <v>2</v>
      </c>
      <c r="G1740" s="2" t="str">
        <f>"07-6212196"</f>
        <v>07-6212196</v>
      </c>
      <c r="H1740" s="2" t="s">
        <v>465</v>
      </c>
      <c r="I1740" s="2" t="str">
        <f>"02-23816288"</f>
        <v>02-23816288</v>
      </c>
      <c r="J1740" s="2" t="str">
        <f t="shared" si="137"/>
        <v>--</v>
      </c>
      <c r="K1740" s="2" t="str">
        <f t="shared" si="137"/>
        <v>--</v>
      </c>
      <c r="L1740" s="2" t="str">
        <f t="shared" si="137"/>
        <v>--</v>
      </c>
      <c r="M1740" s="2" t="str">
        <f t="shared" si="137"/>
        <v>--</v>
      </c>
      <c r="N1740" s="2"/>
      <c r="O1740" s="2"/>
      <c r="P1740" s="2"/>
      <c r="Q1740" s="2"/>
    </row>
    <row r="1741" spans="1:17" x14ac:dyDescent="0.3">
      <c r="A1741" s="2" t="str">
        <f>"4546"</f>
        <v>4546</v>
      </c>
      <c r="B1741" s="2" t="s">
        <v>4334</v>
      </c>
      <c r="C1741" s="2" t="s">
        <v>4335</v>
      </c>
      <c r="D1741" s="2" t="s">
        <v>6007</v>
      </c>
      <c r="E1741" s="2" t="s">
        <v>4336</v>
      </c>
      <c r="F1741" s="2" t="s">
        <v>41</v>
      </c>
      <c r="G1741" s="2" t="str">
        <f>"07-6955598"</f>
        <v>07-6955598</v>
      </c>
      <c r="H1741" s="2" t="s">
        <v>3543</v>
      </c>
      <c r="I1741" s="2" t="str">
        <f>"02-23268818"</f>
        <v>02-23268818</v>
      </c>
      <c r="J1741" s="2" t="str">
        <f>"自105年05月29日至105年06月25日止"</f>
        <v>自105年05月29日至105年06月25日止</v>
      </c>
      <c r="K1741" s="2" t="str">
        <f>"台灣集中保管結算所股份有限公司"</f>
        <v>台灣集中保管結算所股份有限公司</v>
      </c>
      <c r="L1741" s="2" t="str">
        <f>"http://www.stockvote.com.tw"</f>
        <v>http://www.stockvote.com.tw</v>
      </c>
      <c r="M1741" s="2" t="str">
        <f>"&lt;b&gt;&lt;font color='red'&gt;自願&lt;/font&gt;&lt;/b&gt;"</f>
        <v>&lt;b&gt;&lt;font color='red'&gt;自願&lt;/font&gt;&lt;/b&gt;</v>
      </c>
      <c r="N1741" s="2"/>
      <c r="O1741" s="2"/>
      <c r="P1741" s="2"/>
      <c r="Q1741" s="2"/>
    </row>
    <row r="1742" spans="1:17" x14ac:dyDescent="0.3">
      <c r="A1742" s="2" t="str">
        <f>"4553"</f>
        <v>4553</v>
      </c>
      <c r="B1742" s="2" t="s">
        <v>4339</v>
      </c>
      <c r="C1742" s="2" t="s">
        <v>4340</v>
      </c>
      <c r="D1742" s="2" t="s">
        <v>6141</v>
      </c>
      <c r="E1742" s="2" t="s">
        <v>6989</v>
      </c>
      <c r="F1742" s="2" t="s">
        <v>2</v>
      </c>
      <c r="G1742" s="2" t="str">
        <f>"(04)23592768"</f>
        <v>(04)23592768</v>
      </c>
      <c r="H1742" s="2" t="s">
        <v>541</v>
      </c>
      <c r="I1742" s="2" t="str">
        <f>"(02)33930898"</f>
        <v>(02)33930898</v>
      </c>
      <c r="J1742" s="2" t="str">
        <f t="shared" ref="J1742:L1746" si="138">"--"</f>
        <v>--</v>
      </c>
      <c r="K1742" s="2" t="str">
        <f t="shared" si="138"/>
        <v>--</v>
      </c>
      <c r="L1742" s="2" t="str">
        <f t="shared" si="138"/>
        <v>--</v>
      </c>
      <c r="M1742" s="2" t="str">
        <f>"否"</f>
        <v>否</v>
      </c>
      <c r="N1742" s="2"/>
      <c r="O1742" s="2"/>
      <c r="P1742" s="2"/>
      <c r="Q1742" s="2"/>
    </row>
    <row r="1743" spans="1:17" x14ac:dyDescent="0.3">
      <c r="A1743" s="2" t="str">
        <f>"4554"</f>
        <v>4554</v>
      </c>
      <c r="B1743" s="2" t="s">
        <v>4341</v>
      </c>
      <c r="C1743" s="2" t="s">
        <v>4342</v>
      </c>
      <c r="D1743" s="2" t="s">
        <v>6990</v>
      </c>
      <c r="E1743" s="2" t="s">
        <v>4343</v>
      </c>
      <c r="F1743" s="2" t="s">
        <v>2</v>
      </c>
      <c r="G1743" s="2" t="str">
        <f>"04-2560-2766"</f>
        <v>04-2560-2766</v>
      </c>
      <c r="H1743" s="2" t="s">
        <v>2961</v>
      </c>
      <c r="I1743" s="2" t="str">
        <f>"(02)7719-8899"</f>
        <v>(02)7719-8899</v>
      </c>
      <c r="J1743" s="2" t="str">
        <f t="shared" si="138"/>
        <v>--</v>
      </c>
      <c r="K1743" s="2" t="str">
        <f t="shared" si="138"/>
        <v>--</v>
      </c>
      <c r="L1743" s="2" t="str">
        <f t="shared" si="138"/>
        <v>--</v>
      </c>
      <c r="M1743" s="2" t="str">
        <f>"否"</f>
        <v>否</v>
      </c>
      <c r="N1743" s="2"/>
      <c r="O1743" s="2"/>
      <c r="P1743" s="2"/>
      <c r="Q1743" s="2"/>
    </row>
    <row r="1744" spans="1:17" x14ac:dyDescent="0.3">
      <c r="A1744" s="2" t="str">
        <f>"4558"</f>
        <v>4558</v>
      </c>
      <c r="B1744" s="2" t="s">
        <v>4348</v>
      </c>
      <c r="C1744" s="2" t="s">
        <v>4349</v>
      </c>
      <c r="D1744" s="2" t="s">
        <v>6004</v>
      </c>
      <c r="E1744" s="2" t="s">
        <v>4350</v>
      </c>
      <c r="F1744" s="2" t="s">
        <v>2</v>
      </c>
      <c r="G1744" s="2" t="str">
        <f>"04-8886999"</f>
        <v>04-8886999</v>
      </c>
      <c r="H1744" s="2" t="s">
        <v>2059</v>
      </c>
      <c r="I1744" s="2" t="str">
        <f>"02-25419977"</f>
        <v>02-25419977</v>
      </c>
      <c r="J1744" s="2" t="str">
        <f t="shared" si="138"/>
        <v>--</v>
      </c>
      <c r="K1744" s="2" t="str">
        <f t="shared" si="138"/>
        <v>--</v>
      </c>
      <c r="L1744" s="2" t="str">
        <f t="shared" si="138"/>
        <v>--</v>
      </c>
      <c r="M1744" s="2" t="str">
        <f>"--"</f>
        <v>--</v>
      </c>
      <c r="N1744" s="2"/>
      <c r="O1744" s="2"/>
      <c r="P1744" s="2"/>
      <c r="Q1744" s="2"/>
    </row>
    <row r="1745" spans="1:17" x14ac:dyDescent="0.3">
      <c r="A1745" s="2" t="str">
        <f>"4559"</f>
        <v>4559</v>
      </c>
      <c r="B1745" s="2" t="s">
        <v>4351</v>
      </c>
      <c r="C1745" s="2" t="s">
        <v>4352</v>
      </c>
      <c r="D1745" s="2" t="s">
        <v>6014</v>
      </c>
      <c r="E1745" s="2" t="s">
        <v>4353</v>
      </c>
      <c r="F1745" s="2" t="s">
        <v>41</v>
      </c>
      <c r="G1745" s="2" t="str">
        <f>"(04)2566-8888"</f>
        <v>(04)2566-8888</v>
      </c>
      <c r="H1745" s="2" t="s">
        <v>404</v>
      </c>
      <c r="I1745" s="2" t="str">
        <f>"(02)6636-5566"</f>
        <v>(02)6636-5566</v>
      </c>
      <c r="J1745" s="2" t="str">
        <f t="shared" si="138"/>
        <v>--</v>
      </c>
      <c r="K1745" s="2" t="str">
        <f t="shared" si="138"/>
        <v>--</v>
      </c>
      <c r="L1745" s="2" t="str">
        <f t="shared" si="138"/>
        <v>--</v>
      </c>
      <c r="M1745" s="2" t="str">
        <f>"否"</f>
        <v>否</v>
      </c>
      <c r="N1745" s="2"/>
      <c r="O1745" s="2"/>
      <c r="P1745" s="2"/>
      <c r="Q1745" s="2"/>
    </row>
    <row r="1746" spans="1:17" x14ac:dyDescent="0.3">
      <c r="A1746" s="2" t="str">
        <f>"4562"</f>
        <v>4562</v>
      </c>
      <c r="B1746" s="2" t="s">
        <v>6991</v>
      </c>
      <c r="C1746" s="2" t="s">
        <v>6992</v>
      </c>
      <c r="D1746" s="2" t="s">
        <v>6024</v>
      </c>
      <c r="E1746" s="2" t="s">
        <v>6993</v>
      </c>
      <c r="F1746" s="2" t="s">
        <v>2</v>
      </c>
      <c r="G1746" s="2" t="str">
        <f>"(06)3843188"</f>
        <v>(06)3843188</v>
      </c>
      <c r="H1746" s="2" t="s">
        <v>2808</v>
      </c>
      <c r="I1746" s="2" t="str">
        <f>"(02)25048125"</f>
        <v>(02)25048125</v>
      </c>
      <c r="J1746" s="2" t="str">
        <f t="shared" si="138"/>
        <v>--</v>
      </c>
      <c r="K1746" s="2" t="str">
        <f t="shared" si="138"/>
        <v>--</v>
      </c>
      <c r="L1746" s="2" t="str">
        <f t="shared" si="138"/>
        <v>--</v>
      </c>
      <c r="M1746" s="2" t="str">
        <f>"否"</f>
        <v>否</v>
      </c>
      <c r="N1746" s="2"/>
      <c r="O1746" s="2"/>
      <c r="P1746" s="2"/>
      <c r="Q1746" s="2"/>
    </row>
    <row r="1747" spans="1:17" x14ac:dyDescent="0.3">
      <c r="A1747" s="2" t="str">
        <f>"4730"</f>
        <v>4730</v>
      </c>
      <c r="B1747" s="2" t="s">
        <v>4354</v>
      </c>
      <c r="C1747" s="2" t="s">
        <v>4355</v>
      </c>
      <c r="D1747" s="2" t="s">
        <v>6000</v>
      </c>
      <c r="E1747" s="2" t="s">
        <v>4356</v>
      </c>
      <c r="F1747" s="2" t="s">
        <v>2</v>
      </c>
      <c r="G1747" s="2" t="str">
        <f>"(03)537-2181"</f>
        <v>(03)537-2181</v>
      </c>
      <c r="H1747" s="2" t="s">
        <v>640</v>
      </c>
      <c r="I1747" s="2" t="str">
        <f>"(02)23711658"</f>
        <v>(02)23711658</v>
      </c>
      <c r="J1747" s="2" t="str">
        <f>"自105年05月21日至105年06月18日止"</f>
        <v>自105年05月21日至105年06月18日止</v>
      </c>
      <c r="K1747" s="2" t="str">
        <f>"台灣集中保管結算所股份有限公司"</f>
        <v>台灣集中保管結算所股份有限公司</v>
      </c>
      <c r="L1747" s="2" t="str">
        <f>"http://www.stockvote.com.tw"</f>
        <v>http://www.stockvote.com.tw</v>
      </c>
      <c r="M1747" s="2" t="str">
        <f>"--"</f>
        <v>--</v>
      </c>
      <c r="N1747" s="2"/>
      <c r="O1747" s="2"/>
      <c r="P1747" s="2"/>
      <c r="Q1747" s="2"/>
    </row>
    <row r="1748" spans="1:17" x14ac:dyDescent="0.3">
      <c r="A1748" s="2" t="str">
        <f>"4732"</f>
        <v>4732</v>
      </c>
      <c r="B1748" s="2" t="s">
        <v>4357</v>
      </c>
      <c r="C1748" s="2" t="s">
        <v>4358</v>
      </c>
      <c r="D1748" s="2" t="s">
        <v>6080</v>
      </c>
      <c r="E1748" s="2" t="s">
        <v>6994</v>
      </c>
      <c r="F1748" s="2" t="s">
        <v>41</v>
      </c>
      <c r="G1748" s="2" t="str">
        <f>"(02)2570-6300"</f>
        <v>(02)2570-6300</v>
      </c>
      <c r="H1748" s="2" t="s">
        <v>2418</v>
      </c>
      <c r="I1748" s="2" t="str">
        <f>"(02)2768-6668"</f>
        <v>(02)2768-6668</v>
      </c>
      <c r="J1748" s="2" t="str">
        <f t="shared" ref="J1748:L1753" si="139">"--"</f>
        <v>--</v>
      </c>
      <c r="K1748" s="2" t="str">
        <f t="shared" si="139"/>
        <v>--</v>
      </c>
      <c r="L1748" s="2" t="str">
        <f t="shared" si="139"/>
        <v>--</v>
      </c>
      <c r="M1748" s="2" t="str">
        <f>"否"</f>
        <v>否</v>
      </c>
      <c r="N1748" s="2"/>
      <c r="O1748" s="2"/>
      <c r="P1748" s="2"/>
      <c r="Q1748" s="2"/>
    </row>
    <row r="1749" spans="1:17" x14ac:dyDescent="0.3">
      <c r="A1749" s="2" t="str">
        <f>"4734"</f>
        <v>4734</v>
      </c>
      <c r="B1749" s="2" t="s">
        <v>4359</v>
      </c>
      <c r="C1749" s="2" t="s">
        <v>6995</v>
      </c>
      <c r="D1749" s="2" t="s">
        <v>6015</v>
      </c>
      <c r="E1749" s="2" t="s">
        <v>4360</v>
      </c>
      <c r="F1749" s="2" t="s">
        <v>41</v>
      </c>
      <c r="G1749" s="2" t="str">
        <f>"02-29950083"</f>
        <v>02-29950083</v>
      </c>
      <c r="H1749" s="2" t="s">
        <v>456</v>
      </c>
      <c r="I1749" s="2" t="str">
        <f>"02-25048125"</f>
        <v>02-25048125</v>
      </c>
      <c r="J1749" s="2" t="str">
        <f t="shared" si="139"/>
        <v>--</v>
      </c>
      <c r="K1749" s="2" t="str">
        <f t="shared" si="139"/>
        <v>--</v>
      </c>
      <c r="L1749" s="2" t="str">
        <f t="shared" si="139"/>
        <v>--</v>
      </c>
      <c r="M1749" s="2" t="str">
        <f>"--"</f>
        <v>--</v>
      </c>
      <c r="N1749" s="2"/>
      <c r="O1749" s="2"/>
      <c r="P1749" s="2"/>
      <c r="Q1749" s="2"/>
    </row>
    <row r="1750" spans="1:17" x14ac:dyDescent="0.3">
      <c r="A1750" s="2" t="str">
        <f>"4738"</f>
        <v>4738</v>
      </c>
      <c r="B1750" s="2" t="s">
        <v>4361</v>
      </c>
      <c r="C1750" s="2" t="s">
        <v>4362</v>
      </c>
      <c r="D1750" s="2" t="s">
        <v>6016</v>
      </c>
      <c r="E1750" s="2" t="s">
        <v>3892</v>
      </c>
      <c r="F1750" s="2" t="s">
        <v>2</v>
      </c>
      <c r="G1750" s="2" t="str">
        <f>"(03)4830321"</f>
        <v>(03)4830321</v>
      </c>
      <c r="H1750" s="2" t="s">
        <v>1911</v>
      </c>
      <c r="I1750" s="2" t="str">
        <f>"(02)2541-9977"</f>
        <v>(02)2541-9977</v>
      </c>
      <c r="J1750" s="2" t="str">
        <f t="shared" si="139"/>
        <v>--</v>
      </c>
      <c r="K1750" s="2" t="str">
        <f t="shared" si="139"/>
        <v>--</v>
      </c>
      <c r="L1750" s="2" t="str">
        <f t="shared" si="139"/>
        <v>--</v>
      </c>
      <c r="M1750" s="2" t="str">
        <f>"否"</f>
        <v>否</v>
      </c>
      <c r="N1750" s="2"/>
      <c r="O1750" s="2"/>
      <c r="P1750" s="2"/>
      <c r="Q1750" s="2"/>
    </row>
    <row r="1751" spans="1:17" x14ac:dyDescent="0.3">
      <c r="A1751" s="2" t="str">
        <f>"4740"</f>
        <v>4740</v>
      </c>
      <c r="B1751" s="2" t="s">
        <v>4363</v>
      </c>
      <c r="C1751" s="2" t="s">
        <v>4364</v>
      </c>
      <c r="D1751" s="2" t="s">
        <v>6001</v>
      </c>
      <c r="E1751" s="2" t="s">
        <v>4365</v>
      </c>
      <c r="F1751" s="2" t="s">
        <v>2</v>
      </c>
      <c r="G1751" s="2" t="str">
        <f>"02-27887738"</f>
        <v>02-27887738</v>
      </c>
      <c r="H1751" s="2" t="s">
        <v>1587</v>
      </c>
      <c r="I1751" s="2" t="str">
        <f>"02-27686668"</f>
        <v>02-27686668</v>
      </c>
      <c r="J1751" s="2" t="str">
        <f t="shared" si="139"/>
        <v>--</v>
      </c>
      <c r="K1751" s="2" t="str">
        <f t="shared" si="139"/>
        <v>--</v>
      </c>
      <c r="L1751" s="2" t="str">
        <f t="shared" si="139"/>
        <v>--</v>
      </c>
      <c r="M1751" s="2" t="str">
        <f>"--"</f>
        <v>--</v>
      </c>
      <c r="N1751" s="2"/>
      <c r="O1751" s="2"/>
      <c r="P1751" s="2"/>
      <c r="Q1751" s="2"/>
    </row>
    <row r="1752" spans="1:17" x14ac:dyDescent="0.3">
      <c r="A1752" s="2" t="str">
        <f>"4741"</f>
        <v>4741</v>
      </c>
      <c r="B1752" s="2" t="s">
        <v>4366</v>
      </c>
      <c r="C1752" s="2" t="s">
        <v>4367</v>
      </c>
      <c r="D1752" s="2" t="s">
        <v>6015</v>
      </c>
      <c r="E1752" s="2" t="s">
        <v>6996</v>
      </c>
      <c r="F1752" s="2" t="s">
        <v>41</v>
      </c>
      <c r="G1752" s="2" t="str">
        <f>"03-5305888"</f>
        <v>03-5305888</v>
      </c>
      <c r="H1752" s="2" t="s">
        <v>667</v>
      </c>
      <c r="I1752" s="2" t="str">
        <f>"(02)23611300"</f>
        <v>(02)23611300</v>
      </c>
      <c r="J1752" s="2" t="str">
        <f t="shared" si="139"/>
        <v>--</v>
      </c>
      <c r="K1752" s="2" t="str">
        <f t="shared" si="139"/>
        <v>--</v>
      </c>
      <c r="L1752" s="2" t="str">
        <f t="shared" si="139"/>
        <v>--</v>
      </c>
      <c r="M1752" s="2" t="str">
        <f>"否"</f>
        <v>否</v>
      </c>
      <c r="N1752" s="2"/>
      <c r="O1752" s="2"/>
      <c r="P1752" s="2"/>
      <c r="Q1752" s="2"/>
    </row>
    <row r="1753" spans="1:17" x14ac:dyDescent="0.3">
      <c r="A1753" s="2" t="str">
        <f>"4744"</f>
        <v>4744</v>
      </c>
      <c r="B1753" s="2" t="s">
        <v>4368</v>
      </c>
      <c r="C1753" s="2" t="s">
        <v>4369</v>
      </c>
      <c r="D1753" s="2" t="s">
        <v>6028</v>
      </c>
      <c r="E1753" s="2" t="s">
        <v>4370</v>
      </c>
      <c r="F1753" s="2" t="s">
        <v>2</v>
      </c>
      <c r="G1753" s="2" t="str">
        <f>"(04)3705-6666"</f>
        <v>(04)3705-6666</v>
      </c>
      <c r="H1753" s="2" t="s">
        <v>1251</v>
      </c>
      <c r="I1753" s="2" t="str">
        <f>"02-2371-1658"</f>
        <v>02-2371-1658</v>
      </c>
      <c r="J1753" s="2" t="str">
        <f t="shared" si="139"/>
        <v>--</v>
      </c>
      <c r="K1753" s="2" t="str">
        <f t="shared" si="139"/>
        <v>--</v>
      </c>
      <c r="L1753" s="2" t="str">
        <f t="shared" si="139"/>
        <v>--</v>
      </c>
      <c r="M1753" s="2" t="str">
        <f>"--"</f>
        <v>--</v>
      </c>
      <c r="N1753" s="2"/>
      <c r="O1753" s="2"/>
      <c r="P1753" s="2"/>
      <c r="Q1753" s="2"/>
    </row>
    <row r="1754" spans="1:17" x14ac:dyDescent="0.3">
      <c r="A1754" s="2" t="str">
        <f>"4752"</f>
        <v>4752</v>
      </c>
      <c r="B1754" s="2" t="s">
        <v>4371</v>
      </c>
      <c r="C1754" s="2" t="s">
        <v>4372</v>
      </c>
      <c r="D1754" s="2" t="s">
        <v>6002</v>
      </c>
      <c r="E1754" s="2" t="s">
        <v>4373</v>
      </c>
      <c r="F1754" s="2" t="s">
        <v>2</v>
      </c>
      <c r="G1754" s="2" t="str">
        <f>"02-25072387"</f>
        <v>02-25072387</v>
      </c>
      <c r="H1754" s="2" t="s">
        <v>2808</v>
      </c>
      <c r="I1754" s="2" t="str">
        <f>"02-25048125"</f>
        <v>02-25048125</v>
      </c>
      <c r="J1754" s="2" t="str">
        <f>"自105年05月14日至105年06月12日止"</f>
        <v>自105年05月14日至105年06月12日止</v>
      </c>
      <c r="K1754" s="2" t="str">
        <f>"台灣集中保管結算所股份有限公司"</f>
        <v>台灣集中保管結算所股份有限公司</v>
      </c>
      <c r="L1754" s="2" t="str">
        <f>"http://www.stockvote.com.tw"</f>
        <v>http://www.stockvote.com.tw</v>
      </c>
      <c r="M1754" s="2" t="str">
        <f>"&lt;b&gt;&lt;font color='red'&gt;自願&lt;/font&gt;&lt;/b&gt;"</f>
        <v>&lt;b&gt;&lt;font color='red'&gt;自願&lt;/font&gt;&lt;/b&gt;</v>
      </c>
      <c r="N1754" s="2"/>
      <c r="O1754" s="2"/>
      <c r="P1754" s="2"/>
      <c r="Q1754" s="2"/>
    </row>
    <row r="1755" spans="1:17" x14ac:dyDescent="0.3">
      <c r="A1755" s="2" t="str">
        <f>"4754"</f>
        <v>4754</v>
      </c>
      <c r="B1755" s="2" t="s">
        <v>4374</v>
      </c>
      <c r="C1755" s="2" t="s">
        <v>6997</v>
      </c>
      <c r="D1755" s="2" t="s">
        <v>6015</v>
      </c>
      <c r="E1755" s="2" t="s">
        <v>4375</v>
      </c>
      <c r="F1755" s="2" t="s">
        <v>41</v>
      </c>
      <c r="G1755" s="2" t="str">
        <f>"033254301"</f>
        <v>033254301</v>
      </c>
      <c r="H1755" s="2" t="s">
        <v>478</v>
      </c>
      <c r="I1755" s="2" t="str">
        <f>"0225936666"</f>
        <v>0225936666</v>
      </c>
      <c r="J1755" s="2" t="str">
        <f t="shared" ref="J1755:M1762" si="140">"--"</f>
        <v>--</v>
      </c>
      <c r="K1755" s="2" t="str">
        <f t="shared" si="140"/>
        <v>--</v>
      </c>
      <c r="L1755" s="2" t="str">
        <f t="shared" si="140"/>
        <v>--</v>
      </c>
      <c r="M1755" s="2" t="str">
        <f t="shared" si="140"/>
        <v>--</v>
      </c>
      <c r="N1755" s="2"/>
      <c r="O1755" s="2"/>
      <c r="P1755" s="2"/>
      <c r="Q1755" s="2"/>
    </row>
    <row r="1756" spans="1:17" x14ac:dyDescent="0.3">
      <c r="A1756" s="2" t="str">
        <f>"4760"</f>
        <v>4760</v>
      </c>
      <c r="B1756" s="2" t="s">
        <v>6998</v>
      </c>
      <c r="C1756" s="2" t="s">
        <v>6999</v>
      </c>
      <c r="D1756" s="2" t="s">
        <v>6014</v>
      </c>
      <c r="E1756" s="2" t="s">
        <v>7000</v>
      </c>
      <c r="F1756" s="2" t="s">
        <v>41</v>
      </c>
      <c r="G1756" s="2" t="str">
        <f>"07-7873287"</f>
        <v>07-7873287</v>
      </c>
      <c r="H1756" s="2" t="s">
        <v>556</v>
      </c>
      <c r="I1756" s="2" t="str">
        <f>"02-2371-1658"</f>
        <v>02-2371-1658</v>
      </c>
      <c r="J1756" s="2" t="str">
        <f t="shared" si="140"/>
        <v>--</v>
      </c>
      <c r="K1756" s="2" t="str">
        <f t="shared" si="140"/>
        <v>--</v>
      </c>
      <c r="L1756" s="2" t="str">
        <f t="shared" si="140"/>
        <v>--</v>
      </c>
      <c r="M1756" s="2" t="str">
        <f t="shared" si="140"/>
        <v>--</v>
      </c>
      <c r="N1756" s="2"/>
      <c r="O1756" s="2"/>
      <c r="P1756" s="2"/>
      <c r="Q1756" s="2"/>
    </row>
    <row r="1757" spans="1:17" x14ac:dyDescent="0.3">
      <c r="A1757" s="2" t="str">
        <f>"4802"</f>
        <v>4802</v>
      </c>
      <c r="B1757" s="2" t="s">
        <v>4376</v>
      </c>
      <c r="C1757" s="2" t="s">
        <v>7001</v>
      </c>
      <c r="D1757" s="2" t="s">
        <v>6034</v>
      </c>
      <c r="E1757" s="2" t="s">
        <v>2978</v>
      </c>
      <c r="F1757" s="2" t="s">
        <v>2</v>
      </c>
      <c r="G1757" s="2" t="str">
        <f>"07-2354802"</f>
        <v>07-2354802</v>
      </c>
      <c r="H1757" s="2" t="s">
        <v>475</v>
      </c>
      <c r="I1757" s="2" t="str">
        <f>"02-23268818"</f>
        <v>02-23268818</v>
      </c>
      <c r="J1757" s="2" t="str">
        <f t="shared" si="140"/>
        <v>--</v>
      </c>
      <c r="K1757" s="2" t="str">
        <f t="shared" si="140"/>
        <v>--</v>
      </c>
      <c r="L1757" s="2" t="str">
        <f t="shared" si="140"/>
        <v>--</v>
      </c>
      <c r="M1757" s="2" t="str">
        <f>"否"</f>
        <v>否</v>
      </c>
      <c r="N1757" s="2"/>
      <c r="O1757" s="2"/>
      <c r="P1757" s="2"/>
      <c r="Q1757" s="2"/>
    </row>
    <row r="1758" spans="1:17" x14ac:dyDescent="0.3">
      <c r="A1758" s="2" t="str">
        <f>"4920"</f>
        <v>4920</v>
      </c>
      <c r="B1758" s="2" t="s">
        <v>4381</v>
      </c>
      <c r="C1758" s="2" t="s">
        <v>4382</v>
      </c>
      <c r="D1758" s="2" t="s">
        <v>6042</v>
      </c>
      <c r="E1758" s="2" t="s">
        <v>4383</v>
      </c>
      <c r="F1758" s="2" t="s">
        <v>2</v>
      </c>
      <c r="G1758" s="2" t="str">
        <f>"(02)86887766"</f>
        <v>(02)86887766</v>
      </c>
      <c r="H1758" s="2" t="s">
        <v>831</v>
      </c>
      <c r="I1758" s="2" t="str">
        <f>"(02)33930898"</f>
        <v>(02)33930898</v>
      </c>
      <c r="J1758" s="2" t="str">
        <f t="shared" si="140"/>
        <v>--</v>
      </c>
      <c r="K1758" s="2" t="str">
        <f t="shared" si="140"/>
        <v>--</v>
      </c>
      <c r="L1758" s="2" t="str">
        <f t="shared" si="140"/>
        <v>--</v>
      </c>
      <c r="M1758" s="2" t="str">
        <f>"否"</f>
        <v>否</v>
      </c>
      <c r="N1758" s="2"/>
      <c r="O1758" s="2"/>
      <c r="P1758" s="2"/>
      <c r="Q1758" s="2"/>
    </row>
    <row r="1759" spans="1:17" x14ac:dyDescent="0.3">
      <c r="A1759" s="2" t="str">
        <f>"4921"</f>
        <v>4921</v>
      </c>
      <c r="B1759" s="2" t="s">
        <v>4384</v>
      </c>
      <c r="C1759" s="2" t="s">
        <v>4385</v>
      </c>
      <c r="D1759" s="2" t="s">
        <v>6010</v>
      </c>
      <c r="E1759" s="2" t="s">
        <v>4386</v>
      </c>
      <c r="F1759" s="2" t="s">
        <v>41</v>
      </c>
      <c r="G1759" s="2" t="str">
        <f>"03-6661311"</f>
        <v>03-6661311</v>
      </c>
      <c r="H1759" s="2" t="s">
        <v>505</v>
      </c>
      <c r="I1759" s="2" t="str">
        <f>"02-23816288"</f>
        <v>02-23816288</v>
      </c>
      <c r="J1759" s="2" t="str">
        <f t="shared" si="140"/>
        <v>--</v>
      </c>
      <c r="K1759" s="2" t="str">
        <f t="shared" si="140"/>
        <v>--</v>
      </c>
      <c r="L1759" s="2" t="str">
        <f t="shared" si="140"/>
        <v>--</v>
      </c>
      <c r="M1759" s="2" t="str">
        <f>"--"</f>
        <v>--</v>
      </c>
      <c r="N1759" s="2"/>
      <c r="O1759" s="2"/>
      <c r="P1759" s="2"/>
      <c r="Q1759" s="2"/>
    </row>
    <row r="1760" spans="1:17" x14ac:dyDescent="0.3">
      <c r="A1760" s="2" t="str">
        <f>"4923"</f>
        <v>4923</v>
      </c>
      <c r="B1760" s="2" t="s">
        <v>4387</v>
      </c>
      <c r="C1760" s="2" t="s">
        <v>4388</v>
      </c>
      <c r="D1760" s="2" t="s">
        <v>6141</v>
      </c>
      <c r="E1760" s="2" t="s">
        <v>7002</v>
      </c>
      <c r="F1760" s="2" t="s">
        <v>41</v>
      </c>
      <c r="G1760" s="2" t="str">
        <f>"02-8976-9223"</f>
        <v>02-8976-9223</v>
      </c>
      <c r="H1760" s="2" t="s">
        <v>1063</v>
      </c>
      <c r="I1760" s="2" t="str">
        <f>"02-7719-8899"</f>
        <v>02-7719-8899</v>
      </c>
      <c r="J1760" s="2" t="str">
        <f t="shared" si="140"/>
        <v>--</v>
      </c>
      <c r="K1760" s="2" t="str">
        <f t="shared" si="140"/>
        <v>--</v>
      </c>
      <c r="L1760" s="2" t="str">
        <f t="shared" si="140"/>
        <v>--</v>
      </c>
      <c r="M1760" s="2" t="str">
        <f>"否"</f>
        <v>否</v>
      </c>
      <c r="N1760" s="2"/>
      <c r="O1760" s="2"/>
      <c r="P1760" s="2"/>
      <c r="Q1760" s="2"/>
    </row>
    <row r="1761" spans="1:17" x14ac:dyDescent="0.3">
      <c r="A1761" s="2" t="str">
        <f>"4925"</f>
        <v>4925</v>
      </c>
      <c r="B1761" s="2" t="s">
        <v>4389</v>
      </c>
      <c r="C1761" s="2" t="s">
        <v>4390</v>
      </c>
      <c r="D1761" s="2" t="s">
        <v>6141</v>
      </c>
      <c r="E1761" s="2" t="s">
        <v>7003</v>
      </c>
      <c r="F1761" s="2" t="s">
        <v>41</v>
      </c>
      <c r="G1761" s="2" t="str">
        <f>"886-3-5797389"</f>
        <v>886-3-5797389</v>
      </c>
      <c r="H1761" s="2" t="s">
        <v>1063</v>
      </c>
      <c r="I1761" s="2" t="str">
        <f>"02-23268818"</f>
        <v>02-23268818</v>
      </c>
      <c r="J1761" s="2" t="str">
        <f t="shared" si="140"/>
        <v>--</v>
      </c>
      <c r="K1761" s="2" t="str">
        <f t="shared" si="140"/>
        <v>--</v>
      </c>
      <c r="L1761" s="2" t="str">
        <f t="shared" si="140"/>
        <v>--</v>
      </c>
      <c r="M1761" s="2" t="str">
        <f>"否"</f>
        <v>否</v>
      </c>
      <c r="N1761" s="2"/>
      <c r="O1761" s="2"/>
      <c r="P1761" s="2"/>
      <c r="Q1761" s="2"/>
    </row>
    <row r="1762" spans="1:17" x14ac:dyDescent="0.3">
      <c r="A1762" s="2" t="str">
        <f>"4941"</f>
        <v>4941</v>
      </c>
      <c r="B1762" s="2" t="s">
        <v>4391</v>
      </c>
      <c r="C1762" s="2" t="s">
        <v>7004</v>
      </c>
      <c r="D1762" s="2" t="s">
        <v>6024</v>
      </c>
      <c r="E1762" s="2" t="s">
        <v>7005</v>
      </c>
      <c r="F1762" s="2" t="s">
        <v>41</v>
      </c>
      <c r="G1762" s="2" t="str">
        <f>"03-4962515"</f>
        <v>03-4962515</v>
      </c>
      <c r="H1762" s="2" t="s">
        <v>574</v>
      </c>
      <c r="I1762" s="2" t="str">
        <f>"02-27186425"</f>
        <v>02-27186425</v>
      </c>
      <c r="J1762" s="2" t="str">
        <f t="shared" si="140"/>
        <v>--</v>
      </c>
      <c r="K1762" s="2" t="str">
        <f t="shared" si="140"/>
        <v>--</v>
      </c>
      <c r="L1762" s="2" t="str">
        <f t="shared" si="140"/>
        <v>--</v>
      </c>
      <c r="M1762" s="2" t="str">
        <f>"否"</f>
        <v>否</v>
      </c>
      <c r="N1762" s="2"/>
      <c r="O1762" s="2"/>
      <c r="P1762" s="2"/>
      <c r="Q1762" s="2"/>
    </row>
    <row r="1763" spans="1:17" x14ac:dyDescent="0.3">
      <c r="A1763" s="2" t="str">
        <f>"4943"</f>
        <v>4943</v>
      </c>
      <c r="B1763" s="2" t="s">
        <v>4392</v>
      </c>
      <c r="C1763" s="2" t="s">
        <v>4393</v>
      </c>
      <c r="D1763" s="2" t="s">
        <v>6141</v>
      </c>
      <c r="E1763" s="2" t="s">
        <v>4394</v>
      </c>
      <c r="F1763" s="2" t="s">
        <v>2</v>
      </c>
      <c r="G1763" s="2" t="str">
        <f>"(02)22689558"</f>
        <v>(02)22689558</v>
      </c>
      <c r="H1763" s="2" t="s">
        <v>404</v>
      </c>
      <c r="I1763" s="2" t="str">
        <f>"(02)6636-5566"</f>
        <v>(02)6636-5566</v>
      </c>
      <c r="J1763" s="2" t="str">
        <f>"自105年05月03日至105年05月30日止"</f>
        <v>自105年05月03日至105年05月30日止</v>
      </c>
      <c r="K1763" s="2" t="str">
        <f>"台灣集中保管結算所股份有限公司"</f>
        <v>台灣集中保管結算所股份有限公司</v>
      </c>
      <c r="L1763" s="2" t="str">
        <f>"http://www.stockvote.com.tw"</f>
        <v>http://www.stockvote.com.tw</v>
      </c>
      <c r="M1763" s="2" t="str">
        <f>"&lt;b&gt;&lt;font color='red'&gt;自願&lt;/font&gt;&lt;/b&gt;"</f>
        <v>&lt;b&gt;&lt;font color='red'&gt;自願&lt;/font&gt;&lt;/b&gt;</v>
      </c>
      <c r="N1763" s="2"/>
      <c r="O1763" s="2"/>
      <c r="P1763" s="2"/>
      <c r="Q1763" s="2"/>
    </row>
    <row r="1764" spans="1:17" x14ac:dyDescent="0.3">
      <c r="A1764" s="2"/>
      <c r="B1764" s="2"/>
      <c r="C1764" s="2"/>
      <c r="D1764" s="2"/>
      <c r="E1764" s="2"/>
      <c r="F1764" s="2"/>
      <c r="G1764" s="2"/>
      <c r="H1764" s="2"/>
      <c r="I1764" s="2"/>
      <c r="J1764" s="2"/>
      <c r="K1764" s="2"/>
      <c r="L1764" s="2"/>
      <c r="M1764" s="2"/>
      <c r="N1764" s="2"/>
      <c r="O1764" s="2"/>
      <c r="P1764" s="2"/>
      <c r="Q1764" s="2"/>
    </row>
    <row r="1765" spans="1:17" x14ac:dyDescent="0.3">
      <c r="A1765" s="2" t="str">
        <f>"4949"</f>
        <v>4949</v>
      </c>
      <c r="B1765" s="2" t="s">
        <v>4395</v>
      </c>
      <c r="C1765" s="2" t="s">
        <v>7006</v>
      </c>
      <c r="D1765" s="2" t="s">
        <v>6031</v>
      </c>
      <c r="E1765" s="2" t="s">
        <v>7007</v>
      </c>
      <c r="F1765" s="2" t="s">
        <v>41</v>
      </c>
      <c r="G1765" s="2" t="str">
        <f>"03-5688699"</f>
        <v>03-5688699</v>
      </c>
      <c r="H1765" s="2" t="s">
        <v>556</v>
      </c>
      <c r="I1765" s="2" t="str">
        <f>"(02)2371-1658"</f>
        <v>(02)2371-1658</v>
      </c>
      <c r="J1765" s="2" t="str">
        <f t="shared" ref="J1765:M1779" si="141">"--"</f>
        <v>--</v>
      </c>
      <c r="K1765" s="2" t="str">
        <f t="shared" si="141"/>
        <v>--</v>
      </c>
      <c r="L1765" s="2" t="str">
        <f t="shared" si="141"/>
        <v>--</v>
      </c>
      <c r="M1765" s="2" t="str">
        <f>"--"</f>
        <v>--</v>
      </c>
      <c r="N1765" s="2"/>
      <c r="O1765" s="2"/>
      <c r="P1765" s="2"/>
      <c r="Q1765" s="2"/>
    </row>
    <row r="1766" spans="1:17" x14ac:dyDescent="0.3">
      <c r="A1766" s="2" t="str">
        <f>"4951"</f>
        <v>4951</v>
      </c>
      <c r="B1766" s="2" t="s">
        <v>4396</v>
      </c>
      <c r="C1766" s="2" t="s">
        <v>4397</v>
      </c>
      <c r="D1766" s="2" t="s">
        <v>6034</v>
      </c>
      <c r="E1766" s="2" t="s">
        <v>4398</v>
      </c>
      <c r="F1766" s="2" t="s">
        <v>41</v>
      </c>
      <c r="G1766" s="2" t="str">
        <f>"(03)5600168"</f>
        <v>(03)5600168</v>
      </c>
      <c r="H1766" s="2" t="s">
        <v>996</v>
      </c>
      <c r="I1766" s="2" t="str">
        <f>"(02)33930898"</f>
        <v>(02)33930898</v>
      </c>
      <c r="J1766" s="2" t="str">
        <f t="shared" si="141"/>
        <v>--</v>
      </c>
      <c r="K1766" s="2" t="str">
        <f t="shared" si="141"/>
        <v>--</v>
      </c>
      <c r="L1766" s="2" t="str">
        <f t="shared" si="141"/>
        <v>--</v>
      </c>
      <c r="M1766" s="2" t="str">
        <f>"否"</f>
        <v>否</v>
      </c>
      <c r="N1766" s="2"/>
      <c r="O1766" s="2"/>
      <c r="P1766" s="2"/>
      <c r="Q1766" s="2"/>
    </row>
    <row r="1767" spans="1:17" x14ac:dyDescent="0.3">
      <c r="A1767" s="2" t="str">
        <f>"4961"</f>
        <v>4961</v>
      </c>
      <c r="B1767" s="2" t="s">
        <v>4399</v>
      </c>
      <c r="C1767" s="2" t="s">
        <v>4400</v>
      </c>
      <c r="D1767" s="2" t="s">
        <v>6028</v>
      </c>
      <c r="E1767" s="2" t="s">
        <v>7008</v>
      </c>
      <c r="F1767" s="2" t="s">
        <v>2</v>
      </c>
      <c r="G1767" s="2" t="str">
        <f>"03-5788618"</f>
        <v>03-5788618</v>
      </c>
      <c r="H1767" s="2" t="s">
        <v>582</v>
      </c>
      <c r="I1767" s="2" t="str">
        <f>"02-25865859"</f>
        <v>02-25865859</v>
      </c>
      <c r="J1767" s="2" t="str">
        <f t="shared" si="141"/>
        <v>--</v>
      </c>
      <c r="K1767" s="2" t="str">
        <f>"????"</f>
        <v>????</v>
      </c>
      <c r="L1767" s="2" t="str">
        <f>"????"</f>
        <v>????</v>
      </c>
      <c r="M1767" s="2" t="str">
        <f>"--"</f>
        <v>--</v>
      </c>
      <c r="N1767" s="2"/>
      <c r="O1767" s="2"/>
      <c r="P1767" s="2"/>
      <c r="Q1767" s="2"/>
    </row>
    <row r="1768" spans="1:17" x14ac:dyDescent="0.3">
      <c r="A1768" s="2" t="str">
        <f>"4967"</f>
        <v>4967</v>
      </c>
      <c r="B1768" s="2" t="s">
        <v>4401</v>
      </c>
      <c r="C1768" s="2" t="s">
        <v>4402</v>
      </c>
      <c r="D1768" s="2" t="s">
        <v>5999</v>
      </c>
      <c r="E1768" s="2" t="s">
        <v>7009</v>
      </c>
      <c r="F1768" s="2" t="s">
        <v>41</v>
      </c>
      <c r="G1768" s="2" t="str">
        <f>"(02)82265000"</f>
        <v>(02)82265000</v>
      </c>
      <c r="H1768" s="2" t="s">
        <v>431</v>
      </c>
      <c r="I1768" s="2" t="str">
        <f>"(02)2702-3999"</f>
        <v>(02)2702-3999</v>
      </c>
      <c r="J1768" s="2" t="str">
        <f t="shared" si="141"/>
        <v>--</v>
      </c>
      <c r="K1768" s="2" t="str">
        <f>"--"</f>
        <v>--</v>
      </c>
      <c r="L1768" s="2" t="str">
        <f>"--"</f>
        <v>--</v>
      </c>
      <c r="M1768" s="2" t="str">
        <f>"否"</f>
        <v>否</v>
      </c>
      <c r="N1768" s="2"/>
      <c r="O1768" s="2"/>
      <c r="P1768" s="2"/>
      <c r="Q1768" s="2"/>
    </row>
    <row r="1769" spans="1:17" x14ac:dyDescent="0.3">
      <c r="A1769" s="2" t="str">
        <f>"4969"</f>
        <v>4969</v>
      </c>
      <c r="B1769" s="2" t="s">
        <v>7010</v>
      </c>
      <c r="C1769" s="2" t="s">
        <v>4405</v>
      </c>
      <c r="D1769" s="2" t="s">
        <v>6007</v>
      </c>
      <c r="E1769" s="2" t="s">
        <v>7011</v>
      </c>
      <c r="F1769" s="2" t="s">
        <v>2</v>
      </c>
      <c r="G1769" s="2" t="str">
        <f>"03-666-9669"</f>
        <v>03-666-9669</v>
      </c>
      <c r="H1769" s="2" t="s">
        <v>556</v>
      </c>
      <c r="I1769" s="2" t="str">
        <f>"02-2371-1658"</f>
        <v>02-2371-1658</v>
      </c>
      <c r="J1769" s="2" t="str">
        <f t="shared" si="141"/>
        <v>--</v>
      </c>
      <c r="K1769" s="2" t="str">
        <f>"--"</f>
        <v>--</v>
      </c>
      <c r="L1769" s="2" t="str">
        <f>"--"</f>
        <v>--</v>
      </c>
      <c r="M1769" s="2" t="str">
        <f>"--"</f>
        <v>--</v>
      </c>
      <c r="N1769" s="2"/>
      <c r="O1769" s="2"/>
      <c r="P1769" s="2"/>
      <c r="Q1769" s="2"/>
    </row>
    <row r="1770" spans="1:17" x14ac:dyDescent="0.3">
      <c r="A1770" s="2"/>
      <c r="B1770" s="2"/>
      <c r="C1770" s="2"/>
      <c r="D1770" s="2"/>
      <c r="E1770" s="2"/>
      <c r="F1770" s="2"/>
      <c r="G1770" s="2"/>
      <c r="H1770" s="2"/>
      <c r="I1770" s="2"/>
      <c r="J1770" s="2"/>
      <c r="K1770" s="2"/>
      <c r="L1770" s="2"/>
      <c r="M1770" s="2"/>
      <c r="N1770" s="2"/>
      <c r="O1770" s="2"/>
      <c r="P1770" s="2"/>
      <c r="Q1770" s="2"/>
    </row>
    <row r="1771" spans="1:17" x14ac:dyDescent="0.3">
      <c r="A1771" s="2" t="str">
        <f>"4980"</f>
        <v>4980</v>
      </c>
      <c r="B1771" s="2" t="s">
        <v>4406</v>
      </c>
      <c r="C1771" s="2" t="s">
        <v>4407</v>
      </c>
      <c r="D1771" s="2" t="s">
        <v>6015</v>
      </c>
      <c r="E1771" s="2" t="s">
        <v>7012</v>
      </c>
      <c r="F1771" s="2" t="s">
        <v>41</v>
      </c>
      <c r="G1771" s="2" t="str">
        <f>"(02)2649-0055"</f>
        <v>(02)2649-0055</v>
      </c>
      <c r="H1771" s="2" t="s">
        <v>667</v>
      </c>
      <c r="I1771" s="2" t="str">
        <f>"02-23611300"</f>
        <v>02-23611300</v>
      </c>
      <c r="J1771" s="2" t="str">
        <f t="shared" si="141"/>
        <v>--</v>
      </c>
      <c r="K1771" s="2" t="str">
        <f t="shared" si="141"/>
        <v>--</v>
      </c>
      <c r="L1771" s="2" t="str">
        <f t="shared" si="141"/>
        <v>--</v>
      </c>
      <c r="M1771" s="2" t="str">
        <f>"--"</f>
        <v>--</v>
      </c>
      <c r="N1771" s="2"/>
      <c r="O1771" s="2"/>
      <c r="P1771" s="2"/>
      <c r="Q1771" s="2"/>
    </row>
    <row r="1772" spans="1:17" x14ac:dyDescent="0.3">
      <c r="A1772" s="2" t="str">
        <f>"4990"</f>
        <v>4990</v>
      </c>
      <c r="B1772" s="2" t="s">
        <v>4408</v>
      </c>
      <c r="C1772" s="2" t="s">
        <v>4409</v>
      </c>
      <c r="D1772" s="2" t="s">
        <v>6001</v>
      </c>
      <c r="E1772" s="2" t="s">
        <v>4410</v>
      </c>
      <c r="F1772" s="2" t="s">
        <v>41</v>
      </c>
      <c r="G1772" s="2" t="str">
        <f>"037-585888"</f>
        <v>037-585888</v>
      </c>
      <c r="H1772" s="2" t="s">
        <v>451</v>
      </c>
      <c r="I1772" s="2" t="str">
        <f>"02-23148800"</f>
        <v>02-23148800</v>
      </c>
      <c r="J1772" s="2" t="str">
        <f t="shared" si="141"/>
        <v>--</v>
      </c>
      <c r="K1772" s="2" t="str">
        <f t="shared" si="141"/>
        <v>--</v>
      </c>
      <c r="L1772" s="2" t="str">
        <f t="shared" si="141"/>
        <v>--</v>
      </c>
      <c r="M1772" s="2" t="str">
        <f>"--"</f>
        <v>--</v>
      </c>
      <c r="N1772" s="2"/>
      <c r="O1772" s="2"/>
      <c r="P1772" s="2"/>
      <c r="Q1772" s="2"/>
    </row>
    <row r="1773" spans="1:17" x14ac:dyDescent="0.3">
      <c r="A1773" s="2" t="str">
        <f>"5216"</f>
        <v>5216</v>
      </c>
      <c r="B1773" s="2" t="s">
        <v>7013</v>
      </c>
      <c r="C1773" s="2" t="s">
        <v>4411</v>
      </c>
      <c r="D1773" s="2" t="s">
        <v>6021</v>
      </c>
      <c r="E1773" s="2" t="s">
        <v>7014</v>
      </c>
      <c r="F1773" s="2" t="s">
        <v>2</v>
      </c>
      <c r="G1773" s="2" t="str">
        <f>"03-5637218"</f>
        <v>03-5637218</v>
      </c>
      <c r="H1773" s="2" t="s">
        <v>640</v>
      </c>
      <c r="I1773" s="2" t="str">
        <f>"(02)2371-1658"</f>
        <v>(02)2371-1658</v>
      </c>
      <c r="J1773" s="2" t="str">
        <f t="shared" si="141"/>
        <v>--</v>
      </c>
      <c r="K1773" s="2" t="str">
        <f t="shared" si="141"/>
        <v>--</v>
      </c>
      <c r="L1773" s="2" t="str">
        <f t="shared" si="141"/>
        <v>--</v>
      </c>
      <c r="M1773" s="2" t="str">
        <f>"否"</f>
        <v>否</v>
      </c>
      <c r="N1773" s="2"/>
      <c r="O1773" s="2"/>
      <c r="P1773" s="2"/>
      <c r="Q1773" s="2"/>
    </row>
    <row r="1774" spans="1:17" x14ac:dyDescent="0.3">
      <c r="A1774" s="2" t="str">
        <f>"5220"</f>
        <v>5220</v>
      </c>
      <c r="B1774" s="2" t="s">
        <v>4412</v>
      </c>
      <c r="C1774" s="2" t="s">
        <v>7015</v>
      </c>
      <c r="D1774" s="2" t="s">
        <v>6014</v>
      </c>
      <c r="E1774" s="2" t="s">
        <v>7016</v>
      </c>
      <c r="F1774" s="2" t="s">
        <v>41</v>
      </c>
      <c r="G1774" s="2" t="str">
        <f>"02-82099696"</f>
        <v>02-82099696</v>
      </c>
      <c r="H1774" s="2" t="s">
        <v>4413</v>
      </c>
      <c r="I1774" s="2" t="str">
        <f>"02-23278988"</f>
        <v>02-23278988</v>
      </c>
      <c r="J1774" s="2" t="str">
        <f t="shared" si="141"/>
        <v>--</v>
      </c>
      <c r="K1774" s="2" t="str">
        <f t="shared" si="141"/>
        <v>--</v>
      </c>
      <c r="L1774" s="2" t="str">
        <f t="shared" si="141"/>
        <v>--</v>
      </c>
      <c r="M1774" s="2" t="str">
        <f t="shared" si="141"/>
        <v>--</v>
      </c>
      <c r="N1774" s="2"/>
      <c r="O1774" s="2"/>
      <c r="P1774" s="2"/>
      <c r="Q1774" s="2"/>
    </row>
    <row r="1775" spans="1:17" x14ac:dyDescent="0.3">
      <c r="A1775" s="2" t="str">
        <f>"5222"</f>
        <v>5222</v>
      </c>
      <c r="B1775" s="2" t="s">
        <v>4414</v>
      </c>
      <c r="C1775" s="2" t="s">
        <v>4415</v>
      </c>
      <c r="D1775" s="2" t="s">
        <v>6015</v>
      </c>
      <c r="E1775" s="2" t="s">
        <v>4416</v>
      </c>
      <c r="F1775" s="2" t="s">
        <v>41</v>
      </c>
      <c r="G1775" s="2" t="str">
        <f>"06-5051601"</f>
        <v>06-5051601</v>
      </c>
      <c r="H1775" s="2" t="s">
        <v>653</v>
      </c>
      <c r="I1775" s="2" t="str">
        <f>"02-27686668"</f>
        <v>02-27686668</v>
      </c>
      <c r="J1775" s="2" t="str">
        <f t="shared" si="141"/>
        <v>--</v>
      </c>
      <c r="K1775" s="2" t="str">
        <f t="shared" si="141"/>
        <v>--</v>
      </c>
      <c r="L1775" s="2" t="str">
        <f t="shared" si="141"/>
        <v>--</v>
      </c>
      <c r="M1775" s="2" t="str">
        <f t="shared" si="141"/>
        <v>--</v>
      </c>
      <c r="N1775" s="2"/>
      <c r="O1775" s="2"/>
      <c r="P1775" s="2"/>
      <c r="Q1775" s="2"/>
    </row>
    <row r="1776" spans="1:17" x14ac:dyDescent="0.3">
      <c r="A1776" s="2" t="str">
        <f>"5228"</f>
        <v>5228</v>
      </c>
      <c r="B1776" s="2" t="s">
        <v>7017</v>
      </c>
      <c r="C1776" s="2" t="s">
        <v>4417</v>
      </c>
      <c r="D1776" s="2" t="s">
        <v>6004</v>
      </c>
      <c r="E1776" s="2" t="s">
        <v>4417</v>
      </c>
      <c r="F1776" s="2" t="s">
        <v>2</v>
      </c>
      <c r="G1776" s="2" t="str">
        <f>"04-23592860"</f>
        <v>04-23592860</v>
      </c>
      <c r="H1776" s="2" t="s">
        <v>1028</v>
      </c>
      <c r="I1776" s="2" t="str">
        <f>"02-23816288"</f>
        <v>02-23816288</v>
      </c>
      <c r="J1776" s="2" t="str">
        <f t="shared" si="141"/>
        <v>--</v>
      </c>
      <c r="K1776" s="2" t="str">
        <f t="shared" si="141"/>
        <v>--</v>
      </c>
      <c r="L1776" s="2" t="str">
        <f t="shared" si="141"/>
        <v>--</v>
      </c>
      <c r="M1776" s="2" t="str">
        <f t="shared" si="141"/>
        <v>--</v>
      </c>
      <c r="N1776" s="2"/>
      <c r="O1776" s="2"/>
      <c r="P1776" s="2"/>
      <c r="Q1776" s="2"/>
    </row>
    <row r="1777" spans="1:17" x14ac:dyDescent="0.3">
      <c r="A1777" s="2" t="str">
        <f>"5229"</f>
        <v>5229</v>
      </c>
      <c r="B1777" s="2" t="s">
        <v>4418</v>
      </c>
      <c r="C1777" s="2" t="s">
        <v>4419</v>
      </c>
      <c r="D1777" s="2" t="s">
        <v>6007</v>
      </c>
      <c r="E1777" s="2" t="s">
        <v>7018</v>
      </c>
      <c r="F1777" s="2" t="s">
        <v>2</v>
      </c>
      <c r="G1777" s="2" t="str">
        <f>"07-3456011"</f>
        <v>07-3456011</v>
      </c>
      <c r="H1777" s="2" t="s">
        <v>404</v>
      </c>
      <c r="I1777" s="2" t="str">
        <f>"02-66365566"</f>
        <v>02-66365566</v>
      </c>
      <c r="J1777" s="2" t="str">
        <f t="shared" si="141"/>
        <v>--</v>
      </c>
      <c r="K1777" s="2" t="str">
        <f t="shared" si="141"/>
        <v>--</v>
      </c>
      <c r="L1777" s="2" t="str">
        <f t="shared" si="141"/>
        <v>--</v>
      </c>
      <c r="M1777" s="2" t="str">
        <f t="shared" si="141"/>
        <v>--</v>
      </c>
      <c r="N1777" s="2"/>
      <c r="O1777" s="2"/>
      <c r="P1777" s="2"/>
      <c r="Q1777" s="2"/>
    </row>
    <row r="1778" spans="1:17" x14ac:dyDescent="0.3">
      <c r="A1778" s="2" t="str">
        <f>"5233"</f>
        <v>5233</v>
      </c>
      <c r="B1778" s="2" t="s">
        <v>4420</v>
      </c>
      <c r="C1778" s="2" t="s">
        <v>7019</v>
      </c>
      <c r="D1778" s="2" t="s">
        <v>6014</v>
      </c>
      <c r="E1778" s="2" t="s">
        <v>7020</v>
      </c>
      <c r="F1778" s="2" t="s">
        <v>2</v>
      </c>
      <c r="G1778" s="2" t="str">
        <f>"03-2631212"</f>
        <v>03-2631212</v>
      </c>
      <c r="H1778" s="2" t="s">
        <v>4421</v>
      </c>
      <c r="I1778" s="2" t="str">
        <f>"02-23123866"</f>
        <v>02-23123866</v>
      </c>
      <c r="J1778" s="2" t="str">
        <f t="shared" si="141"/>
        <v>--</v>
      </c>
      <c r="K1778" s="2" t="str">
        <f t="shared" si="141"/>
        <v>--</v>
      </c>
      <c r="L1778" s="2" t="str">
        <f t="shared" si="141"/>
        <v>--</v>
      </c>
      <c r="M1778" s="2" t="str">
        <f t="shared" si="141"/>
        <v>--</v>
      </c>
      <c r="N1778" s="2"/>
      <c r="O1778" s="2"/>
      <c r="P1778" s="2"/>
      <c r="Q1778" s="2"/>
    </row>
    <row r="1779" spans="1:17" x14ac:dyDescent="0.3">
      <c r="A1779" s="2" t="str">
        <f>"5238"</f>
        <v>5238</v>
      </c>
      <c r="B1779" s="2" t="s">
        <v>4422</v>
      </c>
      <c r="C1779" s="2" t="s">
        <v>4423</v>
      </c>
      <c r="D1779" s="2" t="s">
        <v>5999</v>
      </c>
      <c r="E1779" s="2" t="s">
        <v>4424</v>
      </c>
      <c r="F1779" s="2" t="s">
        <v>2</v>
      </c>
      <c r="G1779" s="2" t="str">
        <f>"02-26595878"</f>
        <v>02-26595878</v>
      </c>
      <c r="H1779" s="2" t="s">
        <v>1053</v>
      </c>
      <c r="I1779" s="2" t="str">
        <f>"02-2563-5711"</f>
        <v>02-2563-5711</v>
      </c>
      <c r="J1779" s="2" t="str">
        <f t="shared" si="141"/>
        <v>--</v>
      </c>
      <c r="K1779" s="2" t="str">
        <f t="shared" si="141"/>
        <v>--</v>
      </c>
      <c r="L1779" s="2" t="str">
        <f t="shared" si="141"/>
        <v>--</v>
      </c>
      <c r="M1779" s="2" t="str">
        <f t="shared" si="141"/>
        <v>--</v>
      </c>
      <c r="N1779" s="2"/>
      <c r="O1779" s="2"/>
      <c r="P1779" s="2"/>
      <c r="Q1779" s="2"/>
    </row>
    <row r="1780" spans="1:17" x14ac:dyDescent="0.3">
      <c r="A1780" s="2" t="str">
        <f>"5240"</f>
        <v>5240</v>
      </c>
      <c r="B1780" s="2" t="s">
        <v>4425</v>
      </c>
      <c r="C1780" s="2" t="s">
        <v>4426</v>
      </c>
      <c r="D1780" s="2" t="s">
        <v>6028</v>
      </c>
      <c r="E1780" s="2" t="s">
        <v>7021</v>
      </c>
      <c r="F1780" s="2" t="s">
        <v>2</v>
      </c>
      <c r="G1780" s="2" t="str">
        <f>"(02)2656-2588"</f>
        <v>(02)2656-2588</v>
      </c>
      <c r="H1780" s="2" t="s">
        <v>404</v>
      </c>
      <c r="I1780" s="2" t="str">
        <f>"(02)6636-5566"</f>
        <v>(02)6636-5566</v>
      </c>
      <c r="J1780" s="2" t="str">
        <f t="shared" ref="J1780:L1781" si="142">"--"</f>
        <v>--</v>
      </c>
      <c r="K1780" s="2" t="str">
        <f t="shared" si="142"/>
        <v>--</v>
      </c>
      <c r="L1780" s="2" t="str">
        <f t="shared" si="142"/>
        <v>--</v>
      </c>
      <c r="M1780" s="2" t="str">
        <f>"否"</f>
        <v>否</v>
      </c>
      <c r="N1780" s="2"/>
      <c r="O1780" s="2"/>
      <c r="P1780" s="2"/>
      <c r="Q1780" s="2"/>
    </row>
    <row r="1781" spans="1:17" x14ac:dyDescent="0.3">
      <c r="A1781" s="2" t="str">
        <f>"5242"</f>
        <v>5242</v>
      </c>
      <c r="B1781" s="2" t="s">
        <v>4427</v>
      </c>
      <c r="C1781" s="2" t="s">
        <v>4428</v>
      </c>
      <c r="D1781" s="2" t="s">
        <v>6001</v>
      </c>
      <c r="E1781" s="2" t="s">
        <v>4429</v>
      </c>
      <c r="F1781" s="2" t="s">
        <v>2</v>
      </c>
      <c r="G1781" s="2" t="str">
        <f>"(03)9908811"</f>
        <v>(03)9908811</v>
      </c>
      <c r="H1781" s="2" t="s">
        <v>1911</v>
      </c>
      <c r="I1781" s="2" t="str">
        <f>"(02)25419977"</f>
        <v>(02)25419977</v>
      </c>
      <c r="J1781" s="2" t="str">
        <f t="shared" si="142"/>
        <v>--</v>
      </c>
      <c r="K1781" s="2" t="str">
        <f t="shared" si="142"/>
        <v>--</v>
      </c>
      <c r="L1781" s="2" t="str">
        <f t="shared" si="142"/>
        <v>--</v>
      </c>
      <c r="M1781" s="2" t="str">
        <f>"--"</f>
        <v>--</v>
      </c>
      <c r="N1781" s="2"/>
      <c r="O1781" s="2"/>
      <c r="P1781" s="2"/>
      <c r="Q1781" s="2"/>
    </row>
    <row r="1782" spans="1:17" x14ac:dyDescent="0.3">
      <c r="A1782" s="2"/>
      <c r="B1782" s="2"/>
      <c r="C1782" s="2"/>
      <c r="D1782" s="2"/>
      <c r="E1782" s="2"/>
      <c r="F1782" s="2"/>
      <c r="G1782" s="2"/>
      <c r="H1782" s="2"/>
      <c r="I1782" s="2"/>
      <c r="J1782" s="2"/>
      <c r="K1782" s="2"/>
      <c r="L1782" s="2"/>
      <c r="M1782" s="2"/>
      <c r="N1782" s="2"/>
      <c r="O1782" s="2"/>
      <c r="P1782" s="2"/>
      <c r="Q1782" s="2"/>
    </row>
    <row r="1783" spans="1:17" x14ac:dyDescent="0.3">
      <c r="A1783" s="2" t="str">
        <f>"5244"</f>
        <v>5244</v>
      </c>
      <c r="B1783" s="2" t="s">
        <v>4430</v>
      </c>
      <c r="C1783" s="2" t="s">
        <v>7022</v>
      </c>
      <c r="D1783" s="2" t="s">
        <v>6020</v>
      </c>
      <c r="E1783" s="2" t="s">
        <v>7023</v>
      </c>
      <c r="F1783" s="2" t="s">
        <v>41</v>
      </c>
      <c r="G1783" s="2" t="str">
        <f>"03-357-9118"</f>
        <v>03-357-9118</v>
      </c>
      <c r="H1783" s="2" t="s">
        <v>1063</v>
      </c>
      <c r="I1783" s="2" t="str">
        <f>"(02)23268818"</f>
        <v>(02)23268818</v>
      </c>
      <c r="J1783" s="2" t="str">
        <f>"自105年05月21日至105年06月17日止"</f>
        <v>自105年05月21日至105年06月17日止</v>
      </c>
      <c r="K1783" s="2" t="str">
        <f>"台灣集中保管結算所股份有限公司"</f>
        <v>台灣集中保管結算所股份有限公司</v>
      </c>
      <c r="L1783" s="2" t="str">
        <f>"http://www.stockvote.com.tw"</f>
        <v>http://www.stockvote.com.tw</v>
      </c>
      <c r="M1783" s="2" t="str">
        <f>"&lt;b&gt;&lt;font color='red'&gt;自願&lt;/font&gt;&lt;/b&gt;"</f>
        <v>&lt;b&gt;&lt;font color='red'&gt;自願&lt;/font&gt;&lt;/b&gt;</v>
      </c>
      <c r="N1783" s="2"/>
      <c r="O1783" s="2"/>
      <c r="P1783" s="2"/>
      <c r="Q1783" s="2"/>
    </row>
    <row r="1784" spans="1:17" x14ac:dyDescent="0.3">
      <c r="A1784" s="2" t="str">
        <f>"5248"</f>
        <v>5248</v>
      </c>
      <c r="B1784" s="2" t="s">
        <v>4433</v>
      </c>
      <c r="C1784" s="2" t="s">
        <v>4434</v>
      </c>
      <c r="D1784" s="2" t="s">
        <v>6024</v>
      </c>
      <c r="E1784" s="2" t="s">
        <v>4435</v>
      </c>
      <c r="F1784" s="2" t="s">
        <v>2</v>
      </c>
      <c r="G1784" s="2" t="str">
        <f>"29189820"</f>
        <v>29189820</v>
      </c>
      <c r="H1784" s="2" t="s">
        <v>4436</v>
      </c>
      <c r="I1784" s="2" t="str">
        <f>"25048125"</f>
        <v>25048125</v>
      </c>
      <c r="J1784" s="2" t="str">
        <f t="shared" ref="J1784:L1790" si="143">"--"</f>
        <v>--</v>
      </c>
      <c r="K1784" s="2" t="str">
        <f t="shared" si="143"/>
        <v>--</v>
      </c>
      <c r="L1784" s="2" t="str">
        <f t="shared" si="143"/>
        <v>--</v>
      </c>
      <c r="M1784" s="2" t="str">
        <f>"否"</f>
        <v>否</v>
      </c>
      <c r="N1784" s="2"/>
      <c r="O1784" s="2"/>
      <c r="P1784" s="2"/>
      <c r="Q1784" s="2"/>
    </row>
    <row r="1785" spans="1:17" x14ac:dyDescent="0.3">
      <c r="A1785" s="2" t="str">
        <f>"5253"</f>
        <v>5253</v>
      </c>
      <c r="B1785" s="2" t="s">
        <v>4437</v>
      </c>
      <c r="C1785" s="2" t="s">
        <v>4438</v>
      </c>
      <c r="D1785" s="2" t="s">
        <v>6007</v>
      </c>
      <c r="E1785" s="2" t="s">
        <v>7024</v>
      </c>
      <c r="F1785" s="2" t="s">
        <v>2</v>
      </c>
      <c r="G1785" s="2" t="str">
        <f>"02-77206800"</f>
        <v>02-77206800</v>
      </c>
      <c r="H1785" s="2" t="s">
        <v>1053</v>
      </c>
      <c r="I1785" s="2" t="str">
        <f>"02-25635711"</f>
        <v>02-25635711</v>
      </c>
      <c r="J1785" s="2" t="str">
        <f t="shared" si="143"/>
        <v>--</v>
      </c>
      <c r="K1785" s="2" t="str">
        <f t="shared" si="143"/>
        <v>--</v>
      </c>
      <c r="L1785" s="2" t="str">
        <f t="shared" si="143"/>
        <v>--</v>
      </c>
      <c r="M1785" s="2" t="str">
        <f>"--"</f>
        <v>--</v>
      </c>
      <c r="N1785" s="2"/>
      <c r="O1785" s="2"/>
      <c r="P1785" s="2"/>
      <c r="Q1785" s="2"/>
    </row>
    <row r="1786" spans="1:17" x14ac:dyDescent="0.3">
      <c r="A1786" s="2" t="str">
        <f>"5256"</f>
        <v>5256</v>
      </c>
      <c r="B1786" s="2" t="s">
        <v>4439</v>
      </c>
      <c r="C1786" s="2" t="s">
        <v>4440</v>
      </c>
      <c r="D1786" s="2" t="s">
        <v>6116</v>
      </c>
      <c r="E1786" s="2" t="s">
        <v>4441</v>
      </c>
      <c r="F1786" s="2" t="s">
        <v>2</v>
      </c>
      <c r="G1786" s="2" t="str">
        <f>"03-3196517"</f>
        <v>03-3196517</v>
      </c>
      <c r="H1786" s="2" t="s">
        <v>2059</v>
      </c>
      <c r="I1786" s="2" t="str">
        <f>"02-25419977"</f>
        <v>02-25419977</v>
      </c>
      <c r="J1786" s="2" t="str">
        <f t="shared" si="143"/>
        <v>--</v>
      </c>
      <c r="K1786" s="2" t="str">
        <f t="shared" si="143"/>
        <v>--</v>
      </c>
      <c r="L1786" s="2" t="str">
        <f t="shared" si="143"/>
        <v>--</v>
      </c>
      <c r="M1786" s="2" t="str">
        <f>"否"</f>
        <v>否</v>
      </c>
      <c r="N1786" s="2"/>
      <c r="O1786" s="2"/>
      <c r="P1786" s="2"/>
      <c r="Q1786" s="2"/>
    </row>
    <row r="1787" spans="1:17" x14ac:dyDescent="0.3">
      <c r="A1787" s="2" t="str">
        <f>"5258"</f>
        <v>5258</v>
      </c>
      <c r="B1787" s="2" t="s">
        <v>4442</v>
      </c>
      <c r="C1787" s="2" t="s">
        <v>4443</v>
      </c>
      <c r="D1787" s="2" t="s">
        <v>6011</v>
      </c>
      <c r="E1787" s="2" t="s">
        <v>4444</v>
      </c>
      <c r="F1787" s="2" t="s">
        <v>41</v>
      </c>
      <c r="G1787" s="2" t="str">
        <f>"(02)8913-1771"</f>
        <v>(02)8913-1771</v>
      </c>
      <c r="H1787" s="2" t="s">
        <v>456</v>
      </c>
      <c r="I1787" s="2" t="str">
        <f>"(02)2504-8125"</f>
        <v>(02)2504-8125</v>
      </c>
      <c r="J1787" s="2" t="str">
        <f t="shared" si="143"/>
        <v>--</v>
      </c>
      <c r="K1787" s="2" t="str">
        <f t="shared" si="143"/>
        <v>--</v>
      </c>
      <c r="L1787" s="2" t="str">
        <f t="shared" si="143"/>
        <v>--</v>
      </c>
      <c r="M1787" s="2" t="str">
        <f>"否"</f>
        <v>否</v>
      </c>
      <c r="N1787" s="2"/>
      <c r="O1787" s="2"/>
      <c r="P1787" s="2"/>
      <c r="Q1787" s="2"/>
    </row>
    <row r="1788" spans="1:17" x14ac:dyDescent="0.3">
      <c r="A1788" s="2" t="str">
        <f>"5262"</f>
        <v>5262</v>
      </c>
      <c r="B1788" s="2" t="s">
        <v>4445</v>
      </c>
      <c r="C1788" s="2" t="s">
        <v>4446</v>
      </c>
      <c r="D1788" s="2" t="s">
        <v>6020</v>
      </c>
      <c r="E1788" s="2" t="s">
        <v>4447</v>
      </c>
      <c r="F1788" s="2" t="s">
        <v>41</v>
      </c>
      <c r="G1788" s="2" t="str">
        <f>"02-26582588"</f>
        <v>02-26582588</v>
      </c>
      <c r="H1788" s="2" t="s">
        <v>404</v>
      </c>
      <c r="I1788" s="2" t="str">
        <f>"02-6636-5566"</f>
        <v>02-6636-5566</v>
      </c>
      <c r="J1788" s="2" t="str">
        <f t="shared" si="143"/>
        <v>--</v>
      </c>
      <c r="K1788" s="2" t="str">
        <f t="shared" si="143"/>
        <v>--</v>
      </c>
      <c r="L1788" s="2" t="str">
        <f t="shared" si="143"/>
        <v>--</v>
      </c>
      <c r="M1788" s="2" t="str">
        <f>"--"</f>
        <v>--</v>
      </c>
      <c r="N1788" s="2"/>
      <c r="O1788" s="2"/>
      <c r="P1788" s="2"/>
      <c r="Q1788" s="2"/>
    </row>
    <row r="1789" spans="1:17" x14ac:dyDescent="0.3">
      <c r="A1789" s="2" t="str">
        <f>"5267"</f>
        <v>5267</v>
      </c>
      <c r="B1789" s="2" t="s">
        <v>4448</v>
      </c>
      <c r="C1789" s="2" t="s">
        <v>4449</v>
      </c>
      <c r="D1789" s="2" t="s">
        <v>6001</v>
      </c>
      <c r="E1789" s="2" t="s">
        <v>4450</v>
      </c>
      <c r="F1789" s="2" t="s">
        <v>41</v>
      </c>
      <c r="G1789" s="2" t="str">
        <f>"(04)26595018"</f>
        <v>(04)26595018</v>
      </c>
      <c r="H1789" s="2" t="s">
        <v>4451</v>
      </c>
      <c r="I1789" s="2" t="str">
        <f>"(02)27186425"</f>
        <v>(02)27186425</v>
      </c>
      <c r="J1789" s="2" t="str">
        <f t="shared" si="143"/>
        <v>--</v>
      </c>
      <c r="K1789" s="2" t="str">
        <f t="shared" si="143"/>
        <v>--</v>
      </c>
      <c r="L1789" s="2" t="str">
        <f t="shared" si="143"/>
        <v>--</v>
      </c>
      <c r="M1789" s="2" t="str">
        <f>"--"</f>
        <v>--</v>
      </c>
      <c r="N1789" s="2"/>
      <c r="O1789" s="2"/>
      <c r="P1789" s="2"/>
      <c r="Q1789" s="2"/>
    </row>
    <row r="1790" spans="1:17" x14ac:dyDescent="0.3">
      <c r="A1790" s="2" t="str">
        <f>"5271"</f>
        <v>5271</v>
      </c>
      <c r="B1790" s="2" t="s">
        <v>4452</v>
      </c>
      <c r="C1790" s="2" t="s">
        <v>4453</v>
      </c>
      <c r="D1790" s="2" t="s">
        <v>6080</v>
      </c>
      <c r="E1790" s="2" t="s">
        <v>7025</v>
      </c>
      <c r="F1790" s="2" t="s">
        <v>2</v>
      </c>
      <c r="G1790" s="2" t="str">
        <f>"89769168"</f>
        <v>89769168</v>
      </c>
      <c r="H1790" s="2" t="s">
        <v>1314</v>
      </c>
      <c r="I1790" s="2" t="str">
        <f>"(02)6636-5566"</f>
        <v>(02)6636-5566</v>
      </c>
      <c r="J1790" s="2" t="str">
        <f t="shared" si="143"/>
        <v>--</v>
      </c>
      <c r="K1790" s="2" t="str">
        <f t="shared" si="143"/>
        <v>--</v>
      </c>
      <c r="L1790" s="2" t="str">
        <f t="shared" si="143"/>
        <v>--</v>
      </c>
      <c r="M1790" s="2" t="str">
        <f>"否"</f>
        <v>否</v>
      </c>
      <c r="N1790" s="2"/>
      <c r="O1790" s="2"/>
      <c r="P1790" s="2"/>
      <c r="Q1790" s="2"/>
    </row>
    <row r="1791" spans="1:17" x14ac:dyDescent="0.3">
      <c r="A1791" s="2" t="str">
        <f>"5277"</f>
        <v>5277</v>
      </c>
      <c r="B1791" s="2" t="s">
        <v>4454</v>
      </c>
      <c r="C1791" s="2" t="s">
        <v>7026</v>
      </c>
      <c r="D1791" s="2" t="s">
        <v>6020</v>
      </c>
      <c r="E1791" s="2" t="s">
        <v>4455</v>
      </c>
      <c r="F1791" s="2" t="s">
        <v>2</v>
      </c>
      <c r="G1791" s="2" t="str">
        <f>"03-4618618"</f>
        <v>03-4618618</v>
      </c>
      <c r="H1791" s="2" t="s">
        <v>451</v>
      </c>
      <c r="I1791" s="2" t="str">
        <f>"02-23892999"</f>
        <v>02-23892999</v>
      </c>
      <c r="J1791" s="2" t="str">
        <f>"自105年05月21日至105年06月17日止"</f>
        <v>自105年05月21日至105年06月17日止</v>
      </c>
      <c r="K1791" s="2" t="str">
        <f>"台灣集中保管結算所股份有限公司"</f>
        <v>台灣集中保管結算所股份有限公司</v>
      </c>
      <c r="L1791" s="2" t="str">
        <f>"http://www.stockvote.com.tw"</f>
        <v>http://www.stockvote.com.tw</v>
      </c>
      <c r="M1791" s="2" t="str">
        <f>"--"</f>
        <v>--</v>
      </c>
      <c r="N1791" s="2"/>
      <c r="O1791" s="2"/>
      <c r="P1791" s="2"/>
      <c r="Q1791" s="2"/>
    </row>
    <row r="1792" spans="1:17" x14ac:dyDescent="0.3">
      <c r="A1792" s="2" t="str">
        <f>"5283"</f>
        <v>5283</v>
      </c>
      <c r="B1792" s="2" t="s">
        <v>4456</v>
      </c>
      <c r="C1792" s="2" t="s">
        <v>7027</v>
      </c>
      <c r="D1792" s="2" t="s">
        <v>6020</v>
      </c>
      <c r="E1792" s="2" t="s">
        <v>4457</v>
      </c>
      <c r="F1792" s="2" t="s">
        <v>2</v>
      </c>
      <c r="G1792" s="2" t="str">
        <f>"(03)396-1188"</f>
        <v>(03)396-1188</v>
      </c>
      <c r="H1792" s="2" t="s">
        <v>653</v>
      </c>
      <c r="I1792" s="2" t="str">
        <f>"(02)2768-6668"</f>
        <v>(02)2768-6668</v>
      </c>
      <c r="J1792" s="2" t="str">
        <f t="shared" ref="J1792:L1802" si="144">"--"</f>
        <v>--</v>
      </c>
      <c r="K1792" s="2" t="str">
        <f t="shared" si="144"/>
        <v>--</v>
      </c>
      <c r="L1792" s="2" t="str">
        <f t="shared" si="144"/>
        <v>--</v>
      </c>
      <c r="M1792" s="2" t="str">
        <f>"--"</f>
        <v>--</v>
      </c>
      <c r="N1792" s="2"/>
      <c r="O1792" s="2"/>
      <c r="P1792" s="2"/>
      <c r="Q1792" s="2"/>
    </row>
    <row r="1793" spans="1:17" x14ac:dyDescent="0.3">
      <c r="A1793" s="2" t="str">
        <f>"5286"</f>
        <v>5286</v>
      </c>
      <c r="B1793" s="2" t="s">
        <v>4458</v>
      </c>
      <c r="C1793" s="2" t="s">
        <v>4459</v>
      </c>
      <c r="D1793" s="2" t="s">
        <v>6010</v>
      </c>
      <c r="E1793" s="2" t="s">
        <v>4460</v>
      </c>
      <c r="F1793" s="2" t="s">
        <v>2</v>
      </c>
      <c r="G1793" s="2" t="str">
        <f>"02-2752-6001"</f>
        <v>02-2752-6001</v>
      </c>
      <c r="H1793" s="2" t="s">
        <v>415</v>
      </c>
      <c r="I1793" s="2" t="str">
        <f>"02-2389-2999"</f>
        <v>02-2389-2999</v>
      </c>
      <c r="J1793" s="2" t="str">
        <f t="shared" si="144"/>
        <v>--</v>
      </c>
      <c r="K1793" s="2" t="str">
        <f t="shared" si="144"/>
        <v>--</v>
      </c>
      <c r="L1793" s="2" t="str">
        <f t="shared" si="144"/>
        <v>--</v>
      </c>
      <c r="M1793" s="2" t="str">
        <f>"--"</f>
        <v>--</v>
      </c>
      <c r="N1793" s="2"/>
      <c r="O1793" s="2"/>
      <c r="P1793" s="2"/>
      <c r="Q1793" s="2"/>
    </row>
    <row r="1794" spans="1:17" x14ac:dyDescent="0.3">
      <c r="A1794" s="2" t="str">
        <f>"5294"</f>
        <v>5294</v>
      </c>
      <c r="B1794" s="2" t="s">
        <v>4461</v>
      </c>
      <c r="C1794" s="2" t="s">
        <v>4462</v>
      </c>
      <c r="D1794" s="2" t="s">
        <v>6042</v>
      </c>
      <c r="E1794" s="2" t="s">
        <v>7028</v>
      </c>
      <c r="F1794" s="2" t="s">
        <v>2</v>
      </c>
      <c r="G1794" s="2" t="str">
        <f>"(03)3715188"</f>
        <v>(03)3715188</v>
      </c>
      <c r="H1794" s="2" t="s">
        <v>404</v>
      </c>
      <c r="I1794" s="2" t="str">
        <f>"(02)6636-5566"</f>
        <v>(02)6636-5566</v>
      </c>
      <c r="J1794" s="2" t="str">
        <f t="shared" si="144"/>
        <v>--</v>
      </c>
      <c r="K1794" s="2" t="str">
        <f t="shared" si="144"/>
        <v>--</v>
      </c>
      <c r="L1794" s="2" t="str">
        <f t="shared" si="144"/>
        <v>--</v>
      </c>
      <c r="M1794" s="2" t="str">
        <f>"--"</f>
        <v>--</v>
      </c>
      <c r="N1794" s="2"/>
      <c r="O1794" s="2"/>
      <c r="P1794" s="2"/>
      <c r="Q1794" s="2"/>
    </row>
    <row r="1795" spans="1:17" x14ac:dyDescent="0.3">
      <c r="A1795" s="2" t="str">
        <f>"5295"</f>
        <v>5295</v>
      </c>
      <c r="B1795" s="2" t="s">
        <v>4463</v>
      </c>
      <c r="C1795" s="2" t="s">
        <v>4464</v>
      </c>
      <c r="D1795" s="2" t="s">
        <v>6024</v>
      </c>
      <c r="E1795" s="2" t="s">
        <v>7029</v>
      </c>
      <c r="F1795" s="2" t="s">
        <v>2</v>
      </c>
      <c r="G1795" s="2" t="str">
        <f>"06-3840022"</f>
        <v>06-3840022</v>
      </c>
      <c r="H1795" s="2" t="s">
        <v>1063</v>
      </c>
      <c r="I1795" s="2" t="str">
        <f>"02-77198899"</f>
        <v>02-77198899</v>
      </c>
      <c r="J1795" s="2" t="str">
        <f t="shared" si="144"/>
        <v>--</v>
      </c>
      <c r="K1795" s="2" t="str">
        <f t="shared" si="144"/>
        <v>--</v>
      </c>
      <c r="L1795" s="2" t="str">
        <f t="shared" si="144"/>
        <v>--</v>
      </c>
      <c r="M1795" s="2" t="str">
        <f>"否"</f>
        <v>否</v>
      </c>
      <c r="N1795" s="2"/>
      <c r="O1795" s="2"/>
      <c r="P1795" s="2"/>
      <c r="Q1795" s="2"/>
    </row>
    <row r="1796" spans="1:17" x14ac:dyDescent="0.3">
      <c r="A1796" s="2" t="str">
        <f>"5299"</f>
        <v>5299</v>
      </c>
      <c r="B1796" s="2" t="s">
        <v>4465</v>
      </c>
      <c r="C1796" s="2" t="s">
        <v>4466</v>
      </c>
      <c r="D1796" s="2" t="s">
        <v>6042</v>
      </c>
      <c r="E1796" s="2" t="s">
        <v>4467</v>
      </c>
      <c r="F1796" s="2" t="s">
        <v>41</v>
      </c>
      <c r="G1796" s="2" t="str">
        <f>"03-5600689"</f>
        <v>03-5600689</v>
      </c>
      <c r="H1796" s="2" t="s">
        <v>451</v>
      </c>
      <c r="I1796" s="2" t="str">
        <f>"(02)23892999"</f>
        <v>(02)23892999</v>
      </c>
      <c r="J1796" s="2" t="str">
        <f t="shared" si="144"/>
        <v>--</v>
      </c>
      <c r="K1796" s="2" t="str">
        <f t="shared" si="144"/>
        <v>--</v>
      </c>
      <c r="L1796" s="2" t="str">
        <f t="shared" si="144"/>
        <v>--</v>
      </c>
      <c r="M1796" s="2" t="str">
        <f>"--"</f>
        <v>--</v>
      </c>
      <c r="N1796" s="2"/>
      <c r="O1796" s="2"/>
      <c r="P1796" s="2"/>
      <c r="Q1796" s="2"/>
    </row>
    <row r="1797" spans="1:17" x14ac:dyDescent="0.3">
      <c r="A1797" s="2" t="str">
        <f>"5541"</f>
        <v>5541</v>
      </c>
      <c r="B1797" s="2" t="s">
        <v>4468</v>
      </c>
      <c r="C1797" s="2" t="s">
        <v>4469</v>
      </c>
      <c r="D1797" s="2" t="s">
        <v>6024</v>
      </c>
      <c r="E1797" s="2" t="s">
        <v>4470</v>
      </c>
      <c r="F1797" s="2" t="s">
        <v>2</v>
      </c>
      <c r="G1797" s="2" t="str">
        <f>"2568-3383"</f>
        <v>2568-3383</v>
      </c>
      <c r="H1797" s="2" t="s">
        <v>451</v>
      </c>
      <c r="I1797" s="2" t="str">
        <f>"2389-2999"</f>
        <v>2389-2999</v>
      </c>
      <c r="J1797" s="2" t="str">
        <f t="shared" si="144"/>
        <v>--</v>
      </c>
      <c r="K1797" s="2" t="str">
        <f t="shared" si="144"/>
        <v>--</v>
      </c>
      <c r="L1797" s="2" t="str">
        <f t="shared" si="144"/>
        <v>--</v>
      </c>
      <c r="M1797" s="2" t="str">
        <f>"否"</f>
        <v>否</v>
      </c>
      <c r="N1797" s="2"/>
      <c r="O1797" s="2"/>
      <c r="P1797" s="2"/>
      <c r="Q1797" s="2"/>
    </row>
    <row r="1798" spans="1:17" x14ac:dyDescent="0.3">
      <c r="A1798" s="2" t="str">
        <f>"5859"</f>
        <v>5859</v>
      </c>
      <c r="B1798" s="2" t="s">
        <v>7030</v>
      </c>
      <c r="C1798" s="2" t="s">
        <v>7031</v>
      </c>
      <c r="D1798" s="2" t="s">
        <v>6002</v>
      </c>
      <c r="E1798" s="2" t="s">
        <v>7032</v>
      </c>
      <c r="F1798" s="2" t="s">
        <v>2</v>
      </c>
      <c r="G1798" s="2" t="str">
        <f>"27583099"</f>
        <v>27583099</v>
      </c>
      <c r="H1798" s="2" t="s">
        <v>465</v>
      </c>
      <c r="I1798" s="2" t="str">
        <f>"02-2381-6288"</f>
        <v>02-2381-6288</v>
      </c>
      <c r="J1798" s="2" t="str">
        <f t="shared" si="144"/>
        <v>--</v>
      </c>
      <c r="K1798" s="2" t="str">
        <f t="shared" si="144"/>
        <v>--</v>
      </c>
      <c r="L1798" s="2" t="str">
        <f t="shared" si="144"/>
        <v>--</v>
      </c>
      <c r="M1798" s="2" t="str">
        <f>"--"</f>
        <v>--</v>
      </c>
      <c r="N1798" s="2"/>
      <c r="O1798" s="2"/>
      <c r="P1798" s="2"/>
      <c r="Q1798" s="2"/>
    </row>
    <row r="1799" spans="1:17" x14ac:dyDescent="0.3">
      <c r="A1799" s="2" t="str">
        <f>"5863"</f>
        <v>5863</v>
      </c>
      <c r="B1799" s="2" t="s">
        <v>4471</v>
      </c>
      <c r="C1799" s="2" t="s">
        <v>4472</v>
      </c>
      <c r="D1799" s="2" t="s">
        <v>6330</v>
      </c>
      <c r="E1799" s="2" t="s">
        <v>4473</v>
      </c>
      <c r="F1799" s="2" t="s">
        <v>41</v>
      </c>
      <c r="G1799" s="2" t="str">
        <f>"(02)25575151"</f>
        <v>(02)25575151</v>
      </c>
      <c r="H1799" s="2" t="s">
        <v>4474</v>
      </c>
      <c r="I1799" s="2" t="str">
        <f>"(02)23118787"</f>
        <v>(02)23118787</v>
      </c>
      <c r="J1799" s="2" t="str">
        <f t="shared" si="144"/>
        <v>--</v>
      </c>
      <c r="K1799" s="2" t="str">
        <f t="shared" si="144"/>
        <v>--</v>
      </c>
      <c r="L1799" s="2" t="str">
        <f t="shared" si="144"/>
        <v>--</v>
      </c>
      <c r="M1799" s="2" t="str">
        <f>"否"</f>
        <v>否</v>
      </c>
      <c r="N1799" s="2"/>
      <c r="O1799" s="2"/>
      <c r="P1799" s="2"/>
      <c r="Q1799" s="2"/>
    </row>
    <row r="1800" spans="1:17" x14ac:dyDescent="0.3">
      <c r="A1800" s="2" t="str">
        <f>"5864"</f>
        <v>5864</v>
      </c>
      <c r="B1800" s="2" t="s">
        <v>4475</v>
      </c>
      <c r="C1800" s="2" t="s">
        <v>4476</v>
      </c>
      <c r="D1800" s="2" t="s">
        <v>6584</v>
      </c>
      <c r="E1800" s="2" t="s">
        <v>4477</v>
      </c>
      <c r="F1800" s="2" t="s">
        <v>41</v>
      </c>
      <c r="G1800" s="2" t="str">
        <f>"06-2219777"</f>
        <v>06-2219777</v>
      </c>
      <c r="H1800" s="2" t="s">
        <v>469</v>
      </c>
      <c r="I1800" s="2" t="str">
        <f>"02-27478266"</f>
        <v>02-27478266</v>
      </c>
      <c r="J1800" s="2" t="str">
        <f t="shared" si="144"/>
        <v>--</v>
      </c>
      <c r="K1800" s="2" t="str">
        <f t="shared" si="144"/>
        <v>--</v>
      </c>
      <c r="L1800" s="2" t="str">
        <f t="shared" si="144"/>
        <v>--</v>
      </c>
      <c r="M1800" s="2" t="str">
        <f>"否"</f>
        <v>否</v>
      </c>
      <c r="N1800" s="2"/>
      <c r="O1800" s="2"/>
      <c r="P1800" s="2"/>
      <c r="Q1800" s="2"/>
    </row>
    <row r="1801" spans="1:17" x14ac:dyDescent="0.3">
      <c r="A1801" s="2" t="str">
        <f>"5876"</f>
        <v>5876</v>
      </c>
      <c r="B1801" s="2" t="s">
        <v>4478</v>
      </c>
      <c r="C1801" s="2" t="s">
        <v>4479</v>
      </c>
      <c r="D1801" s="2" t="s">
        <v>6016</v>
      </c>
      <c r="E1801" s="2" t="s">
        <v>7033</v>
      </c>
      <c r="F1801" s="2" t="s">
        <v>2</v>
      </c>
      <c r="G1801" s="2" t="str">
        <f>"02-25817111"</f>
        <v>02-25817111</v>
      </c>
      <c r="H1801" s="2" t="s">
        <v>2897</v>
      </c>
      <c r="I1801" s="2" t="str">
        <f>"02-27186425"</f>
        <v>02-27186425</v>
      </c>
      <c r="J1801" s="2" t="str">
        <f t="shared" si="144"/>
        <v>--</v>
      </c>
      <c r="K1801" s="2" t="str">
        <f t="shared" si="144"/>
        <v>--</v>
      </c>
      <c r="L1801" s="2" t="str">
        <f t="shared" si="144"/>
        <v>--</v>
      </c>
      <c r="M1801" s="2" t="str">
        <f>"--"</f>
        <v>--</v>
      </c>
      <c r="N1801" s="2"/>
      <c r="O1801" s="2"/>
      <c r="P1801" s="2"/>
      <c r="Q1801" s="2"/>
    </row>
    <row r="1802" spans="1:17" x14ac:dyDescent="0.3">
      <c r="A1802" s="2" t="str">
        <f>"6027"</f>
        <v>6027</v>
      </c>
      <c r="B1802" s="2" t="s">
        <v>7034</v>
      </c>
      <c r="C1802" s="2" t="s">
        <v>7035</v>
      </c>
      <c r="D1802" s="2" t="s">
        <v>5999</v>
      </c>
      <c r="E1802" s="2" t="s">
        <v>7036</v>
      </c>
      <c r="F1802" s="2" t="s">
        <v>2</v>
      </c>
      <c r="G1802" s="2" t="str">
        <f>"(02)23939988"</f>
        <v>(02)23939988</v>
      </c>
      <c r="H1802" s="2" t="s">
        <v>2418</v>
      </c>
      <c r="I1802" s="2" t="str">
        <f>"(02)27686668"</f>
        <v>(02)27686668</v>
      </c>
      <c r="J1802" s="2" t="str">
        <f t="shared" si="144"/>
        <v>--</v>
      </c>
      <c r="K1802" s="2" t="str">
        <f t="shared" si="144"/>
        <v>--</v>
      </c>
      <c r="L1802" s="2" t="str">
        <f t="shared" si="144"/>
        <v>--</v>
      </c>
      <c r="M1802" s="2" t="str">
        <f>"否"</f>
        <v>否</v>
      </c>
      <c r="N1802" s="2"/>
      <c r="O1802" s="2"/>
      <c r="P1802" s="2"/>
      <c r="Q1802" s="2"/>
    </row>
    <row r="1803" spans="1:17" x14ac:dyDescent="0.3">
      <c r="A1803" s="2" t="str">
        <f>"6272"</f>
        <v>6272</v>
      </c>
      <c r="B1803" s="2" t="s">
        <v>4481</v>
      </c>
      <c r="C1803" s="2" t="s">
        <v>4482</v>
      </c>
      <c r="D1803" s="2" t="s">
        <v>6016</v>
      </c>
      <c r="E1803" s="2" t="s">
        <v>4483</v>
      </c>
      <c r="F1803" s="2" t="s">
        <v>2</v>
      </c>
      <c r="G1803" s="2" t="str">
        <f>"02-26471896"</f>
        <v>02-26471896</v>
      </c>
      <c r="H1803" s="2" t="s">
        <v>1063</v>
      </c>
      <c r="I1803" s="2" t="str">
        <f>"(02)7719-8899"</f>
        <v>(02)7719-8899</v>
      </c>
      <c r="J1803" s="2" t="str">
        <f>"自105年05月15日至105年06月11日止"</f>
        <v>自105年05月15日至105年06月11日止</v>
      </c>
      <c r="K1803" s="2" t="str">
        <f>"台灣集中保管結算所股份有限公司"</f>
        <v>台灣集中保管結算所股份有限公司</v>
      </c>
      <c r="L1803" s="2" t="str">
        <f>"http://www.stockvote.com.tw"</f>
        <v>http://www.stockvote.com.tw</v>
      </c>
      <c r="M1803" s="2" t="str">
        <f>"&lt;b&gt;&lt;font color='red'&gt;自願&lt;/font&gt;&lt;/b&gt;"</f>
        <v>&lt;b&gt;&lt;font color='red'&gt;自願&lt;/font&gt;&lt;/b&gt;</v>
      </c>
      <c r="N1803" s="2"/>
      <c r="O1803" s="2"/>
      <c r="P1803" s="2"/>
      <c r="Q1803" s="2"/>
    </row>
    <row r="1804" spans="1:17" x14ac:dyDescent="0.3">
      <c r="A1804" s="2" t="str">
        <f>"6288"</f>
        <v>6288</v>
      </c>
      <c r="B1804" s="2" t="s">
        <v>4484</v>
      </c>
      <c r="C1804" s="2" t="s">
        <v>4485</v>
      </c>
      <c r="D1804" s="2" t="s">
        <v>6001</v>
      </c>
      <c r="E1804" s="2" t="s">
        <v>4486</v>
      </c>
      <c r="F1804" s="2" t="s">
        <v>2</v>
      </c>
      <c r="G1804" s="2" t="str">
        <f>"(037)539000"</f>
        <v>(037)539000</v>
      </c>
      <c r="H1804" s="2" t="s">
        <v>431</v>
      </c>
      <c r="I1804" s="2" t="str">
        <f>"(02)27035000"</f>
        <v>(02)27035000</v>
      </c>
      <c r="J1804" s="2" t="str">
        <f t="shared" ref="J1804:M1807" si="145">"--"</f>
        <v>--</v>
      </c>
      <c r="K1804" s="2" t="str">
        <f t="shared" si="145"/>
        <v>--</v>
      </c>
      <c r="L1804" s="2" t="str">
        <f t="shared" si="145"/>
        <v>--</v>
      </c>
      <c r="M1804" s="2" t="str">
        <f t="shared" si="145"/>
        <v>--</v>
      </c>
      <c r="N1804" s="2"/>
      <c r="O1804" s="2"/>
      <c r="P1804" s="2"/>
      <c r="Q1804" s="2"/>
    </row>
    <row r="1805" spans="1:17" x14ac:dyDescent="0.3">
      <c r="A1805" s="2" t="str">
        <f>"6401"</f>
        <v>6401</v>
      </c>
      <c r="B1805" s="2" t="s">
        <v>4487</v>
      </c>
      <c r="C1805" s="2" t="s">
        <v>4488</v>
      </c>
      <c r="D1805" s="2" t="s">
        <v>6015</v>
      </c>
      <c r="E1805" s="2" t="s">
        <v>4489</v>
      </c>
      <c r="F1805" s="2" t="s">
        <v>2</v>
      </c>
      <c r="G1805" s="2" t="str">
        <f>"(02)2717-5888"</f>
        <v>(02)2717-5888</v>
      </c>
      <c r="H1805" s="2" t="s">
        <v>431</v>
      </c>
      <c r="I1805" s="2" t="str">
        <f>"27023999"</f>
        <v>27023999</v>
      </c>
      <c r="J1805" s="2" t="str">
        <f t="shared" si="145"/>
        <v>--</v>
      </c>
      <c r="K1805" s="2" t="str">
        <f t="shared" si="145"/>
        <v>--</v>
      </c>
      <c r="L1805" s="2" t="str">
        <f t="shared" si="145"/>
        <v>--</v>
      </c>
      <c r="M1805" s="2" t="str">
        <f t="shared" si="145"/>
        <v>--</v>
      </c>
      <c r="N1805" s="2"/>
      <c r="O1805" s="2"/>
      <c r="P1805" s="2"/>
      <c r="Q1805" s="2"/>
    </row>
    <row r="1806" spans="1:17" x14ac:dyDescent="0.3">
      <c r="A1806" s="2" t="str">
        <f>"6403"</f>
        <v>6403</v>
      </c>
      <c r="B1806" s="2" t="s">
        <v>4490</v>
      </c>
      <c r="C1806" s="2" t="s">
        <v>7037</v>
      </c>
      <c r="D1806" s="2" t="s">
        <v>6016</v>
      </c>
      <c r="E1806" s="2" t="s">
        <v>4491</v>
      </c>
      <c r="F1806" s="2" t="s">
        <v>2</v>
      </c>
      <c r="G1806" s="2" t="str">
        <f>"03-2868388"</f>
        <v>03-2868388</v>
      </c>
      <c r="H1806" s="2" t="s">
        <v>1553</v>
      </c>
      <c r="I1806" s="2" t="str">
        <f>"(02)2593-6666"</f>
        <v>(02)2593-6666</v>
      </c>
      <c r="J1806" s="2" t="str">
        <f t="shared" si="145"/>
        <v>--</v>
      </c>
      <c r="K1806" s="2" t="str">
        <f t="shared" si="145"/>
        <v>--</v>
      </c>
      <c r="L1806" s="2" t="str">
        <f t="shared" si="145"/>
        <v>--</v>
      </c>
      <c r="M1806" s="2" t="str">
        <f t="shared" si="145"/>
        <v>--</v>
      </c>
      <c r="N1806" s="2"/>
      <c r="O1806" s="2"/>
      <c r="P1806" s="2"/>
      <c r="Q1806" s="2"/>
    </row>
    <row r="1807" spans="1:17" x14ac:dyDescent="0.3">
      <c r="A1807" s="2" t="str">
        <f>"6407"</f>
        <v>6407</v>
      </c>
      <c r="B1807" s="2" t="s">
        <v>4492</v>
      </c>
      <c r="C1807" s="2" t="s">
        <v>4493</v>
      </c>
      <c r="D1807" s="2" t="s">
        <v>6014</v>
      </c>
      <c r="E1807" s="2" t="s">
        <v>4494</v>
      </c>
      <c r="F1807" s="2" t="s">
        <v>2</v>
      </c>
      <c r="G1807" s="2" t="str">
        <f>"02-22763210"</f>
        <v>02-22763210</v>
      </c>
      <c r="H1807" s="2" t="s">
        <v>2817</v>
      </c>
      <c r="I1807" s="2" t="str">
        <f>"02-25048125"</f>
        <v>02-25048125</v>
      </c>
      <c r="J1807" s="2" t="str">
        <f t="shared" si="145"/>
        <v>--</v>
      </c>
      <c r="K1807" s="2" t="str">
        <f t="shared" si="145"/>
        <v>--</v>
      </c>
      <c r="L1807" s="2" t="str">
        <f t="shared" si="145"/>
        <v>--</v>
      </c>
      <c r="M1807" s="2" t="str">
        <f t="shared" si="145"/>
        <v>--</v>
      </c>
      <c r="N1807" s="2"/>
      <c r="O1807" s="2"/>
      <c r="P1807" s="2"/>
      <c r="Q1807" s="2"/>
    </row>
    <row r="1808" spans="1:17" x14ac:dyDescent="0.3">
      <c r="A1808" s="2" t="str">
        <f>"6416"</f>
        <v>6416</v>
      </c>
      <c r="B1808" s="2" t="s">
        <v>4495</v>
      </c>
      <c r="C1808" s="2" t="s">
        <v>4496</v>
      </c>
      <c r="D1808" s="2" t="s">
        <v>6405</v>
      </c>
      <c r="E1808" s="2" t="s">
        <v>4497</v>
      </c>
      <c r="F1808" s="2" t="s">
        <v>2</v>
      </c>
      <c r="G1808" s="2" t="str">
        <f>"77058888"</f>
        <v>77058888</v>
      </c>
      <c r="H1808" s="2" t="s">
        <v>556</v>
      </c>
      <c r="I1808" s="2" t="str">
        <f>"(02)2383-6888"</f>
        <v>(02)2383-6888</v>
      </c>
      <c r="J1808" s="2" t="str">
        <f>"自105年03月19日至105年04月17日止"</f>
        <v>自105年03月19日至105年04月17日止</v>
      </c>
      <c r="K1808" s="2" t="str">
        <f>"台灣集中保管結算所股份有限公司"</f>
        <v>台灣集中保管結算所股份有限公司</v>
      </c>
      <c r="L1808" s="2" t="str">
        <f>"http://www.stockvote.com.tw"</f>
        <v>http://www.stockvote.com.tw</v>
      </c>
      <c r="M1808" s="2" t="str">
        <f>"&lt;b&gt;&lt;font color='red'&gt;自願&lt;/font&gt;&lt;/b&gt;"</f>
        <v>&lt;b&gt;&lt;font color='red'&gt;自願&lt;/font&gt;&lt;/b&gt;</v>
      </c>
      <c r="N1808" s="2"/>
      <c r="O1808" s="2"/>
      <c r="P1808" s="2"/>
      <c r="Q1808" s="2"/>
    </row>
    <row r="1809" spans="1:17" x14ac:dyDescent="0.3">
      <c r="A1809" s="2" t="str">
        <f>"6418"</f>
        <v>6418</v>
      </c>
      <c r="B1809" s="2" t="s">
        <v>4500</v>
      </c>
      <c r="C1809" s="2" t="s">
        <v>7038</v>
      </c>
      <c r="D1809" s="2" t="s">
        <v>6007</v>
      </c>
      <c r="E1809" s="2" t="s">
        <v>7039</v>
      </c>
      <c r="F1809" s="2" t="s">
        <v>2</v>
      </c>
      <c r="G1809" s="2" t="str">
        <f>"03-4527666"</f>
        <v>03-4527666</v>
      </c>
      <c r="H1809" s="2" t="s">
        <v>806</v>
      </c>
      <c r="I1809" s="2" t="str">
        <f>"02-87871888"</f>
        <v>02-87871888</v>
      </c>
      <c r="J1809" s="2" t="str">
        <f t="shared" ref="J1809:M1817" si="146">"--"</f>
        <v>--</v>
      </c>
      <c r="K1809" s="2" t="str">
        <f t="shared" si="146"/>
        <v>--</v>
      </c>
      <c r="L1809" s="2" t="str">
        <f t="shared" si="146"/>
        <v>--</v>
      </c>
      <c r="M1809" s="2" t="str">
        <f t="shared" si="146"/>
        <v>--</v>
      </c>
      <c r="N1809" s="2"/>
      <c r="O1809" s="2"/>
      <c r="P1809" s="2"/>
      <c r="Q1809" s="2"/>
    </row>
    <row r="1810" spans="1:17" x14ac:dyDescent="0.3">
      <c r="A1810" s="2" t="str">
        <f>"6423"</f>
        <v>6423</v>
      </c>
      <c r="B1810" s="2" t="s">
        <v>4501</v>
      </c>
      <c r="C1810" s="2" t="s">
        <v>4502</v>
      </c>
      <c r="D1810" s="2" t="s">
        <v>6016</v>
      </c>
      <c r="E1810" s="2" t="s">
        <v>7040</v>
      </c>
      <c r="F1810" s="2" t="s">
        <v>41</v>
      </c>
      <c r="G1810" s="2" t="str">
        <f>"03-5526035"</f>
        <v>03-5526035</v>
      </c>
      <c r="H1810" s="2" t="s">
        <v>675</v>
      </c>
      <c r="I1810" s="2" t="str">
        <f>"02-25865859"</f>
        <v>02-25865859</v>
      </c>
      <c r="J1810" s="2" t="str">
        <f t="shared" si="146"/>
        <v>--</v>
      </c>
      <c r="K1810" s="2" t="str">
        <f t="shared" si="146"/>
        <v>--</v>
      </c>
      <c r="L1810" s="2" t="str">
        <f t="shared" si="146"/>
        <v>--</v>
      </c>
      <c r="M1810" s="2" t="str">
        <f t="shared" si="146"/>
        <v>--</v>
      </c>
      <c r="N1810" s="2"/>
      <c r="O1810" s="2"/>
      <c r="P1810" s="2"/>
      <c r="Q1810" s="2"/>
    </row>
    <row r="1811" spans="1:17" x14ac:dyDescent="0.3">
      <c r="A1811" s="2" t="str">
        <f>"6425"</f>
        <v>6425</v>
      </c>
      <c r="B1811" s="2" t="s">
        <v>4503</v>
      </c>
      <c r="C1811" s="2" t="s">
        <v>7041</v>
      </c>
      <c r="D1811" s="2" t="s">
        <v>6080</v>
      </c>
      <c r="E1811" s="2" t="s">
        <v>4504</v>
      </c>
      <c r="F1811" s="2" t="s">
        <v>2</v>
      </c>
      <c r="G1811" s="2" t="str">
        <f>"03-4514199"</f>
        <v>03-4514199</v>
      </c>
      <c r="H1811" s="2" t="s">
        <v>415</v>
      </c>
      <c r="I1811" s="2" t="str">
        <f>"02-23892999"</f>
        <v>02-23892999</v>
      </c>
      <c r="J1811" s="2" t="str">
        <f t="shared" si="146"/>
        <v>--</v>
      </c>
      <c r="K1811" s="2" t="str">
        <f t="shared" si="146"/>
        <v>--</v>
      </c>
      <c r="L1811" s="2" t="str">
        <f t="shared" si="146"/>
        <v>--</v>
      </c>
      <c r="M1811" s="2" t="str">
        <f>"否"</f>
        <v>否</v>
      </c>
      <c r="N1811" s="2"/>
      <c r="O1811" s="2"/>
      <c r="P1811" s="2"/>
      <c r="Q1811" s="2"/>
    </row>
    <row r="1812" spans="1:17" x14ac:dyDescent="0.3">
      <c r="A1812" s="2" t="str">
        <f>"6428"</f>
        <v>6428</v>
      </c>
      <c r="B1812" s="2" t="s">
        <v>4505</v>
      </c>
      <c r="C1812" s="2" t="s">
        <v>7042</v>
      </c>
      <c r="D1812" s="2" t="s">
        <v>6011</v>
      </c>
      <c r="E1812" s="2" t="s">
        <v>7043</v>
      </c>
      <c r="F1812" s="2" t="s">
        <v>2</v>
      </c>
      <c r="G1812" s="2" t="str">
        <f>"2516-1331"</f>
        <v>2516-1331</v>
      </c>
      <c r="H1812" s="2" t="s">
        <v>996</v>
      </c>
      <c r="I1812" s="2" t="str">
        <f>"(02)2327-8988"</f>
        <v>(02)2327-8988</v>
      </c>
      <c r="J1812" s="2" t="str">
        <f t="shared" si="146"/>
        <v>--</v>
      </c>
      <c r="K1812" s="2" t="str">
        <f t="shared" si="146"/>
        <v>--</v>
      </c>
      <c r="L1812" s="2" t="str">
        <f t="shared" si="146"/>
        <v>--</v>
      </c>
      <c r="M1812" s="2" t="str">
        <f>"否"</f>
        <v>否</v>
      </c>
      <c r="N1812" s="2"/>
      <c r="O1812" s="2"/>
      <c r="P1812" s="2"/>
      <c r="Q1812" s="2"/>
    </row>
    <row r="1813" spans="1:17" x14ac:dyDescent="0.3">
      <c r="A1813" s="2" t="str">
        <f>"6434"</f>
        <v>6434</v>
      </c>
      <c r="B1813" s="2" t="s">
        <v>4508</v>
      </c>
      <c r="C1813" s="2" t="s">
        <v>4509</v>
      </c>
      <c r="D1813" s="2" t="s">
        <v>6028</v>
      </c>
      <c r="E1813" s="2" t="s">
        <v>4510</v>
      </c>
      <c r="F1813" s="2" t="s">
        <v>2</v>
      </c>
      <c r="G1813" s="2" t="str">
        <f>"037-587-500"</f>
        <v>037-587-500</v>
      </c>
      <c r="H1813" s="2" t="s">
        <v>3236</v>
      </c>
      <c r="I1813" s="2" t="str">
        <f>"02-2311-8787"</f>
        <v>02-2311-8787</v>
      </c>
      <c r="J1813" s="2" t="str">
        <f t="shared" si="146"/>
        <v>--</v>
      </c>
      <c r="K1813" s="2" t="str">
        <f t="shared" si="146"/>
        <v>--</v>
      </c>
      <c r="L1813" s="2" t="str">
        <f t="shared" si="146"/>
        <v>--</v>
      </c>
      <c r="M1813" s="2" t="str">
        <f>"否"</f>
        <v>否</v>
      </c>
      <c r="N1813" s="2"/>
      <c r="O1813" s="2"/>
      <c r="P1813" s="2"/>
      <c r="Q1813" s="2"/>
    </row>
    <row r="1814" spans="1:17" x14ac:dyDescent="0.3">
      <c r="A1814" s="2" t="str">
        <f>"6436"</f>
        <v>6436</v>
      </c>
      <c r="B1814" s="2" t="s">
        <v>4513</v>
      </c>
      <c r="C1814" s="2" t="s">
        <v>4514</v>
      </c>
      <c r="D1814" s="2" t="s">
        <v>6015</v>
      </c>
      <c r="E1814" s="2" t="s">
        <v>4515</v>
      </c>
      <c r="F1814" s="2" t="s">
        <v>41</v>
      </c>
      <c r="G1814" s="2" t="str">
        <f>"(02)8752-5088"</f>
        <v>(02)8752-5088</v>
      </c>
      <c r="H1814" s="2" t="s">
        <v>4516</v>
      </c>
      <c r="I1814" s="2" t="str">
        <f>"(02)6636-5566"</f>
        <v>(02)6636-5566</v>
      </c>
      <c r="J1814" s="2" t="str">
        <f t="shared" si="146"/>
        <v>--</v>
      </c>
      <c r="K1814" s="2" t="str">
        <f t="shared" si="146"/>
        <v>--</v>
      </c>
      <c r="L1814" s="2" t="str">
        <f t="shared" si="146"/>
        <v>--</v>
      </c>
      <c r="M1814" s="2" t="str">
        <f>"--"</f>
        <v>--</v>
      </c>
      <c r="N1814" s="2"/>
      <c r="O1814" s="2"/>
      <c r="P1814" s="2"/>
      <c r="Q1814" s="2"/>
    </row>
    <row r="1815" spans="1:17" x14ac:dyDescent="0.3">
      <c r="A1815" s="2" t="str">
        <f>"6438"</f>
        <v>6438</v>
      </c>
      <c r="B1815" s="2" t="s">
        <v>4517</v>
      </c>
      <c r="C1815" s="2" t="s">
        <v>7044</v>
      </c>
      <c r="D1815" s="2" t="s">
        <v>6034</v>
      </c>
      <c r="E1815" s="2" t="s">
        <v>4518</v>
      </c>
      <c r="F1815" s="2" t="s">
        <v>2</v>
      </c>
      <c r="G1815" s="2" t="str">
        <f>"03-4356870"</f>
        <v>03-4356870</v>
      </c>
      <c r="H1815" s="2" t="s">
        <v>806</v>
      </c>
      <c r="I1815" s="2" t="str">
        <f>"02-87871888"</f>
        <v>02-87871888</v>
      </c>
      <c r="J1815" s="2" t="str">
        <f t="shared" si="146"/>
        <v>--</v>
      </c>
      <c r="K1815" s="2" t="str">
        <f t="shared" si="146"/>
        <v>--</v>
      </c>
      <c r="L1815" s="2" t="str">
        <f t="shared" si="146"/>
        <v>--</v>
      </c>
      <c r="M1815" s="2" t="str">
        <f>"否"</f>
        <v>否</v>
      </c>
      <c r="N1815" s="2"/>
      <c r="O1815" s="2"/>
      <c r="P1815" s="2"/>
      <c r="Q1815" s="2"/>
    </row>
    <row r="1816" spans="1:17" x14ac:dyDescent="0.3">
      <c r="A1816" s="2" t="str">
        <f>"6441"</f>
        <v>6441</v>
      </c>
      <c r="B1816" s="2" t="s">
        <v>4519</v>
      </c>
      <c r="C1816" s="2" t="s">
        <v>7045</v>
      </c>
      <c r="D1816" s="2" t="s">
        <v>6034</v>
      </c>
      <c r="E1816" s="2" t="s">
        <v>7046</v>
      </c>
      <c r="F1816" s="2" t="s">
        <v>41</v>
      </c>
      <c r="G1816" s="2" t="str">
        <f>"29069988"</f>
        <v>29069988</v>
      </c>
      <c r="H1816" s="2" t="s">
        <v>497</v>
      </c>
      <c r="I1816" s="2" t="str">
        <f>"(02)6636-5566"</f>
        <v>(02)6636-5566</v>
      </c>
      <c r="J1816" s="2" t="str">
        <f t="shared" si="146"/>
        <v>--</v>
      </c>
      <c r="K1816" s="2" t="str">
        <f t="shared" si="146"/>
        <v>--</v>
      </c>
      <c r="L1816" s="2" t="str">
        <f t="shared" si="146"/>
        <v>--</v>
      </c>
      <c r="M1816" s="2" t="str">
        <f>"否"</f>
        <v>否</v>
      </c>
      <c r="N1816" s="2"/>
      <c r="O1816" s="2"/>
      <c r="P1816" s="2"/>
      <c r="Q1816" s="2"/>
    </row>
    <row r="1817" spans="1:17" x14ac:dyDescent="0.3">
      <c r="A1817" s="2" t="str">
        <f>"6445"</f>
        <v>6445</v>
      </c>
      <c r="B1817" s="2" t="s">
        <v>4524</v>
      </c>
      <c r="C1817" s="2" t="s">
        <v>4525</v>
      </c>
      <c r="D1817" s="2" t="s">
        <v>6002</v>
      </c>
      <c r="E1817" s="2" t="s">
        <v>7047</v>
      </c>
      <c r="F1817" s="2" t="s">
        <v>2</v>
      </c>
      <c r="G1817" s="2" t="str">
        <f>"2880-5558"</f>
        <v>2880-5558</v>
      </c>
      <c r="H1817" s="2" t="s">
        <v>456</v>
      </c>
      <c r="I1817" s="2" t="str">
        <f>"02-25048125"</f>
        <v>02-25048125</v>
      </c>
      <c r="J1817" s="2" t="str">
        <f t="shared" si="146"/>
        <v>--</v>
      </c>
      <c r="K1817" s="2" t="str">
        <f t="shared" si="146"/>
        <v>--</v>
      </c>
      <c r="L1817" s="2" t="str">
        <f t="shared" si="146"/>
        <v>--</v>
      </c>
      <c r="M1817" s="2" t="str">
        <f>"否"</f>
        <v>否</v>
      </c>
      <c r="N1817" s="2"/>
      <c r="O1817" s="2"/>
      <c r="P1817" s="2"/>
      <c r="Q1817" s="2"/>
    </row>
    <row r="1818" spans="1:17" x14ac:dyDescent="0.3">
      <c r="A1818" s="2" t="str">
        <f>"6446"</f>
        <v>6446</v>
      </c>
      <c r="B1818" s="2" t="s">
        <v>4526</v>
      </c>
      <c r="C1818" s="2" t="s">
        <v>4527</v>
      </c>
      <c r="D1818" s="2" t="s">
        <v>6014</v>
      </c>
      <c r="E1818" s="2" t="s">
        <v>4528</v>
      </c>
      <c r="F1818" s="2" t="s">
        <v>2</v>
      </c>
      <c r="G1818" s="2" t="str">
        <f>"02-26557688"</f>
        <v>02-26557688</v>
      </c>
      <c r="H1818" s="2" t="s">
        <v>404</v>
      </c>
      <c r="I1818" s="2" t="str">
        <f>"02-66365566"</f>
        <v>02-66365566</v>
      </c>
      <c r="J1818" s="2" t="str">
        <f>"自105年05月28日至105年06月26日止"</f>
        <v>自105年05月28日至105年06月26日止</v>
      </c>
      <c r="K1818" s="2" t="str">
        <f>"台灣集中保管結算所股份有限公司"</f>
        <v>台灣集中保管結算所股份有限公司</v>
      </c>
      <c r="L1818" s="2" t="str">
        <f>"http://www.stockvote.com.tw"</f>
        <v>http://www.stockvote.com.tw</v>
      </c>
      <c r="M1818" s="2" t="str">
        <f>"--"</f>
        <v>--</v>
      </c>
      <c r="N1818" s="2"/>
      <c r="O1818" s="2"/>
      <c r="P1818" s="2"/>
      <c r="Q1818" s="2"/>
    </row>
    <row r="1819" spans="1:17" x14ac:dyDescent="0.3">
      <c r="A1819" s="2" t="str">
        <f>"6453"</f>
        <v>6453</v>
      </c>
      <c r="B1819" s="2" t="s">
        <v>4529</v>
      </c>
      <c r="C1819" s="2" t="s">
        <v>4530</v>
      </c>
      <c r="D1819" s="2" t="s">
        <v>6031</v>
      </c>
      <c r="E1819" s="2" t="s">
        <v>4531</v>
      </c>
      <c r="F1819" s="2" t="s">
        <v>2</v>
      </c>
      <c r="G1819" s="2" t="str">
        <f>"02-2732-5205"</f>
        <v>02-2732-5205</v>
      </c>
      <c r="H1819" s="2" t="s">
        <v>404</v>
      </c>
      <c r="I1819" s="2" t="str">
        <f>"02-6636-5566"</f>
        <v>02-6636-5566</v>
      </c>
      <c r="J1819" s="2" t="str">
        <f>"自105年05月07日至105年06月03日止"</f>
        <v>自105年05月07日至105年06月03日止</v>
      </c>
      <c r="K1819" s="2" t="str">
        <f>"台灣集中保管結算所股份有限公司"</f>
        <v>台灣集中保管結算所股份有限公司</v>
      </c>
      <c r="L1819" s="2" t="str">
        <f>"http://www.stockvote.com.tw"</f>
        <v>http://www.stockvote.com.tw</v>
      </c>
      <c r="M1819" s="2" t="str">
        <f>"強制"</f>
        <v>強制</v>
      </c>
      <c r="N1819" s="2"/>
      <c r="O1819" s="2"/>
      <c r="P1819" s="2"/>
      <c r="Q1819" s="2"/>
    </row>
    <row r="1820" spans="1:17" x14ac:dyDescent="0.3">
      <c r="A1820" s="2" t="str">
        <f>"6455"</f>
        <v>6455</v>
      </c>
      <c r="B1820" s="2" t="s">
        <v>4532</v>
      </c>
      <c r="C1820" s="2" t="s">
        <v>4533</v>
      </c>
      <c r="D1820" s="2" t="s">
        <v>6034</v>
      </c>
      <c r="E1820" s="2" t="s">
        <v>7048</v>
      </c>
      <c r="F1820" s="2" t="s">
        <v>2</v>
      </c>
      <c r="G1820" s="2" t="str">
        <f>"06-263-7799"</f>
        <v>06-263-7799</v>
      </c>
      <c r="H1820" s="2" t="s">
        <v>896</v>
      </c>
      <c r="I1820" s="2" t="str">
        <f>"02-2563-5711"</f>
        <v>02-2563-5711</v>
      </c>
      <c r="J1820" s="2" t="str">
        <f t="shared" ref="J1820:L1828" si="147">"--"</f>
        <v>--</v>
      </c>
      <c r="K1820" s="2" t="str">
        <f t="shared" si="147"/>
        <v>--</v>
      </c>
      <c r="L1820" s="2" t="str">
        <f t="shared" si="147"/>
        <v>--</v>
      </c>
      <c r="M1820" s="2" t="str">
        <f>"否"</f>
        <v>否</v>
      </c>
      <c r="N1820" s="2"/>
      <c r="O1820" s="2"/>
      <c r="P1820" s="2"/>
      <c r="Q1820" s="2"/>
    </row>
    <row r="1821" spans="1:17" x14ac:dyDescent="0.3">
      <c r="A1821" s="2" t="str">
        <f>"6458"</f>
        <v>6458</v>
      </c>
      <c r="B1821" s="2" t="s">
        <v>135</v>
      </c>
      <c r="C1821" s="2" t="s">
        <v>7049</v>
      </c>
      <c r="D1821" s="2" t="s">
        <v>6015</v>
      </c>
      <c r="E1821" s="2" t="s">
        <v>7050</v>
      </c>
      <c r="F1821" s="2" t="s">
        <v>41</v>
      </c>
      <c r="G1821" s="2" t="str">
        <f>"(02)8751-8701"</f>
        <v>(02)8751-8701</v>
      </c>
      <c r="H1821" s="2" t="s">
        <v>1926</v>
      </c>
      <c r="I1821" s="2" t="str">
        <f>"(02)2703-5000"</f>
        <v>(02)2703-5000</v>
      </c>
      <c r="J1821" s="2" t="str">
        <f t="shared" si="147"/>
        <v>--</v>
      </c>
      <c r="K1821" s="2" t="str">
        <f t="shared" si="147"/>
        <v>--</v>
      </c>
      <c r="L1821" s="2" t="str">
        <f t="shared" si="147"/>
        <v>--</v>
      </c>
      <c r="M1821" s="2" t="str">
        <f>"否"</f>
        <v>否</v>
      </c>
      <c r="N1821" s="2"/>
      <c r="O1821" s="2"/>
      <c r="P1821" s="2"/>
      <c r="Q1821" s="2"/>
    </row>
    <row r="1822" spans="1:17" x14ac:dyDescent="0.3">
      <c r="A1822" s="2" t="str">
        <f>"6461"</f>
        <v>6461</v>
      </c>
      <c r="B1822" s="2" t="s">
        <v>4536</v>
      </c>
      <c r="C1822" s="2" t="s">
        <v>4537</v>
      </c>
      <c r="D1822" s="2" t="s">
        <v>6028</v>
      </c>
      <c r="E1822" s="2" t="s">
        <v>4538</v>
      </c>
      <c r="F1822" s="2" t="s">
        <v>2</v>
      </c>
      <c r="G1822" s="2" t="str">
        <f>"02-77218877"</f>
        <v>02-77218877</v>
      </c>
      <c r="H1822" s="2" t="s">
        <v>675</v>
      </c>
      <c r="I1822" s="2" t="str">
        <f>"02-25865859"</f>
        <v>02-25865859</v>
      </c>
      <c r="J1822" s="2" t="str">
        <f t="shared" si="147"/>
        <v>--</v>
      </c>
      <c r="K1822" s="2" t="str">
        <f t="shared" si="147"/>
        <v>--</v>
      </c>
      <c r="L1822" s="2" t="str">
        <f t="shared" si="147"/>
        <v>--</v>
      </c>
      <c r="M1822" s="2" t="str">
        <f>"否"</f>
        <v>否</v>
      </c>
      <c r="N1822" s="2"/>
      <c r="O1822" s="2"/>
      <c r="P1822" s="2"/>
      <c r="Q1822" s="2"/>
    </row>
    <row r="1823" spans="1:17" x14ac:dyDescent="0.3">
      <c r="A1823" s="2" t="str">
        <f>"6467"</f>
        <v>6467</v>
      </c>
      <c r="B1823" s="2" t="s">
        <v>4543</v>
      </c>
      <c r="C1823" s="2" t="s">
        <v>7051</v>
      </c>
      <c r="D1823" s="2" t="s">
        <v>6015</v>
      </c>
      <c r="E1823" s="2" t="s">
        <v>7052</v>
      </c>
      <c r="F1823" s="2" t="s">
        <v>2</v>
      </c>
      <c r="G1823" s="2" t="str">
        <f>"02-26598515"</f>
        <v>02-26598515</v>
      </c>
      <c r="H1823" s="2" t="s">
        <v>653</v>
      </c>
      <c r="I1823" s="2" t="str">
        <f>"02-27686668"</f>
        <v>02-27686668</v>
      </c>
      <c r="J1823" s="2" t="str">
        <f t="shared" si="147"/>
        <v>--</v>
      </c>
      <c r="K1823" s="2" t="str">
        <f t="shared" si="147"/>
        <v>--</v>
      </c>
      <c r="L1823" s="2" t="str">
        <f t="shared" si="147"/>
        <v>--</v>
      </c>
      <c r="M1823" s="2" t="str">
        <f>"--"</f>
        <v>--</v>
      </c>
      <c r="N1823" s="2"/>
      <c r="O1823" s="2"/>
      <c r="P1823" s="2"/>
      <c r="Q1823" s="2"/>
    </row>
    <row r="1824" spans="1:17" x14ac:dyDescent="0.3">
      <c r="A1824" s="2" t="str">
        <f>"6468"</f>
        <v>6468</v>
      </c>
      <c r="B1824" s="2" t="s">
        <v>4544</v>
      </c>
      <c r="C1824" s="2" t="s">
        <v>4545</v>
      </c>
      <c r="D1824" s="2" t="s">
        <v>6042</v>
      </c>
      <c r="E1824" s="2" t="s">
        <v>7053</v>
      </c>
      <c r="F1824" s="2" t="s">
        <v>2</v>
      </c>
      <c r="G1824" s="2" t="str">
        <f>"02-77207999"</f>
        <v>02-77207999</v>
      </c>
      <c r="H1824" s="2" t="s">
        <v>469</v>
      </c>
      <c r="I1824" s="2" t="str">
        <f>"02-27478266"</f>
        <v>02-27478266</v>
      </c>
      <c r="J1824" s="2" t="str">
        <f t="shared" si="147"/>
        <v>--</v>
      </c>
      <c r="K1824" s="2" t="str">
        <f t="shared" si="147"/>
        <v>--</v>
      </c>
      <c r="L1824" s="2" t="str">
        <f t="shared" si="147"/>
        <v>--</v>
      </c>
      <c r="M1824" s="2" t="str">
        <f>"--"</f>
        <v>--</v>
      </c>
      <c r="N1824" s="2"/>
      <c r="O1824" s="2"/>
      <c r="P1824" s="2"/>
      <c r="Q1824" s="2"/>
    </row>
    <row r="1825" spans="1:17" x14ac:dyDescent="0.3">
      <c r="A1825" s="2" t="str">
        <f>"6471"</f>
        <v>6471</v>
      </c>
      <c r="B1825" s="2" t="s">
        <v>4550</v>
      </c>
      <c r="C1825" s="2" t="s">
        <v>4551</v>
      </c>
      <c r="D1825" s="2" t="s">
        <v>6000</v>
      </c>
      <c r="E1825" s="2" t="s">
        <v>7054</v>
      </c>
      <c r="F1825" s="2" t="s">
        <v>41</v>
      </c>
      <c r="G1825" s="2" t="str">
        <f>"03-6684800"</f>
        <v>03-6684800</v>
      </c>
      <c r="H1825" s="2" t="s">
        <v>653</v>
      </c>
      <c r="I1825" s="2" t="str">
        <f>"02-27686668"</f>
        <v>02-27686668</v>
      </c>
      <c r="J1825" s="2" t="str">
        <f t="shared" si="147"/>
        <v>--</v>
      </c>
      <c r="K1825" s="2" t="str">
        <f t="shared" si="147"/>
        <v>--</v>
      </c>
      <c r="L1825" s="2" t="str">
        <f t="shared" si="147"/>
        <v>--</v>
      </c>
      <c r="M1825" s="2" t="str">
        <f>"--"</f>
        <v>--</v>
      </c>
      <c r="N1825" s="2"/>
      <c r="O1825" s="2"/>
      <c r="P1825" s="2"/>
      <c r="Q1825" s="2"/>
    </row>
    <row r="1826" spans="1:17" x14ac:dyDescent="0.3">
      <c r="A1826" s="2" t="str">
        <f>"6472"</f>
        <v>6472</v>
      </c>
      <c r="B1826" s="2" t="s">
        <v>4552</v>
      </c>
      <c r="C1826" s="2" t="s">
        <v>4553</v>
      </c>
      <c r="D1826" s="2" t="s">
        <v>6020</v>
      </c>
      <c r="E1826" s="2" t="s">
        <v>4554</v>
      </c>
      <c r="F1826" s="2" t="s">
        <v>2</v>
      </c>
      <c r="G1826" s="2" t="str">
        <f>"(02)27901555"</f>
        <v>(02)27901555</v>
      </c>
      <c r="H1826" s="2" t="s">
        <v>456</v>
      </c>
      <c r="I1826" s="2" t="str">
        <f>"(02)25048125"</f>
        <v>(02)25048125</v>
      </c>
      <c r="J1826" s="2" t="str">
        <f t="shared" si="147"/>
        <v>--</v>
      </c>
      <c r="K1826" s="2" t="str">
        <f t="shared" si="147"/>
        <v>--</v>
      </c>
      <c r="L1826" s="2" t="str">
        <f t="shared" si="147"/>
        <v>--</v>
      </c>
      <c r="M1826" s="2" t="str">
        <f>"--"</f>
        <v>--</v>
      </c>
      <c r="N1826" s="2"/>
      <c r="O1826" s="2"/>
      <c r="P1826" s="2"/>
      <c r="Q1826" s="2"/>
    </row>
    <row r="1827" spans="1:17" x14ac:dyDescent="0.3">
      <c r="A1827" s="2"/>
      <c r="B1827" s="2"/>
      <c r="C1827" s="2"/>
      <c r="D1827" s="2"/>
      <c r="E1827" s="2"/>
      <c r="F1827" s="2"/>
      <c r="G1827" s="2"/>
      <c r="H1827" s="2"/>
      <c r="I1827" s="2"/>
      <c r="J1827" s="2"/>
      <c r="K1827" s="2"/>
      <c r="L1827" s="2"/>
      <c r="M1827" s="2"/>
      <c r="N1827" s="2"/>
      <c r="O1827" s="2"/>
      <c r="P1827" s="2"/>
      <c r="Q1827" s="2"/>
    </row>
    <row r="1828" spans="1:17" x14ac:dyDescent="0.3">
      <c r="A1828" s="2" t="str">
        <f>"6473"</f>
        <v>6473</v>
      </c>
      <c r="B1828" s="2" t="s">
        <v>4555</v>
      </c>
      <c r="C1828" s="2" t="s">
        <v>4556</v>
      </c>
      <c r="D1828" s="2" t="s">
        <v>6194</v>
      </c>
      <c r="E1828" s="2" t="s">
        <v>4557</v>
      </c>
      <c r="F1828" s="2" t="s">
        <v>41</v>
      </c>
      <c r="G1828" s="2" t="str">
        <f>"02-29126473"</f>
        <v>02-29126473</v>
      </c>
      <c r="H1828" s="2" t="s">
        <v>451</v>
      </c>
      <c r="I1828" s="2" t="str">
        <f>"02-23148800"</f>
        <v>02-23148800</v>
      </c>
      <c r="J1828" s="2" t="str">
        <f t="shared" si="147"/>
        <v>--</v>
      </c>
      <c r="K1828" s="2" t="str">
        <f t="shared" si="147"/>
        <v>--</v>
      </c>
      <c r="L1828" s="2" t="str">
        <f t="shared" si="147"/>
        <v>--</v>
      </c>
      <c r="M1828" s="2" t="str">
        <f>"否"</f>
        <v>否</v>
      </c>
      <c r="N1828" s="2"/>
      <c r="O1828" s="2"/>
      <c r="P1828" s="2"/>
      <c r="Q1828" s="2"/>
    </row>
    <row r="1829" spans="1:17" x14ac:dyDescent="0.3">
      <c r="A1829" s="2" t="str">
        <f>"6475"</f>
        <v>6475</v>
      </c>
      <c r="B1829" s="2" t="s">
        <v>4558</v>
      </c>
      <c r="C1829" s="2" t="s">
        <v>4559</v>
      </c>
      <c r="D1829" s="2" t="s">
        <v>6042</v>
      </c>
      <c r="E1829" s="2" t="s">
        <v>7055</v>
      </c>
      <c r="F1829" s="2" t="s">
        <v>2</v>
      </c>
      <c r="G1829" s="2" t="str">
        <f>"(02)2268-6398"</f>
        <v>(02)2268-6398</v>
      </c>
      <c r="H1829" s="2" t="s">
        <v>1028</v>
      </c>
      <c r="I1829" s="2" t="str">
        <f>"(02)2381-6288"</f>
        <v>(02)2381-6288</v>
      </c>
      <c r="J1829" s="2" t="str">
        <f>"自105年05月31日至105年06月27日止"</f>
        <v>自105年05月31日至105年06月27日止</v>
      </c>
      <c r="K1829" s="2" t="str">
        <f>"台灣集中保管結算所股份有限公司"</f>
        <v>台灣集中保管結算所股份有限公司</v>
      </c>
      <c r="L1829" s="2" t="str">
        <f>"http://www.stockvote.com.tw"</f>
        <v>http://www.stockvote.com.tw</v>
      </c>
      <c r="M1829" s="2" t="str">
        <f>"--"</f>
        <v>--</v>
      </c>
      <c r="N1829" s="2"/>
      <c r="O1829" s="2"/>
      <c r="P1829" s="2"/>
      <c r="Q1829" s="2"/>
    </row>
    <row r="1830" spans="1:17" x14ac:dyDescent="0.3">
      <c r="A1830" s="2"/>
      <c r="B1830" s="2"/>
      <c r="C1830" s="2"/>
      <c r="D1830" s="2"/>
      <c r="E1830" s="2"/>
      <c r="F1830" s="2"/>
      <c r="G1830" s="2"/>
      <c r="H1830" s="2"/>
      <c r="I1830" s="2"/>
      <c r="J1830" s="2"/>
      <c r="K1830" s="2"/>
      <c r="L1830" s="2"/>
      <c r="M1830" s="2"/>
      <c r="N1830" s="2"/>
      <c r="O1830" s="2"/>
      <c r="P1830" s="2"/>
      <c r="Q1830" s="2"/>
    </row>
    <row r="1831" spans="1:17" x14ac:dyDescent="0.3">
      <c r="A1831" s="2" t="str">
        <f>"6477"</f>
        <v>6477</v>
      </c>
      <c r="B1831" s="2" t="s">
        <v>4560</v>
      </c>
      <c r="C1831" s="2" t="s">
        <v>4561</v>
      </c>
      <c r="D1831" s="2" t="s">
        <v>6001</v>
      </c>
      <c r="E1831" s="2" t="s">
        <v>4562</v>
      </c>
      <c r="F1831" s="2" t="s">
        <v>2</v>
      </c>
      <c r="G1831" s="2" t="str">
        <f>"06-5105988"</f>
        <v>06-5105988</v>
      </c>
      <c r="H1831" s="2" t="s">
        <v>465</v>
      </c>
      <c r="I1831" s="2" t="str">
        <f>"02-23816288"</f>
        <v>02-23816288</v>
      </c>
      <c r="J1831" s="2" t="str">
        <f>"自105年05月28日至105年06月24日止"</f>
        <v>自105年05月28日至105年06月24日止</v>
      </c>
      <c r="K1831" s="2" t="str">
        <f>"台灣集中保管結算所股份有限公司"</f>
        <v>台灣集中保管結算所股份有限公司</v>
      </c>
      <c r="L1831" s="2" t="str">
        <f>"http://www.stockvote.com.tw"</f>
        <v>http://www.stockvote.com.tw</v>
      </c>
      <c r="M1831" s="2" t="str">
        <f>"--"</f>
        <v>--</v>
      </c>
      <c r="N1831" s="2"/>
      <c r="O1831" s="2"/>
      <c r="P1831" s="2"/>
      <c r="Q1831" s="2"/>
    </row>
    <row r="1832" spans="1:17" x14ac:dyDescent="0.3">
      <c r="A1832" s="2" t="str">
        <f>"6479"</f>
        <v>6479</v>
      </c>
      <c r="B1832" s="2" t="s">
        <v>4563</v>
      </c>
      <c r="C1832" s="2" t="s">
        <v>4564</v>
      </c>
      <c r="D1832" s="2" t="s">
        <v>6001</v>
      </c>
      <c r="E1832" s="2" t="s">
        <v>7056</v>
      </c>
      <c r="F1832" s="2" t="s">
        <v>2</v>
      </c>
      <c r="G1832" s="2" t="str">
        <f>"02-2731-3191"</f>
        <v>02-2731-3191</v>
      </c>
      <c r="H1832" s="2" t="s">
        <v>524</v>
      </c>
      <c r="I1832" s="2" t="str">
        <f>"02-2389-2999"</f>
        <v>02-2389-2999</v>
      </c>
      <c r="J1832" s="2" t="str">
        <f t="shared" ref="J1832:L1842" si="148">"--"</f>
        <v>--</v>
      </c>
      <c r="K1832" s="2" t="str">
        <f t="shared" si="148"/>
        <v>--</v>
      </c>
      <c r="L1832" s="2" t="str">
        <f t="shared" si="148"/>
        <v>--</v>
      </c>
      <c r="M1832" s="2" t="str">
        <f>"--"</f>
        <v>--</v>
      </c>
      <c r="N1832" s="2"/>
      <c r="O1832" s="2"/>
      <c r="P1832" s="2"/>
      <c r="Q1832" s="2"/>
    </row>
    <row r="1833" spans="1:17" x14ac:dyDescent="0.3">
      <c r="A1833" s="2" t="str">
        <f>"6481"</f>
        <v>6481</v>
      </c>
      <c r="B1833" s="2" t="s">
        <v>4565</v>
      </c>
      <c r="C1833" s="2" t="s">
        <v>4566</v>
      </c>
      <c r="D1833" s="2" t="s">
        <v>6014</v>
      </c>
      <c r="E1833" s="2" t="s">
        <v>7057</v>
      </c>
      <c r="F1833" s="2" t="s">
        <v>2</v>
      </c>
      <c r="G1833" s="2" t="str">
        <f>"(04)2659-5280"</f>
        <v>(04)2659-5280</v>
      </c>
      <c r="H1833" s="2" t="s">
        <v>4567</v>
      </c>
      <c r="I1833" s="2" t="str">
        <f>"(02)6636-5566"</f>
        <v>(02)6636-5566</v>
      </c>
      <c r="J1833" s="2" t="str">
        <f t="shared" si="148"/>
        <v>--</v>
      </c>
      <c r="K1833" s="2" t="str">
        <f t="shared" si="148"/>
        <v>--</v>
      </c>
      <c r="L1833" s="2" t="str">
        <f t="shared" si="148"/>
        <v>--</v>
      </c>
      <c r="M1833" s="2" t="str">
        <f>"--"</f>
        <v>--</v>
      </c>
      <c r="N1833" s="2"/>
      <c r="O1833" s="2"/>
      <c r="P1833" s="2"/>
      <c r="Q1833" s="2"/>
    </row>
    <row r="1834" spans="1:17" x14ac:dyDescent="0.3">
      <c r="A1834" s="2" t="str">
        <f>"6482"</f>
        <v>6482</v>
      </c>
      <c r="B1834" s="2" t="s">
        <v>4568</v>
      </c>
      <c r="C1834" s="2" t="s">
        <v>4569</v>
      </c>
      <c r="D1834" s="2" t="s">
        <v>6037</v>
      </c>
      <c r="E1834" s="2" t="s">
        <v>7058</v>
      </c>
      <c r="F1834" s="2" t="s">
        <v>2</v>
      </c>
      <c r="G1834" s="2" t="str">
        <f>"04-2322-2886"</f>
        <v>04-2322-2886</v>
      </c>
      <c r="H1834" s="2" t="s">
        <v>4570</v>
      </c>
      <c r="I1834" s="2" t="str">
        <f>"02-2541-9977"</f>
        <v>02-2541-9977</v>
      </c>
      <c r="J1834" s="2" t="str">
        <f t="shared" si="148"/>
        <v>--</v>
      </c>
      <c r="K1834" s="2" t="str">
        <f t="shared" si="148"/>
        <v>--</v>
      </c>
      <c r="L1834" s="2" t="str">
        <f t="shared" si="148"/>
        <v>--</v>
      </c>
      <c r="M1834" s="2" t="str">
        <f>"否"</f>
        <v>否</v>
      </c>
      <c r="N1834" s="2"/>
      <c r="O1834" s="2"/>
      <c r="P1834" s="2"/>
      <c r="Q1834" s="2"/>
    </row>
    <row r="1835" spans="1:17" x14ac:dyDescent="0.3">
      <c r="A1835" s="2" t="str">
        <f>"6483"</f>
        <v>6483</v>
      </c>
      <c r="B1835" s="2" t="s">
        <v>4571</v>
      </c>
      <c r="C1835" s="2" t="s">
        <v>4572</v>
      </c>
      <c r="D1835" s="2" t="s">
        <v>6021</v>
      </c>
      <c r="E1835" s="2" t="s">
        <v>7059</v>
      </c>
      <c r="F1835" s="2" t="s">
        <v>41</v>
      </c>
      <c r="G1835" s="2" t="str">
        <f>"(06)5055433"</f>
        <v>(06)5055433</v>
      </c>
      <c r="H1835" s="2" t="s">
        <v>556</v>
      </c>
      <c r="I1835" s="2" t="str">
        <f>"(02)2371-1658"</f>
        <v>(02)2371-1658</v>
      </c>
      <c r="J1835" s="2" t="str">
        <f t="shared" si="148"/>
        <v>--</v>
      </c>
      <c r="K1835" s="2" t="str">
        <f t="shared" si="148"/>
        <v>--</v>
      </c>
      <c r="L1835" s="2" t="str">
        <f t="shared" si="148"/>
        <v>--</v>
      </c>
      <c r="M1835" s="2" t="str">
        <f>"--"</f>
        <v>--</v>
      </c>
      <c r="N1835" s="2"/>
      <c r="O1835" s="2"/>
      <c r="P1835" s="2"/>
      <c r="Q1835" s="2"/>
    </row>
    <row r="1836" spans="1:17" x14ac:dyDescent="0.3">
      <c r="A1836" s="2" t="str">
        <f>"6486"</f>
        <v>6486</v>
      </c>
      <c r="B1836" s="2" t="s">
        <v>4575</v>
      </c>
      <c r="C1836" s="2" t="s">
        <v>4576</v>
      </c>
      <c r="D1836" s="2" t="s">
        <v>6007</v>
      </c>
      <c r="E1836" s="2" t="s">
        <v>4577</v>
      </c>
      <c r="F1836" s="2" t="s">
        <v>2</v>
      </c>
      <c r="G1836" s="2" t="str">
        <f>"(02)2298-3456"</f>
        <v>(02)2298-3456</v>
      </c>
      <c r="H1836" s="2" t="s">
        <v>667</v>
      </c>
      <c r="I1836" s="2" t="str">
        <f>"(02)2361-1300"</f>
        <v>(02)2361-1300</v>
      </c>
      <c r="J1836" s="2" t="str">
        <f t="shared" si="148"/>
        <v>--</v>
      </c>
      <c r="K1836" s="2" t="str">
        <f t="shared" si="148"/>
        <v>--</v>
      </c>
      <c r="L1836" s="2" t="str">
        <f t="shared" si="148"/>
        <v>--</v>
      </c>
      <c r="M1836" s="2" t="str">
        <f>"否"</f>
        <v>否</v>
      </c>
      <c r="N1836" s="2"/>
      <c r="O1836" s="2"/>
      <c r="P1836" s="2"/>
      <c r="Q1836" s="2"/>
    </row>
    <row r="1837" spans="1:17" x14ac:dyDescent="0.3">
      <c r="A1837" s="2" t="str">
        <f>"6487"</f>
        <v>6487</v>
      </c>
      <c r="B1837" s="2" t="s">
        <v>4578</v>
      </c>
      <c r="C1837" s="2" t="s">
        <v>4579</v>
      </c>
      <c r="D1837" s="2" t="s">
        <v>6028</v>
      </c>
      <c r="E1837" s="2" t="s">
        <v>4580</v>
      </c>
      <c r="F1837" s="2" t="s">
        <v>2</v>
      </c>
      <c r="G1837" s="2" t="str">
        <f>"(02)2698-1118"</f>
        <v>(02)2698-1118</v>
      </c>
      <c r="H1837" s="2" t="s">
        <v>1072</v>
      </c>
      <c r="I1837" s="2" t="str">
        <f>"(02)2746-3797"</f>
        <v>(02)2746-3797</v>
      </c>
      <c r="J1837" s="2" t="str">
        <f t="shared" si="148"/>
        <v>--</v>
      </c>
      <c r="K1837" s="2" t="str">
        <f t="shared" si="148"/>
        <v>--</v>
      </c>
      <c r="L1837" s="2" t="str">
        <f t="shared" si="148"/>
        <v>--</v>
      </c>
      <c r="M1837" s="2" t="str">
        <f>"--"</f>
        <v>--</v>
      </c>
      <c r="N1837" s="2"/>
      <c r="O1837" s="2"/>
      <c r="P1837" s="2"/>
      <c r="Q1837" s="2"/>
    </row>
    <row r="1838" spans="1:17" x14ac:dyDescent="0.3">
      <c r="A1838" s="2" t="str">
        <f>"6489"</f>
        <v>6489</v>
      </c>
      <c r="B1838" s="2" t="s">
        <v>4583</v>
      </c>
      <c r="C1838" s="2" t="s">
        <v>4584</v>
      </c>
      <c r="D1838" s="2" t="s">
        <v>6001</v>
      </c>
      <c r="E1838" s="2" t="s">
        <v>4585</v>
      </c>
      <c r="F1838" s="2" t="s">
        <v>41</v>
      </c>
      <c r="G1838" s="2" t="str">
        <f>"02-23627389"</f>
        <v>02-23627389</v>
      </c>
      <c r="H1838" s="2" t="s">
        <v>556</v>
      </c>
      <c r="I1838" s="2" t="str">
        <f>"(02)2371-1658"</f>
        <v>(02)2371-1658</v>
      </c>
      <c r="J1838" s="2" t="str">
        <f t="shared" si="148"/>
        <v>--</v>
      </c>
      <c r="K1838" s="2" t="str">
        <f t="shared" si="148"/>
        <v>--</v>
      </c>
      <c r="L1838" s="2" t="str">
        <f t="shared" si="148"/>
        <v>--</v>
      </c>
      <c r="M1838" s="2" t="str">
        <f>"--"</f>
        <v>--</v>
      </c>
      <c r="N1838" s="2"/>
      <c r="O1838" s="2"/>
      <c r="P1838" s="2"/>
      <c r="Q1838" s="2"/>
    </row>
    <row r="1839" spans="1:17" x14ac:dyDescent="0.3">
      <c r="A1839" s="2" t="str">
        <f>"6490"</f>
        <v>6490</v>
      </c>
      <c r="B1839" s="2" t="s">
        <v>4586</v>
      </c>
      <c r="C1839" s="2" t="s">
        <v>4587</v>
      </c>
      <c r="D1839" s="2" t="s">
        <v>6014</v>
      </c>
      <c r="E1839" s="2" t="s">
        <v>4588</v>
      </c>
      <c r="F1839" s="2" t="s">
        <v>2</v>
      </c>
      <c r="G1839" s="2" t="str">
        <f>"03-3289658"</f>
        <v>03-3289658</v>
      </c>
      <c r="H1839" s="2" t="s">
        <v>4589</v>
      </c>
      <c r="I1839" s="2" t="str">
        <f>"(02)2593-6666"</f>
        <v>(02)2593-6666</v>
      </c>
      <c r="J1839" s="2" t="str">
        <f t="shared" si="148"/>
        <v>--</v>
      </c>
      <c r="K1839" s="2" t="str">
        <f t="shared" si="148"/>
        <v>--</v>
      </c>
      <c r="L1839" s="2" t="str">
        <f t="shared" si="148"/>
        <v>--</v>
      </c>
      <c r="M1839" s="2" t="str">
        <f>"--"</f>
        <v>--</v>
      </c>
      <c r="N1839" s="2"/>
      <c r="O1839" s="2"/>
      <c r="P1839" s="2"/>
      <c r="Q1839" s="2"/>
    </row>
    <row r="1840" spans="1:17" x14ac:dyDescent="0.3">
      <c r="A1840" s="2" t="str">
        <f>"6491"</f>
        <v>6491</v>
      </c>
      <c r="B1840" s="2" t="s">
        <v>4590</v>
      </c>
      <c r="C1840" s="2" t="s">
        <v>4591</v>
      </c>
      <c r="D1840" s="2" t="s">
        <v>6016</v>
      </c>
      <c r="E1840" s="2" t="s">
        <v>4592</v>
      </c>
      <c r="F1840" s="2" t="s">
        <v>2</v>
      </c>
      <c r="G1840" s="2" t="str">
        <f>"03-3298808"</f>
        <v>03-3298808</v>
      </c>
      <c r="H1840" s="2" t="s">
        <v>415</v>
      </c>
      <c r="I1840" s="2" t="str">
        <f>"02-23892999"</f>
        <v>02-23892999</v>
      </c>
      <c r="J1840" s="2" t="str">
        <f t="shared" si="148"/>
        <v>--</v>
      </c>
      <c r="K1840" s="2" t="str">
        <f t="shared" si="148"/>
        <v>--</v>
      </c>
      <c r="L1840" s="2" t="str">
        <f t="shared" si="148"/>
        <v>--</v>
      </c>
      <c r="M1840" s="2" t="str">
        <f>"否"</f>
        <v>否</v>
      </c>
      <c r="N1840" s="2"/>
      <c r="O1840" s="2"/>
      <c r="P1840" s="2"/>
      <c r="Q1840" s="2"/>
    </row>
    <row r="1841" spans="1:17" x14ac:dyDescent="0.3">
      <c r="A1841" s="2" t="str">
        <f>"6492"</f>
        <v>6492</v>
      </c>
      <c r="B1841" s="2" t="s">
        <v>4593</v>
      </c>
      <c r="C1841" s="2" t="s">
        <v>4594</v>
      </c>
      <c r="D1841" s="2" t="s">
        <v>6028</v>
      </c>
      <c r="E1841" s="2" t="s">
        <v>4595</v>
      </c>
      <c r="F1841" s="2" t="s">
        <v>41</v>
      </c>
      <c r="G1841" s="2" t="str">
        <f>"(02)89131956"</f>
        <v>(02)89131956</v>
      </c>
      <c r="H1841" s="2" t="s">
        <v>505</v>
      </c>
      <c r="I1841" s="2" t="str">
        <f>"(02)23816288"</f>
        <v>(02)23816288</v>
      </c>
      <c r="J1841" s="2" t="str">
        <f t="shared" si="148"/>
        <v>--</v>
      </c>
      <c r="K1841" s="2" t="str">
        <f t="shared" si="148"/>
        <v>--</v>
      </c>
      <c r="L1841" s="2" t="str">
        <f t="shared" si="148"/>
        <v>--</v>
      </c>
      <c r="M1841" s="2" t="str">
        <f>"--"</f>
        <v>--</v>
      </c>
      <c r="N1841" s="2"/>
      <c r="O1841" s="2"/>
      <c r="P1841" s="2"/>
      <c r="Q1841" s="2"/>
    </row>
    <row r="1842" spans="1:17" x14ac:dyDescent="0.3">
      <c r="A1842" s="2" t="str">
        <f>"6493"</f>
        <v>6493</v>
      </c>
      <c r="B1842" s="2" t="s">
        <v>4596</v>
      </c>
      <c r="C1842" s="2" t="s">
        <v>4597</v>
      </c>
      <c r="D1842" s="2" t="s">
        <v>6020</v>
      </c>
      <c r="E1842" s="2" t="s">
        <v>7060</v>
      </c>
      <c r="F1842" s="2" t="s">
        <v>41</v>
      </c>
      <c r="G1842" s="2" t="str">
        <f>"0423595958"</f>
        <v>0423595958</v>
      </c>
      <c r="H1842" s="2" t="s">
        <v>6006</v>
      </c>
      <c r="I1842" s="2" t="str">
        <f>"0225865859"</f>
        <v>0225865859</v>
      </c>
      <c r="J1842" s="2" t="str">
        <f t="shared" si="148"/>
        <v>--</v>
      </c>
      <c r="K1842" s="2" t="str">
        <f t="shared" si="148"/>
        <v>--</v>
      </c>
      <c r="L1842" s="2" t="str">
        <f t="shared" si="148"/>
        <v>--</v>
      </c>
      <c r="M1842" s="2" t="str">
        <f>"否"</f>
        <v>否</v>
      </c>
      <c r="N1842" s="2"/>
      <c r="O1842" s="2"/>
      <c r="P1842" s="2"/>
      <c r="Q1842" s="2"/>
    </row>
    <row r="1843" spans="1:17" x14ac:dyDescent="0.3">
      <c r="A1843" s="2" t="str">
        <f>"6494"</f>
        <v>6494</v>
      </c>
      <c r="B1843" s="2" t="s">
        <v>4598</v>
      </c>
      <c r="C1843" s="2" t="s">
        <v>4599</v>
      </c>
      <c r="D1843" s="2" t="s">
        <v>6082</v>
      </c>
      <c r="E1843" s="2" t="s">
        <v>7061</v>
      </c>
      <c r="F1843" s="2" t="s">
        <v>2</v>
      </c>
      <c r="G1843" s="2" t="str">
        <f>"03-5169077"</f>
        <v>03-5169077</v>
      </c>
      <c r="H1843" s="2" t="s">
        <v>431</v>
      </c>
      <c r="I1843" s="2" t="str">
        <f>"02-27035000"</f>
        <v>02-27035000</v>
      </c>
      <c r="J1843" s="2" t="str">
        <f>"自105年04月25日至105年05月22日止"</f>
        <v>自105年04月25日至105年05月22日止</v>
      </c>
      <c r="K1843" s="2" t="str">
        <f>"台灣集中保管結算所股份有限公司"</f>
        <v>台灣集中保管結算所股份有限公司</v>
      </c>
      <c r="L1843" s="2" t="str">
        <f>"http://www.stockvote.com.tw"</f>
        <v>http://www.stockvote.com.tw</v>
      </c>
      <c r="M1843" s="2" t="str">
        <f>"強制"</f>
        <v>強制</v>
      </c>
      <c r="N1843" s="2"/>
      <c r="O1843" s="2"/>
      <c r="P1843" s="2"/>
      <c r="Q1843" s="2"/>
    </row>
    <row r="1844" spans="1:17" x14ac:dyDescent="0.3">
      <c r="A1844" s="2" t="str">
        <f>"6498"</f>
        <v>6498</v>
      </c>
      <c r="B1844" s="2" t="s">
        <v>4602</v>
      </c>
      <c r="C1844" s="2" t="s">
        <v>4603</v>
      </c>
      <c r="D1844" s="2" t="s">
        <v>6000</v>
      </c>
      <c r="E1844" s="2" t="s">
        <v>4604</v>
      </c>
      <c r="F1844" s="2" t="s">
        <v>41</v>
      </c>
      <c r="G1844" s="2" t="str">
        <f>"04-2355-0816"</f>
        <v>04-2355-0816</v>
      </c>
      <c r="H1844" s="2" t="s">
        <v>4605</v>
      </c>
      <c r="I1844" s="2" t="str">
        <f>"02-2381-6288"</f>
        <v>02-2381-6288</v>
      </c>
      <c r="J1844" s="2" t="str">
        <f>"--"</f>
        <v>--</v>
      </c>
      <c r="K1844" s="2" t="str">
        <f>"--"</f>
        <v>--</v>
      </c>
      <c r="L1844" s="2" t="str">
        <f>"--"</f>
        <v>--</v>
      </c>
      <c r="M1844" s="2" t="str">
        <f>"--"</f>
        <v>--</v>
      </c>
      <c r="N1844" s="2"/>
      <c r="O1844" s="2"/>
      <c r="P1844" s="2"/>
      <c r="Q1844" s="2"/>
    </row>
    <row r="1845" spans="1:17" x14ac:dyDescent="0.3">
      <c r="A1845" s="2" t="str">
        <f>"6499"</f>
        <v>6499</v>
      </c>
      <c r="B1845" s="2" t="s">
        <v>4606</v>
      </c>
      <c r="C1845" s="2" t="s">
        <v>4607</v>
      </c>
      <c r="D1845" s="2" t="s">
        <v>6405</v>
      </c>
      <c r="E1845" s="2" t="s">
        <v>4608</v>
      </c>
      <c r="F1845" s="2" t="s">
        <v>2</v>
      </c>
      <c r="G1845" s="2" t="str">
        <f>"02-28816686"</f>
        <v>02-28816686</v>
      </c>
      <c r="H1845" s="2" t="s">
        <v>431</v>
      </c>
      <c r="I1845" s="2" t="str">
        <f>"02-27023999"</f>
        <v>02-27023999</v>
      </c>
      <c r="J1845" s="2" t="str">
        <f>"自105年03月19日至105年04月17日止"</f>
        <v>自105年03月19日至105年04月17日止</v>
      </c>
      <c r="K1845" s="2" t="str">
        <f>"台灣集中保管結算所股份有限公司"</f>
        <v>台灣集中保管結算所股份有限公司</v>
      </c>
      <c r="L1845" s="2" t="str">
        <f>"http://www.stockvote.com.tw"</f>
        <v>http://www.stockvote.com.tw</v>
      </c>
      <c r="M1845" s="2" t="str">
        <f>"&lt;b&gt;&lt;font color='red'&gt;自願&lt;/font&gt;&lt;/b&gt;"</f>
        <v>&lt;b&gt;&lt;font color='red'&gt;自願&lt;/font&gt;&lt;/b&gt;</v>
      </c>
      <c r="N1845" s="2"/>
      <c r="O1845" s="2"/>
      <c r="P1845" s="2"/>
      <c r="Q1845" s="2"/>
    </row>
    <row r="1846" spans="1:17" x14ac:dyDescent="0.3">
      <c r="A1846" s="2" t="str">
        <f>"6507"</f>
        <v>6507</v>
      </c>
      <c r="B1846" s="2" t="s">
        <v>4609</v>
      </c>
      <c r="C1846" s="2" t="s">
        <v>4610</v>
      </c>
      <c r="D1846" s="2" t="s">
        <v>6007</v>
      </c>
      <c r="E1846" s="2" t="s">
        <v>4611</v>
      </c>
      <c r="F1846" s="2" t="s">
        <v>41</v>
      </c>
      <c r="G1846" s="2" t="str">
        <f>"02-8866-9999"</f>
        <v>02-8866-9999</v>
      </c>
      <c r="H1846" s="2" t="s">
        <v>996</v>
      </c>
      <c r="I1846" s="2" t="str">
        <f>"33930898"</f>
        <v>33930898</v>
      </c>
      <c r="J1846" s="2" t="str">
        <f>"--"</f>
        <v>--</v>
      </c>
      <c r="K1846" s="2" t="str">
        <f>"--"</f>
        <v>--</v>
      </c>
      <c r="L1846" s="2" t="str">
        <f>"--"</f>
        <v>--</v>
      </c>
      <c r="M1846" s="2" t="str">
        <f>"--"</f>
        <v>--</v>
      </c>
      <c r="N1846" s="2"/>
      <c r="O1846" s="2"/>
      <c r="P1846" s="2"/>
      <c r="Q1846" s="2"/>
    </row>
    <row r="1847" spans="1:17" x14ac:dyDescent="0.3">
      <c r="A1847" s="2"/>
      <c r="B1847" s="2"/>
      <c r="C1847" s="2"/>
      <c r="D1847" s="2"/>
      <c r="E1847" s="2"/>
      <c r="F1847" s="2"/>
      <c r="G1847" s="2"/>
      <c r="H1847" s="2"/>
      <c r="I1847" s="2"/>
      <c r="J1847" s="2"/>
      <c r="K1847" s="2"/>
      <c r="L1847" s="2"/>
      <c r="M1847" s="2"/>
      <c r="N1847" s="2"/>
      <c r="O1847" s="2"/>
      <c r="P1847" s="2"/>
      <c r="Q1847" s="2"/>
    </row>
    <row r="1848" spans="1:17" x14ac:dyDescent="0.3">
      <c r="A1848" s="2" t="str">
        <f>"6511"</f>
        <v>6511</v>
      </c>
      <c r="B1848" s="2" t="s">
        <v>7062</v>
      </c>
      <c r="C1848" s="2" t="s">
        <v>7063</v>
      </c>
      <c r="D1848" s="2" t="s">
        <v>6014</v>
      </c>
      <c r="E1848" s="2" t="s">
        <v>7064</v>
      </c>
      <c r="F1848" s="2" t="s">
        <v>41</v>
      </c>
      <c r="G1848" s="2" t="str">
        <f>"(08)820-0666"</f>
        <v>(08)820-0666</v>
      </c>
      <c r="H1848" s="2" t="s">
        <v>2592</v>
      </c>
      <c r="I1848" s="2" t="str">
        <f>"(02)2746-3797"</f>
        <v>(02)2746-3797</v>
      </c>
      <c r="J1848" s="2" t="str">
        <f>"--"</f>
        <v>--</v>
      </c>
      <c r="K1848" s="2" t="str">
        <f t="shared" ref="K1848:M1851" si="149">"--"</f>
        <v>--</v>
      </c>
      <c r="L1848" s="2" t="str">
        <f t="shared" si="149"/>
        <v>--</v>
      </c>
      <c r="M1848" s="2" t="str">
        <f t="shared" si="149"/>
        <v>--</v>
      </c>
      <c r="N1848" s="2"/>
      <c r="O1848" s="2"/>
      <c r="P1848" s="2"/>
      <c r="Q1848" s="2"/>
    </row>
    <row r="1849" spans="1:17" x14ac:dyDescent="0.3">
      <c r="A1849" s="2" t="str">
        <f>"6516"</f>
        <v>6516</v>
      </c>
      <c r="B1849" s="2" t="s">
        <v>4617</v>
      </c>
      <c r="C1849" s="2" t="s">
        <v>4618</v>
      </c>
      <c r="D1849" s="2" t="s">
        <v>6020</v>
      </c>
      <c r="E1849" s="2" t="s">
        <v>4619</v>
      </c>
      <c r="F1849" s="2" t="s">
        <v>2</v>
      </c>
      <c r="G1849" s="2" t="str">
        <f>"(02)2363-5445"</f>
        <v>(02)2363-5445</v>
      </c>
      <c r="H1849" s="2" t="s">
        <v>6243</v>
      </c>
      <c r="I1849" s="2" t="str">
        <f>"(02)2586-5859"</f>
        <v>(02)2586-5859</v>
      </c>
      <c r="J1849" s="2" t="str">
        <f>"--"</f>
        <v>--</v>
      </c>
      <c r="K1849" s="2" t="str">
        <f t="shared" si="149"/>
        <v>--</v>
      </c>
      <c r="L1849" s="2" t="str">
        <f t="shared" si="149"/>
        <v>--</v>
      </c>
      <c r="M1849" s="2" t="str">
        <f t="shared" si="149"/>
        <v>--</v>
      </c>
      <c r="N1849" s="2"/>
      <c r="O1849" s="2"/>
      <c r="P1849" s="2"/>
      <c r="Q1849" s="2"/>
    </row>
    <row r="1850" spans="1:17" x14ac:dyDescent="0.3">
      <c r="A1850" s="2" t="str">
        <f>"6517"</f>
        <v>6517</v>
      </c>
      <c r="B1850" s="2" t="s">
        <v>4620</v>
      </c>
      <c r="C1850" s="2" t="s">
        <v>4621</v>
      </c>
      <c r="D1850" s="2" t="s">
        <v>6014</v>
      </c>
      <c r="E1850" s="2" t="s">
        <v>7065</v>
      </c>
      <c r="F1850" s="2" t="s">
        <v>2</v>
      </c>
      <c r="G1850" s="2" t="str">
        <f>"04-25320168"</f>
        <v>04-25320168</v>
      </c>
      <c r="H1850" s="2" t="s">
        <v>6006</v>
      </c>
      <c r="I1850" s="2" t="str">
        <f>"0225863117"</f>
        <v>0225863117</v>
      </c>
      <c r="J1850" s="2" t="str">
        <f>"--"</f>
        <v>--</v>
      </c>
      <c r="K1850" s="2" t="str">
        <f t="shared" si="149"/>
        <v>--</v>
      </c>
      <c r="L1850" s="2" t="str">
        <f t="shared" si="149"/>
        <v>--</v>
      </c>
      <c r="M1850" s="2" t="str">
        <f t="shared" si="149"/>
        <v>--</v>
      </c>
      <c r="N1850" s="2"/>
      <c r="O1850" s="2"/>
      <c r="P1850" s="2"/>
      <c r="Q1850" s="2"/>
    </row>
    <row r="1851" spans="1:17" x14ac:dyDescent="0.3">
      <c r="A1851" s="2" t="str">
        <f>"6518"</f>
        <v>6518</v>
      </c>
      <c r="B1851" s="2" t="s">
        <v>7066</v>
      </c>
      <c r="C1851" s="2" t="s">
        <v>7067</v>
      </c>
      <c r="D1851" s="2" t="s">
        <v>6021</v>
      </c>
      <c r="E1851" s="2" t="s">
        <v>7068</v>
      </c>
      <c r="F1851" s="2" t="s">
        <v>41</v>
      </c>
      <c r="G1851" s="2" t="str">
        <f>"02-22545079"</f>
        <v>02-22545079</v>
      </c>
      <c r="H1851" s="2" t="s">
        <v>653</v>
      </c>
      <c r="I1851" s="2" t="str">
        <f>"02-27686668"</f>
        <v>02-27686668</v>
      </c>
      <c r="J1851" s="2" t="str">
        <f>"--"</f>
        <v>--</v>
      </c>
      <c r="K1851" s="2" t="str">
        <f t="shared" si="149"/>
        <v>--</v>
      </c>
      <c r="L1851" s="2" t="str">
        <f t="shared" si="149"/>
        <v>--</v>
      </c>
      <c r="M1851" s="2" t="str">
        <f t="shared" si="149"/>
        <v>--</v>
      </c>
      <c r="N1851" s="2"/>
      <c r="O1851" s="2"/>
      <c r="P1851" s="2"/>
      <c r="Q1851" s="2"/>
    </row>
    <row r="1852" spans="1:17" x14ac:dyDescent="0.3">
      <c r="A1852" s="2" t="str">
        <f>"6521"</f>
        <v>6521</v>
      </c>
      <c r="B1852" s="2" t="s">
        <v>4622</v>
      </c>
      <c r="C1852" s="2" t="s">
        <v>2699</v>
      </c>
      <c r="D1852" s="2" t="s">
        <v>6001</v>
      </c>
      <c r="E1852" s="2" t="s">
        <v>7069</v>
      </c>
      <c r="F1852" s="2" t="s">
        <v>2</v>
      </c>
      <c r="G1852" s="2" t="str">
        <f>"02-2655-8951"</f>
        <v>02-2655-8951</v>
      </c>
      <c r="H1852" s="2" t="s">
        <v>1926</v>
      </c>
      <c r="I1852" s="2" t="str">
        <f>"2702-3999"</f>
        <v>2702-3999</v>
      </c>
      <c r="J1852" s="2" t="str">
        <f>"自105年05月28日至105年06月24日止"</f>
        <v>自105年05月28日至105年06月24日止</v>
      </c>
      <c r="K1852" s="2" t="str">
        <f>"台灣集中保管結算所股份有限公司"</f>
        <v>台灣集中保管結算所股份有限公司</v>
      </c>
      <c r="L1852" s="2" t="str">
        <f>"http://www.stockvote.com.tw"</f>
        <v>http://www.stockvote.com.tw</v>
      </c>
      <c r="M1852" s="2" t="str">
        <f>"--"</f>
        <v>--</v>
      </c>
      <c r="N1852" s="2"/>
      <c r="O1852" s="2"/>
      <c r="P1852" s="2"/>
      <c r="Q1852" s="2"/>
    </row>
    <row r="1853" spans="1:17" x14ac:dyDescent="0.3">
      <c r="A1853" s="2" t="str">
        <f>"6523"</f>
        <v>6523</v>
      </c>
      <c r="B1853" s="2" t="s">
        <v>7070</v>
      </c>
      <c r="C1853" s="2" t="s">
        <v>7071</v>
      </c>
      <c r="D1853" s="2" t="s">
        <v>6405</v>
      </c>
      <c r="E1853" s="2" t="s">
        <v>7072</v>
      </c>
      <c r="F1853" s="2" t="s">
        <v>2</v>
      </c>
      <c r="G1853" s="2" t="str">
        <f>"(02)2369-9888"</f>
        <v>(02)2369-9888</v>
      </c>
      <c r="H1853" s="2" t="s">
        <v>2021</v>
      </c>
      <c r="I1853" s="2" t="str">
        <f>"(02)6636-5566"</f>
        <v>(02)6636-5566</v>
      </c>
      <c r="J1853" s="2" t="str">
        <f>"自105年03月19日至105年04月17日止"</f>
        <v>自105年03月19日至105年04月17日止</v>
      </c>
      <c r="K1853" s="2" t="str">
        <f>"台灣集中保管結算所股份有限公司"</f>
        <v>台灣集中保管結算所股份有限公司</v>
      </c>
      <c r="L1853" s="2" t="str">
        <f>"http://www.stockvote.com.tw"</f>
        <v>http://www.stockvote.com.tw</v>
      </c>
      <c r="M1853" s="2" t="str">
        <f>"強制"</f>
        <v>強制</v>
      </c>
      <c r="N1853" s="2"/>
      <c r="O1853" s="2"/>
      <c r="P1853" s="2"/>
      <c r="Q1853" s="2"/>
    </row>
    <row r="1854" spans="1:17" x14ac:dyDescent="0.3">
      <c r="A1854" s="2" t="str">
        <f>"6526"</f>
        <v>6526</v>
      </c>
      <c r="B1854" s="2" t="s">
        <v>7073</v>
      </c>
      <c r="C1854" s="2" t="s">
        <v>7074</v>
      </c>
      <c r="D1854" s="2" t="s">
        <v>6015</v>
      </c>
      <c r="E1854" s="2" t="s">
        <v>7075</v>
      </c>
      <c r="F1854" s="2" t="s">
        <v>2</v>
      </c>
      <c r="G1854" s="2" t="str">
        <f>"(03)6128800"</f>
        <v>(03)6128800</v>
      </c>
      <c r="H1854" s="2" t="s">
        <v>7076</v>
      </c>
      <c r="I1854" s="2" t="str">
        <f>"(02)66365566"</f>
        <v>(02)66365566</v>
      </c>
      <c r="J1854" s="2" t="str">
        <f>"自105年05月24日至105年06月20日止"</f>
        <v>自105年05月24日至105年06月20日止</v>
      </c>
      <c r="K1854" s="2" t="str">
        <f>"台灣集中保管結算所股份有限公司"</f>
        <v>台灣集中保管結算所股份有限公司</v>
      </c>
      <c r="L1854" s="2" t="str">
        <f>"http://www.stockvote.com.tw"</f>
        <v>http://www.stockvote.com.tw</v>
      </c>
      <c r="M1854" s="2" t="str">
        <f>"--"</f>
        <v>--</v>
      </c>
      <c r="N1854" s="2"/>
      <c r="O1854" s="2"/>
      <c r="P1854" s="2"/>
      <c r="Q1854" s="2"/>
    </row>
    <row r="1855" spans="1:17" x14ac:dyDescent="0.3">
      <c r="A1855" s="2" t="str">
        <f>"6527"</f>
        <v>6527</v>
      </c>
      <c r="B1855" s="2" t="s">
        <v>7077</v>
      </c>
      <c r="C1855" s="2" t="s">
        <v>7078</v>
      </c>
      <c r="D1855" s="2" t="s">
        <v>6015</v>
      </c>
      <c r="E1855" s="2" t="s">
        <v>7079</v>
      </c>
      <c r="F1855" s="2" t="s">
        <v>2</v>
      </c>
      <c r="G1855" s="2" t="str">
        <f>"(03)3498800"</f>
        <v>(03)3498800</v>
      </c>
      <c r="H1855" s="2" t="s">
        <v>541</v>
      </c>
      <c r="I1855" s="2" t="str">
        <f>"(02)33930898"</f>
        <v>(02)33930898</v>
      </c>
      <c r="J1855" s="2" t="str">
        <f t="shared" ref="J1855:L1856" si="150">"--"</f>
        <v>--</v>
      </c>
      <c r="K1855" s="2" t="str">
        <f t="shared" si="150"/>
        <v>--</v>
      </c>
      <c r="L1855" s="2" t="str">
        <f t="shared" si="150"/>
        <v>--</v>
      </c>
      <c r="M1855" s="2" t="str">
        <f>"--"</f>
        <v>--</v>
      </c>
      <c r="N1855" s="2"/>
      <c r="O1855" s="2"/>
      <c r="P1855" s="2"/>
      <c r="Q1855" s="2"/>
    </row>
    <row r="1856" spans="1:17" x14ac:dyDescent="0.3">
      <c r="A1856" s="2" t="str">
        <f>"6529"</f>
        <v>6529</v>
      </c>
      <c r="B1856" s="2" t="s">
        <v>7080</v>
      </c>
      <c r="C1856" s="2" t="s">
        <v>7081</v>
      </c>
      <c r="D1856" s="2" t="s">
        <v>6016</v>
      </c>
      <c r="E1856" s="2" t="s">
        <v>7082</v>
      </c>
      <c r="F1856" s="2" t="s">
        <v>2</v>
      </c>
      <c r="G1856" s="2" t="str">
        <f>"02-87921567"</f>
        <v>02-87921567</v>
      </c>
      <c r="H1856" s="2" t="s">
        <v>456</v>
      </c>
      <c r="I1856" s="2" t="str">
        <f>"02-25048125"</f>
        <v>02-25048125</v>
      </c>
      <c r="J1856" s="2" t="str">
        <f t="shared" si="150"/>
        <v>--</v>
      </c>
      <c r="K1856" s="2" t="str">
        <f t="shared" si="150"/>
        <v>--</v>
      </c>
      <c r="L1856" s="2" t="str">
        <f t="shared" si="150"/>
        <v>--</v>
      </c>
      <c r="M1856" s="2" t="str">
        <f>"否"</f>
        <v>否</v>
      </c>
      <c r="N1856" s="2"/>
      <c r="O1856" s="2"/>
      <c r="P1856" s="2"/>
      <c r="Q1856" s="2"/>
    </row>
    <row r="1857" spans="1:17" x14ac:dyDescent="0.3">
      <c r="A1857" s="2" t="str">
        <f>"6530"</f>
        <v>6530</v>
      </c>
      <c r="B1857" s="2" t="s">
        <v>7083</v>
      </c>
      <c r="C1857" s="2" t="s">
        <v>7084</v>
      </c>
      <c r="D1857" s="2" t="s">
        <v>6037</v>
      </c>
      <c r="E1857" s="2" t="s">
        <v>7085</v>
      </c>
      <c r="F1857" s="2" t="s">
        <v>2</v>
      </c>
      <c r="G1857" s="2" t="str">
        <f>"(02)89111840"</f>
        <v>(02)89111840</v>
      </c>
      <c r="H1857" s="2" t="s">
        <v>1063</v>
      </c>
      <c r="I1857" s="2" t="str">
        <f>"(02)77198899"</f>
        <v>(02)77198899</v>
      </c>
      <c r="J1857" s="2" t="str">
        <f>"自105年05月01日至105年05月28日止"</f>
        <v>自105年05月01日至105年05月28日止</v>
      </c>
      <c r="K1857" s="2" t="str">
        <f>"台灣集中保管結算所股份有限公司"</f>
        <v>台灣集中保管結算所股份有限公司</v>
      </c>
      <c r="L1857" s="2" t="str">
        <f>"http://www.stockvote.com.tw"</f>
        <v>http://www.stockvote.com.tw</v>
      </c>
      <c r="M1857" s="2" t="str">
        <f>"&lt;b&gt;&lt;font color='red'&gt;自願&lt;/font&gt;&lt;/b&gt;"</f>
        <v>&lt;b&gt;&lt;font color='red'&gt;自願&lt;/font&gt;&lt;/b&gt;</v>
      </c>
      <c r="N1857" s="2"/>
      <c r="O1857" s="2"/>
      <c r="P1857" s="2"/>
      <c r="Q1857" s="2"/>
    </row>
    <row r="1858" spans="1:17" x14ac:dyDescent="0.3">
      <c r="A1858" s="2" t="str">
        <f>"6531"</f>
        <v>6531</v>
      </c>
      <c r="B1858" s="2" t="s">
        <v>7086</v>
      </c>
      <c r="C1858" s="2" t="s">
        <v>7087</v>
      </c>
      <c r="D1858" s="2" t="s">
        <v>6034</v>
      </c>
      <c r="E1858" s="2" t="s">
        <v>7088</v>
      </c>
      <c r="F1858" s="2" t="s">
        <v>2</v>
      </c>
      <c r="G1858" s="2" t="str">
        <f>"03-560-1558"</f>
        <v>03-560-1558</v>
      </c>
      <c r="H1858" s="2" t="s">
        <v>415</v>
      </c>
      <c r="I1858" s="2" t="str">
        <f>"02-2389-2999"</f>
        <v>02-2389-2999</v>
      </c>
      <c r="J1858" s="2" t="str">
        <f>"自105年04月27日至105年05月24日止"</f>
        <v>自105年04月27日至105年05月24日止</v>
      </c>
      <c r="K1858" s="2" t="str">
        <f>"台灣集中保管結算所股份有限公司"</f>
        <v>台灣集中保管結算所股份有限公司</v>
      </c>
      <c r="L1858" s="2" t="str">
        <f>"http://www.stockvote.com.tw"</f>
        <v>http://www.stockvote.com.tw</v>
      </c>
      <c r="M1858" s="2" t="str">
        <f>"&lt;b&gt;&lt;font color='red'&gt;自願&lt;/font&gt;&lt;/b&gt;"</f>
        <v>&lt;b&gt;&lt;font color='red'&gt;自願&lt;/font&gt;&lt;/b&gt;</v>
      </c>
      <c r="N1858" s="2"/>
      <c r="O1858" s="2"/>
      <c r="P1858" s="2"/>
      <c r="Q1858" s="2"/>
    </row>
    <row r="1859" spans="1:17" x14ac:dyDescent="0.3">
      <c r="A1859" s="2" t="str">
        <f>"6532"</f>
        <v>6532</v>
      </c>
      <c r="B1859" s="2" t="s">
        <v>7089</v>
      </c>
      <c r="C1859" s="2" t="s">
        <v>7090</v>
      </c>
      <c r="D1859" s="2" t="s">
        <v>6021</v>
      </c>
      <c r="E1859" s="2" t="s">
        <v>7091</v>
      </c>
      <c r="F1859" s="2" t="s">
        <v>2</v>
      </c>
      <c r="G1859" s="2" t="str">
        <f>"03-5976789"</f>
        <v>03-5976789</v>
      </c>
      <c r="H1859" s="2" t="s">
        <v>431</v>
      </c>
      <c r="I1859" s="2" t="str">
        <f>"(02)2703-5000"</f>
        <v>(02)2703-5000</v>
      </c>
      <c r="J1859" s="2" t="str">
        <f>"自105年05月14日至105年06月10日止"</f>
        <v>自105年05月14日至105年06月10日止</v>
      </c>
      <c r="K1859" s="2" t="str">
        <f>"台灣集中保管結算所股份有限公司"</f>
        <v>台灣集中保管結算所股份有限公司</v>
      </c>
      <c r="L1859" s="2" t="str">
        <f>"http://www.stockvote.com.tw"</f>
        <v>http://www.stockvote.com.tw</v>
      </c>
      <c r="M1859" s="2" t="str">
        <f>"--"</f>
        <v>--</v>
      </c>
      <c r="N1859" s="2"/>
      <c r="O1859" s="2"/>
      <c r="P1859" s="2"/>
      <c r="Q1859" s="2"/>
    </row>
    <row r="1860" spans="1:17" x14ac:dyDescent="0.3">
      <c r="A1860" s="2"/>
      <c r="B1860" s="2"/>
      <c r="C1860" s="2"/>
      <c r="D1860" s="2"/>
      <c r="E1860" s="2"/>
      <c r="F1860" s="2"/>
      <c r="G1860" s="2"/>
      <c r="H1860" s="2"/>
      <c r="I1860" s="2"/>
      <c r="J1860" s="2"/>
      <c r="K1860" s="2"/>
      <c r="L1860" s="2"/>
      <c r="M1860" s="2"/>
      <c r="N1860" s="2"/>
      <c r="O1860" s="2"/>
      <c r="P1860" s="2"/>
      <c r="Q1860" s="2"/>
    </row>
    <row r="1861" spans="1:17" x14ac:dyDescent="0.3">
      <c r="A1861" s="2" t="str">
        <f>"6533"</f>
        <v>6533</v>
      </c>
      <c r="B1861" s="2" t="s">
        <v>7092</v>
      </c>
      <c r="C1861" s="2" t="s">
        <v>7093</v>
      </c>
      <c r="D1861" s="2" t="s">
        <v>6004</v>
      </c>
      <c r="E1861" s="2" t="s">
        <v>7094</v>
      </c>
      <c r="F1861" s="2" t="s">
        <v>2</v>
      </c>
      <c r="G1861" s="2" t="str">
        <f>"03-6668300"</f>
        <v>03-6668300</v>
      </c>
      <c r="H1861" s="2" t="s">
        <v>475</v>
      </c>
      <c r="I1861" s="2" t="str">
        <f>"02-2326-8818"</f>
        <v>02-2326-8818</v>
      </c>
      <c r="J1861" s="2" t="str">
        <f>"--"</f>
        <v>--</v>
      </c>
      <c r="K1861" s="2" t="str">
        <f>"--"</f>
        <v>--</v>
      </c>
      <c r="L1861" s="2" t="str">
        <f>"--"</f>
        <v>--</v>
      </c>
      <c r="M1861" s="2" t="str">
        <f>"--"</f>
        <v>--</v>
      </c>
      <c r="N1861" s="2"/>
      <c r="O1861" s="2"/>
      <c r="P1861" s="2"/>
      <c r="Q1861" s="2"/>
    </row>
    <row r="1862" spans="1:17" x14ac:dyDescent="0.3">
      <c r="A1862" s="2" t="str">
        <f>"6534"</f>
        <v>6534</v>
      </c>
      <c r="B1862" s="2" t="s">
        <v>7095</v>
      </c>
      <c r="C1862" s="2" t="s">
        <v>7096</v>
      </c>
      <c r="D1862" s="2" t="s">
        <v>6201</v>
      </c>
      <c r="E1862" s="2" t="s">
        <v>7097</v>
      </c>
      <c r="F1862" s="2" t="s">
        <v>2</v>
      </c>
      <c r="G1862" s="2" t="str">
        <f>"04-7060133"</f>
        <v>04-7060133</v>
      </c>
      <c r="H1862" s="2" t="s">
        <v>541</v>
      </c>
      <c r="I1862" s="2" t="str">
        <f>"02-33930898"</f>
        <v>02-33930898</v>
      </c>
      <c r="J1862" s="2" t="str">
        <f t="shared" ref="J1862:L1866" si="151">"--"</f>
        <v>--</v>
      </c>
      <c r="K1862" s="2" t="str">
        <f t="shared" si="151"/>
        <v>--</v>
      </c>
      <c r="L1862" s="2" t="str">
        <f t="shared" si="151"/>
        <v>--</v>
      </c>
      <c r="M1862" s="2" t="str">
        <f>"否"</f>
        <v>否</v>
      </c>
      <c r="N1862" s="2"/>
      <c r="O1862" s="2"/>
      <c r="P1862" s="2"/>
      <c r="Q1862" s="2"/>
    </row>
    <row r="1863" spans="1:17" x14ac:dyDescent="0.3">
      <c r="A1863" s="2" t="str">
        <f>"6535"</f>
        <v>6535</v>
      </c>
      <c r="B1863" s="2" t="s">
        <v>7098</v>
      </c>
      <c r="C1863" s="2" t="s">
        <v>7099</v>
      </c>
      <c r="D1863" s="2" t="s">
        <v>6004</v>
      </c>
      <c r="E1863" s="2" t="s">
        <v>7100</v>
      </c>
      <c r="F1863" s="2" t="s">
        <v>2</v>
      </c>
      <c r="G1863" s="2" t="str">
        <f>"02-2655-7918"</f>
        <v>02-2655-7918</v>
      </c>
      <c r="H1863" s="2" t="s">
        <v>431</v>
      </c>
      <c r="I1863" s="2" t="str">
        <f>"27035000"</f>
        <v>27035000</v>
      </c>
      <c r="J1863" s="2" t="str">
        <f t="shared" si="151"/>
        <v>--</v>
      </c>
      <c r="K1863" s="2" t="str">
        <f t="shared" si="151"/>
        <v>--</v>
      </c>
      <c r="L1863" s="2" t="str">
        <f t="shared" si="151"/>
        <v>--</v>
      </c>
      <c r="M1863" s="2" t="str">
        <f>"--"</f>
        <v>--</v>
      </c>
      <c r="N1863" s="2"/>
      <c r="O1863" s="2"/>
      <c r="P1863" s="2"/>
      <c r="Q1863" s="2"/>
    </row>
    <row r="1864" spans="1:17" x14ac:dyDescent="0.3">
      <c r="A1864" s="2"/>
      <c r="B1864" s="2"/>
      <c r="C1864" s="2"/>
      <c r="D1864" s="2"/>
      <c r="E1864" s="2"/>
      <c r="F1864" s="2"/>
      <c r="G1864" s="2"/>
      <c r="H1864" s="2"/>
      <c r="I1864" s="2"/>
      <c r="J1864" s="2"/>
      <c r="K1864" s="2"/>
      <c r="L1864" s="2"/>
      <c r="M1864" s="2"/>
      <c r="N1864" s="2"/>
      <c r="O1864" s="2"/>
      <c r="P1864" s="2"/>
      <c r="Q1864" s="2"/>
    </row>
    <row r="1865" spans="1:17" x14ac:dyDescent="0.3">
      <c r="A1865" s="2" t="str">
        <f>"6536"</f>
        <v>6536</v>
      </c>
      <c r="B1865" s="2" t="s">
        <v>7101</v>
      </c>
      <c r="C1865" s="2" t="s">
        <v>7102</v>
      </c>
      <c r="D1865" s="2" t="s">
        <v>6021</v>
      </c>
      <c r="E1865" s="2" t="s">
        <v>7103</v>
      </c>
      <c r="F1865" s="2" t="s">
        <v>2</v>
      </c>
      <c r="G1865" s="2" t="str">
        <f>"(02)2698-2786"</f>
        <v>(02)2698-2786</v>
      </c>
      <c r="H1865" s="2" t="s">
        <v>6954</v>
      </c>
      <c r="I1865" s="2" t="str">
        <f>"(02)3393-0898"</f>
        <v>(02)3393-0898</v>
      </c>
      <c r="J1865" s="2" t="str">
        <f t="shared" si="151"/>
        <v>--</v>
      </c>
      <c r="K1865" s="2" t="str">
        <f t="shared" si="151"/>
        <v>--</v>
      </c>
      <c r="L1865" s="2" t="str">
        <f t="shared" si="151"/>
        <v>--</v>
      </c>
      <c r="M1865" s="2" t="str">
        <f>"否"</f>
        <v>否</v>
      </c>
      <c r="N1865" s="2"/>
      <c r="O1865" s="2"/>
      <c r="P1865" s="2"/>
      <c r="Q1865" s="2"/>
    </row>
    <row r="1866" spans="1:17" x14ac:dyDescent="0.3">
      <c r="A1866" s="2" t="str">
        <f>"6538"</f>
        <v>6538</v>
      </c>
      <c r="B1866" s="2" t="s">
        <v>7104</v>
      </c>
      <c r="C1866" s="2" t="s">
        <v>7105</v>
      </c>
      <c r="D1866" s="2" t="s">
        <v>6000</v>
      </c>
      <c r="E1866" s="2" t="s">
        <v>7106</v>
      </c>
      <c r="F1866" s="2" t="s">
        <v>2</v>
      </c>
      <c r="G1866" s="2" t="str">
        <f>"(03)3295666"</f>
        <v>(03)3295666</v>
      </c>
      <c r="H1866" s="2" t="s">
        <v>6954</v>
      </c>
      <c r="I1866" s="2" t="str">
        <f>"(02)33930898"</f>
        <v>(02)33930898</v>
      </c>
      <c r="J1866" s="2" t="str">
        <f t="shared" si="151"/>
        <v>--</v>
      </c>
      <c r="K1866" s="2" t="str">
        <f t="shared" si="151"/>
        <v>--</v>
      </c>
      <c r="L1866" s="2" t="str">
        <f t="shared" si="151"/>
        <v>--</v>
      </c>
      <c r="M1866" s="2" t="str">
        <f>"否"</f>
        <v>否</v>
      </c>
      <c r="N1866" s="2"/>
      <c r="O1866" s="2"/>
      <c r="P1866" s="2"/>
      <c r="Q1866" s="2"/>
    </row>
    <row r="1867" spans="1:17" x14ac:dyDescent="0.3">
      <c r="A1867" s="2" t="str">
        <f>"6539"</f>
        <v>6539</v>
      </c>
      <c r="B1867" s="2" t="s">
        <v>7107</v>
      </c>
      <c r="C1867" s="2" t="s">
        <v>7108</v>
      </c>
      <c r="D1867" s="2" t="s">
        <v>6167</v>
      </c>
      <c r="E1867" s="2" t="s">
        <v>7109</v>
      </c>
      <c r="F1867" s="2" t="s">
        <v>2</v>
      </c>
      <c r="G1867" s="2" t="str">
        <f>"0227911826"</f>
        <v>0227911826</v>
      </c>
      <c r="H1867" s="2" t="s">
        <v>444</v>
      </c>
      <c r="I1867" s="2" t="str">
        <f>"0227478266"</f>
        <v>0227478266</v>
      </c>
      <c r="J1867" s="2" t="str">
        <f>"自105年03月23日至105年04月19日止"</f>
        <v>自105年03月23日至105年04月19日止</v>
      </c>
      <c r="K1867" s="2" t="str">
        <f>"台灣集中保管結算所股份有限公司"</f>
        <v>台灣集中保管結算所股份有限公司</v>
      </c>
      <c r="L1867" s="2" t="str">
        <f>"http://www.stockvote.com.tw"</f>
        <v>http://www.stockvote.com.tw</v>
      </c>
      <c r="M1867" s="2" t="str">
        <f>"&lt;b&gt;&lt;font color='red'&gt;自願&lt;/font&gt;&lt;/b&gt;"</f>
        <v>&lt;b&gt;&lt;font color='red'&gt;自願&lt;/font&gt;&lt;/b&gt;</v>
      </c>
      <c r="N1867" s="2"/>
      <c r="O1867" s="2"/>
      <c r="P1867" s="2"/>
      <c r="Q1867" s="2"/>
    </row>
    <row r="1868" spans="1:17" x14ac:dyDescent="0.3">
      <c r="A1868" s="2" t="str">
        <f>"6540"</f>
        <v>6540</v>
      </c>
      <c r="B1868" s="2" t="s">
        <v>7110</v>
      </c>
      <c r="C1868" s="2" t="s">
        <v>7111</v>
      </c>
      <c r="D1868" s="2" t="s">
        <v>6037</v>
      </c>
      <c r="E1868" s="2" t="s">
        <v>7112</v>
      </c>
      <c r="F1868" s="2" t="s">
        <v>2</v>
      </c>
      <c r="G1868" s="2" t="str">
        <f>"03-6583899"</f>
        <v>03-6583899</v>
      </c>
      <c r="H1868" s="2" t="s">
        <v>539</v>
      </c>
      <c r="I1868" s="2" t="str">
        <f>"02-25865859"</f>
        <v>02-25865859</v>
      </c>
      <c r="J1868" s="2" t="str">
        <f t="shared" ref="J1868:L1869" si="152">"--"</f>
        <v>--</v>
      </c>
      <c r="K1868" s="2" t="str">
        <f t="shared" si="152"/>
        <v>--</v>
      </c>
      <c r="L1868" s="2" t="str">
        <f t="shared" si="152"/>
        <v>--</v>
      </c>
      <c r="M1868" s="2" t="str">
        <f>"否"</f>
        <v>否</v>
      </c>
      <c r="N1868" s="2"/>
      <c r="O1868" s="2"/>
      <c r="P1868" s="2"/>
      <c r="Q1868" s="2"/>
    </row>
    <row r="1869" spans="1:17" x14ac:dyDescent="0.3">
      <c r="A1869" s="2" t="str">
        <f>"6541"</f>
        <v>6541</v>
      </c>
      <c r="B1869" s="2" t="s">
        <v>7113</v>
      </c>
      <c r="C1869" s="2" t="s">
        <v>7114</v>
      </c>
      <c r="D1869" s="2" t="s">
        <v>6028</v>
      </c>
      <c r="E1869" s="2" t="s">
        <v>1811</v>
      </c>
      <c r="F1869" s="2" t="s">
        <v>2</v>
      </c>
      <c r="G1869" s="2" t="str">
        <f>"02-27010518"</f>
        <v>02-27010518</v>
      </c>
      <c r="H1869" s="2" t="s">
        <v>1291</v>
      </c>
      <c r="I1869" s="2" t="str">
        <f>"02-23111838"</f>
        <v>02-23111838</v>
      </c>
      <c r="J1869" s="2" t="str">
        <f t="shared" si="152"/>
        <v>--</v>
      </c>
      <c r="K1869" s="2" t="str">
        <f t="shared" si="152"/>
        <v>--</v>
      </c>
      <c r="L1869" s="2" t="str">
        <f t="shared" si="152"/>
        <v>--</v>
      </c>
      <c r="M1869" s="2" t="str">
        <f>"--"</f>
        <v>--</v>
      </c>
      <c r="N1869" s="2"/>
      <c r="O1869" s="2"/>
      <c r="P1869" s="2"/>
      <c r="Q1869" s="2"/>
    </row>
    <row r="1870" spans="1:17" x14ac:dyDescent="0.3">
      <c r="A1870" s="2" t="str">
        <f>"6542"</f>
        <v>6542</v>
      </c>
      <c r="B1870" s="2" t="s">
        <v>7115</v>
      </c>
      <c r="C1870" s="2" t="s">
        <v>7116</v>
      </c>
      <c r="D1870" s="2" t="s">
        <v>6001</v>
      </c>
      <c r="E1870" s="2" t="s">
        <v>7117</v>
      </c>
      <c r="F1870" s="2" t="s">
        <v>2</v>
      </c>
      <c r="G1870" s="2" t="str">
        <f>"02-89110685"</f>
        <v>02-89110685</v>
      </c>
      <c r="H1870" s="2" t="s">
        <v>6009</v>
      </c>
      <c r="I1870" s="2" t="str">
        <f>"02-25865859"</f>
        <v>02-25865859</v>
      </c>
      <c r="J1870" s="2" t="str">
        <f>"自105年05月28日至105年06月24日止"</f>
        <v>自105年05月28日至105年06月24日止</v>
      </c>
      <c r="K1870" s="2" t="str">
        <f>"台灣集中保管結算所股份有限公司"</f>
        <v>台灣集中保管結算所股份有限公司</v>
      </c>
      <c r="L1870" s="2" t="str">
        <f>"http://www.stockvote.com.tw"</f>
        <v>http://www.stockvote.com.tw</v>
      </c>
      <c r="M1870" s="2" t="str">
        <f>"&lt;b&gt;&lt;font color='red'&gt;自願&lt;/font&gt;&lt;/b&gt;"</f>
        <v>&lt;b&gt;&lt;font color='red'&gt;自願&lt;/font&gt;&lt;/b&gt;</v>
      </c>
      <c r="N1870" s="2"/>
      <c r="O1870" s="2"/>
      <c r="P1870" s="2"/>
      <c r="Q1870" s="2"/>
    </row>
    <row r="1871" spans="1:17" x14ac:dyDescent="0.3">
      <c r="A1871" s="2" t="str">
        <f>"6545"</f>
        <v>6545</v>
      </c>
      <c r="B1871" s="2" t="s">
        <v>7118</v>
      </c>
      <c r="C1871" s="2" t="s">
        <v>7119</v>
      </c>
      <c r="D1871" s="2" t="s">
        <v>6015</v>
      </c>
      <c r="E1871" s="2" t="s">
        <v>1275</v>
      </c>
      <c r="F1871" s="2" t="s">
        <v>41</v>
      </c>
      <c r="G1871" s="2" t="str">
        <f>"02-2655-8178"</f>
        <v>02-2655-8178</v>
      </c>
      <c r="H1871" s="2" t="s">
        <v>469</v>
      </c>
      <c r="I1871" s="2" t="str">
        <f>"02-27478266"</f>
        <v>02-27478266</v>
      </c>
      <c r="J1871" s="2" t="str">
        <f>"--"</f>
        <v>--</v>
      </c>
      <c r="K1871" s="2" t="str">
        <f>"--"</f>
        <v>--</v>
      </c>
      <c r="L1871" s="2" t="str">
        <f>"--"</f>
        <v>--</v>
      </c>
      <c r="M1871" s="2" t="str">
        <f>"--"</f>
        <v>--</v>
      </c>
      <c r="N1871" s="2"/>
      <c r="O1871" s="2"/>
      <c r="P1871" s="2"/>
      <c r="Q1871" s="2"/>
    </row>
    <row r="1872" spans="1:17" x14ac:dyDescent="0.3">
      <c r="A1872" s="2" t="str">
        <f>"6546"</f>
        <v>6546</v>
      </c>
      <c r="B1872" s="2" t="s">
        <v>7120</v>
      </c>
      <c r="C1872" s="2" t="s">
        <v>7121</v>
      </c>
      <c r="D1872" s="2" t="s">
        <v>6024</v>
      </c>
      <c r="E1872" s="2" t="s">
        <v>7122</v>
      </c>
      <c r="F1872" s="2" t="s">
        <v>2</v>
      </c>
      <c r="G1872" s="2" t="str">
        <f>"03-6009666"</f>
        <v>03-6009666</v>
      </c>
      <c r="H1872" s="2" t="s">
        <v>745</v>
      </c>
      <c r="I1872" s="2" t="str">
        <f>"02-27686668"</f>
        <v>02-27686668</v>
      </c>
      <c r="J1872" s="2" t="str">
        <f t="shared" ref="J1872:L1879" si="153">"--"</f>
        <v>--</v>
      </c>
      <c r="K1872" s="2" t="str">
        <f t="shared" si="153"/>
        <v>--</v>
      </c>
      <c r="L1872" s="2" t="str">
        <f t="shared" si="153"/>
        <v>--</v>
      </c>
      <c r="M1872" s="2" t="str">
        <f>"否"</f>
        <v>否</v>
      </c>
      <c r="N1872" s="2"/>
      <c r="O1872" s="2"/>
      <c r="P1872" s="2"/>
      <c r="Q1872" s="2"/>
    </row>
    <row r="1873" spans="1:17" x14ac:dyDescent="0.3">
      <c r="A1873" s="2" t="str">
        <f>"6547"</f>
        <v>6547</v>
      </c>
      <c r="B1873" s="2" t="s">
        <v>7123</v>
      </c>
      <c r="C1873" s="2" t="s">
        <v>7124</v>
      </c>
      <c r="D1873" s="2" t="s">
        <v>6000</v>
      </c>
      <c r="E1873" s="2" t="s">
        <v>7125</v>
      </c>
      <c r="F1873" s="2" t="s">
        <v>2</v>
      </c>
      <c r="G1873" s="2" t="str">
        <f>"02-77450830"</f>
        <v>02-77450830</v>
      </c>
      <c r="H1873" s="2" t="s">
        <v>7126</v>
      </c>
      <c r="I1873" s="2" t="str">
        <f>"02-23816288"</f>
        <v>02-23816288</v>
      </c>
      <c r="J1873" s="2" t="str">
        <f t="shared" si="153"/>
        <v>--</v>
      </c>
      <c r="K1873" s="2" t="str">
        <f t="shared" si="153"/>
        <v>--</v>
      </c>
      <c r="L1873" s="2" t="str">
        <f t="shared" si="153"/>
        <v>--</v>
      </c>
      <c r="M1873" s="2" t="str">
        <f>"否"</f>
        <v>否</v>
      </c>
      <c r="N1873" s="2"/>
      <c r="O1873" s="2"/>
      <c r="P1873" s="2"/>
      <c r="Q1873" s="2"/>
    </row>
    <row r="1874" spans="1:17" x14ac:dyDescent="0.3">
      <c r="A1874" s="2" t="str">
        <f>"6548"</f>
        <v>6548</v>
      </c>
      <c r="B1874" s="2" t="s">
        <v>7127</v>
      </c>
      <c r="C1874" s="2" t="s">
        <v>7128</v>
      </c>
      <c r="D1874" s="2" t="s">
        <v>6594</v>
      </c>
      <c r="E1874" s="2" t="s">
        <v>6393</v>
      </c>
      <c r="F1874" s="2" t="s">
        <v>2</v>
      </c>
      <c r="G1874" s="2" t="str">
        <f>"07-9628202"</f>
        <v>07-9628202</v>
      </c>
      <c r="H1874" s="2" t="s">
        <v>465</v>
      </c>
      <c r="I1874" s="2" t="str">
        <f>"02-23816288"</f>
        <v>02-23816288</v>
      </c>
      <c r="J1874" s="2" t="str">
        <f t="shared" si="153"/>
        <v>--</v>
      </c>
      <c r="K1874" s="2" t="str">
        <f t="shared" si="153"/>
        <v>--</v>
      </c>
      <c r="L1874" s="2" t="str">
        <f t="shared" si="153"/>
        <v>--</v>
      </c>
      <c r="M1874" s="2" t="str">
        <f>"否"</f>
        <v>否</v>
      </c>
      <c r="N1874" s="2"/>
      <c r="O1874" s="2"/>
      <c r="P1874" s="2"/>
      <c r="Q1874" s="2"/>
    </row>
    <row r="1875" spans="1:17" x14ac:dyDescent="0.3">
      <c r="A1875" s="2" t="str">
        <f>"6549"</f>
        <v>6549</v>
      </c>
      <c r="B1875" s="2" t="s">
        <v>7129</v>
      </c>
      <c r="C1875" s="2" t="s">
        <v>7130</v>
      </c>
      <c r="D1875" s="2" t="s">
        <v>6028</v>
      </c>
      <c r="E1875" s="2" t="s">
        <v>7131</v>
      </c>
      <c r="F1875" s="2" t="s">
        <v>2</v>
      </c>
      <c r="G1875" s="2" t="str">
        <f>"03-6587721"</f>
        <v>03-6587721</v>
      </c>
      <c r="H1875" s="2" t="s">
        <v>667</v>
      </c>
      <c r="I1875" s="2" t="str">
        <f>"02-23611300"</f>
        <v>02-23611300</v>
      </c>
      <c r="J1875" s="2" t="str">
        <f t="shared" si="153"/>
        <v>--</v>
      </c>
      <c r="K1875" s="2" t="str">
        <f t="shared" si="153"/>
        <v>--</v>
      </c>
      <c r="L1875" s="2" t="str">
        <f t="shared" si="153"/>
        <v>--</v>
      </c>
      <c r="M1875" s="2" t="str">
        <f>"--"</f>
        <v>--</v>
      </c>
      <c r="N1875" s="2"/>
      <c r="O1875" s="2"/>
      <c r="P1875" s="2"/>
      <c r="Q1875" s="2"/>
    </row>
    <row r="1876" spans="1:17" x14ac:dyDescent="0.3">
      <c r="A1876" s="2" t="str">
        <f>"6550"</f>
        <v>6550</v>
      </c>
      <c r="B1876" s="2" t="s">
        <v>7132</v>
      </c>
      <c r="C1876" s="2" t="s">
        <v>7133</v>
      </c>
      <c r="D1876" s="2" t="s">
        <v>6034</v>
      </c>
      <c r="E1876" s="2" t="s">
        <v>7134</v>
      </c>
      <c r="F1876" s="2" t="s">
        <v>2</v>
      </c>
      <c r="G1876" s="2" t="str">
        <f>"02-2656-2727"</f>
        <v>02-2656-2727</v>
      </c>
      <c r="H1876" s="2" t="s">
        <v>404</v>
      </c>
      <c r="I1876" s="2" t="str">
        <f>"02- 2311-1838"</f>
        <v>02- 2311-1838</v>
      </c>
      <c r="J1876" s="2" t="str">
        <f t="shared" si="153"/>
        <v>--</v>
      </c>
      <c r="K1876" s="2" t="str">
        <f t="shared" si="153"/>
        <v>--</v>
      </c>
      <c r="L1876" s="2" t="str">
        <f t="shared" si="153"/>
        <v>--</v>
      </c>
      <c r="M1876" s="2" t="str">
        <f>"否"</f>
        <v>否</v>
      </c>
      <c r="N1876" s="2"/>
      <c r="O1876" s="2"/>
      <c r="P1876" s="2"/>
      <c r="Q1876" s="2"/>
    </row>
    <row r="1877" spans="1:17" x14ac:dyDescent="0.3">
      <c r="A1877" s="2" t="str">
        <f>"6551"</f>
        <v>6551</v>
      </c>
      <c r="B1877" s="2" t="s">
        <v>7135</v>
      </c>
      <c r="C1877" s="2" t="s">
        <v>7136</v>
      </c>
      <c r="D1877" s="2" t="s">
        <v>6037</v>
      </c>
      <c r="E1877" s="2" t="s">
        <v>7137</v>
      </c>
      <c r="F1877" s="2" t="s">
        <v>41</v>
      </c>
      <c r="G1877" s="2" t="str">
        <f>"(03)597-7360"</f>
        <v>(03)597-7360</v>
      </c>
      <c r="H1877" s="2" t="s">
        <v>444</v>
      </c>
      <c r="I1877" s="2" t="str">
        <f>"(02)2747-8266"</f>
        <v>(02)2747-8266</v>
      </c>
      <c r="J1877" s="2" t="str">
        <f t="shared" si="153"/>
        <v>--</v>
      </c>
      <c r="K1877" s="2" t="str">
        <f t="shared" si="153"/>
        <v>--</v>
      </c>
      <c r="L1877" s="2" t="str">
        <f t="shared" si="153"/>
        <v>--</v>
      </c>
      <c r="M1877" s="2" t="str">
        <f>"--"</f>
        <v>--</v>
      </c>
      <c r="N1877" s="2"/>
      <c r="O1877" s="2"/>
      <c r="P1877" s="2"/>
      <c r="Q1877" s="2"/>
    </row>
    <row r="1878" spans="1:17" x14ac:dyDescent="0.3">
      <c r="A1878" s="2" t="str">
        <f>"6552"</f>
        <v>6552</v>
      </c>
      <c r="B1878" s="2" t="s">
        <v>7138</v>
      </c>
      <c r="C1878" s="2" t="s">
        <v>7139</v>
      </c>
      <c r="D1878" s="2" t="s">
        <v>6413</v>
      </c>
      <c r="E1878" s="2" t="s">
        <v>6393</v>
      </c>
      <c r="F1878" s="2" t="s">
        <v>2</v>
      </c>
      <c r="G1878" s="2" t="str">
        <f>"07-9620668"</f>
        <v>07-9620668</v>
      </c>
      <c r="H1878" s="2" t="s">
        <v>465</v>
      </c>
      <c r="I1878" s="2" t="str">
        <f>"02-23816288"</f>
        <v>02-23816288</v>
      </c>
      <c r="J1878" s="2" t="str">
        <f t="shared" si="153"/>
        <v>--</v>
      </c>
      <c r="K1878" s="2" t="str">
        <f t="shared" si="153"/>
        <v>--</v>
      </c>
      <c r="L1878" s="2" t="str">
        <f t="shared" si="153"/>
        <v>--</v>
      </c>
      <c r="M1878" s="2" t="str">
        <f>"否"</f>
        <v>否</v>
      </c>
      <c r="N1878" s="2"/>
      <c r="O1878" s="2"/>
      <c r="P1878" s="2"/>
      <c r="Q1878" s="2"/>
    </row>
    <row r="1879" spans="1:17" x14ac:dyDescent="0.3">
      <c r="A1879" s="2" t="str">
        <f>"6553"</f>
        <v>6553</v>
      </c>
      <c r="B1879" s="2" t="s">
        <v>7140</v>
      </c>
      <c r="C1879" s="2" t="s">
        <v>7141</v>
      </c>
      <c r="D1879" s="2" t="s">
        <v>6010</v>
      </c>
      <c r="E1879" s="2" t="s">
        <v>7142</v>
      </c>
      <c r="F1879" s="2" t="s">
        <v>2</v>
      </c>
      <c r="G1879" s="2" t="str">
        <f>"(02)2655-8108"</f>
        <v>(02)2655-8108</v>
      </c>
      <c r="H1879" s="2" t="s">
        <v>431</v>
      </c>
      <c r="I1879" s="2" t="str">
        <f>"(02)2702-3999"</f>
        <v>(02)2702-3999</v>
      </c>
      <c r="J1879" s="2" t="str">
        <f t="shared" si="153"/>
        <v>--</v>
      </c>
      <c r="K1879" s="2" t="str">
        <f t="shared" si="153"/>
        <v>--</v>
      </c>
      <c r="L1879" s="2" t="str">
        <f t="shared" si="153"/>
        <v>--</v>
      </c>
      <c r="M1879" s="2" t="str">
        <f>"--"</f>
        <v>--</v>
      </c>
      <c r="N1879" s="2"/>
      <c r="O1879" s="2"/>
      <c r="P1879" s="2"/>
      <c r="Q1879" s="2"/>
    </row>
    <row r="1880" spans="1:17" x14ac:dyDescent="0.3">
      <c r="A1880" s="2"/>
      <c r="B1880" s="2"/>
      <c r="C1880" s="2"/>
      <c r="D1880" s="2"/>
      <c r="E1880" s="2"/>
      <c r="F1880" s="2"/>
      <c r="G1880" s="2"/>
      <c r="H1880" s="2"/>
      <c r="I1880" s="2"/>
      <c r="J1880" s="2"/>
      <c r="K1880" s="2"/>
      <c r="L1880" s="2"/>
      <c r="M1880" s="2"/>
      <c r="N1880" s="2"/>
      <c r="O1880" s="2"/>
      <c r="P1880" s="2"/>
      <c r="Q1880" s="2"/>
    </row>
    <row r="1881" spans="1:17" x14ac:dyDescent="0.3">
      <c r="A1881" s="2" t="str">
        <f>"6554"</f>
        <v>6554</v>
      </c>
      <c r="B1881" s="2" t="s">
        <v>7143</v>
      </c>
      <c r="C1881" s="2" t="s">
        <v>7144</v>
      </c>
      <c r="D1881" s="2" t="s">
        <v>6001</v>
      </c>
      <c r="E1881" s="2" t="s">
        <v>7145</v>
      </c>
      <c r="F1881" s="2" t="s">
        <v>2</v>
      </c>
      <c r="G1881" s="2" t="str">
        <f>"02-7718-1690"</f>
        <v>02-7718-1690</v>
      </c>
      <c r="H1881" s="2" t="s">
        <v>539</v>
      </c>
      <c r="I1881" s="2" t="str">
        <f>"02-25865859"</f>
        <v>02-25865859</v>
      </c>
      <c r="J1881" s="2" t="str">
        <f>"自105年05月28日至105年06月24日止"</f>
        <v>自105年05月28日至105年06月24日止</v>
      </c>
      <c r="K1881" s="2" t="str">
        <f>"台灣集中保管結算所股份有限公司"</f>
        <v>台灣集中保管結算所股份有限公司</v>
      </c>
      <c r="L1881" s="2" t="str">
        <f>"http://www.stockvote.com.tw"</f>
        <v>http://www.stockvote.com.tw</v>
      </c>
      <c r="M1881" s="2" t="str">
        <f>"--"</f>
        <v>--</v>
      </c>
      <c r="N1881" s="2"/>
      <c r="O1881" s="2"/>
      <c r="P1881" s="2"/>
      <c r="Q1881" s="2"/>
    </row>
    <row r="1882" spans="1:17" x14ac:dyDescent="0.3">
      <c r="A1882" s="2" t="str">
        <f>"6555"</f>
        <v>6555</v>
      </c>
      <c r="B1882" s="2" t="s">
        <v>7146</v>
      </c>
      <c r="C1882" s="2" t="s">
        <v>7147</v>
      </c>
      <c r="D1882" s="2" t="s">
        <v>6014</v>
      </c>
      <c r="E1882" s="2" t="s">
        <v>7148</v>
      </c>
      <c r="F1882" s="2" t="s">
        <v>41</v>
      </c>
      <c r="G1882" s="2" t="str">
        <f>"02-26903311"</f>
        <v>02-26903311</v>
      </c>
      <c r="H1882" s="2" t="s">
        <v>1587</v>
      </c>
      <c r="I1882" s="2" t="str">
        <f>"02-27686888"</f>
        <v>02-27686888</v>
      </c>
      <c r="J1882" s="2" t="str">
        <f t="shared" ref="J1882:L1897" si="154">"--"</f>
        <v>--</v>
      </c>
      <c r="K1882" s="2" t="str">
        <f t="shared" si="154"/>
        <v>--</v>
      </c>
      <c r="L1882" s="2" t="str">
        <f t="shared" si="154"/>
        <v>--</v>
      </c>
      <c r="M1882" s="2" t="str">
        <f>"--"</f>
        <v>--</v>
      </c>
      <c r="N1882" s="2"/>
      <c r="O1882" s="2"/>
      <c r="P1882" s="2"/>
      <c r="Q1882" s="2"/>
    </row>
    <row r="1883" spans="1:17" x14ac:dyDescent="0.3">
      <c r="A1883" s="2" t="str">
        <f>"6556"</f>
        <v>6556</v>
      </c>
      <c r="B1883" s="2" t="s">
        <v>7149</v>
      </c>
      <c r="C1883" s="2" t="s">
        <v>7150</v>
      </c>
      <c r="D1883" s="2" t="s">
        <v>6141</v>
      </c>
      <c r="E1883" s="2" t="s">
        <v>7151</v>
      </c>
      <c r="F1883" s="2" t="s">
        <v>2</v>
      </c>
      <c r="G1883" s="2" t="str">
        <f>"02-22988528"</f>
        <v>02-22988528</v>
      </c>
      <c r="H1883" s="2" t="s">
        <v>456</v>
      </c>
      <c r="I1883" s="2" t="str">
        <f>"02-25048125"</f>
        <v>02-25048125</v>
      </c>
      <c r="J1883" s="2" t="str">
        <f t="shared" si="154"/>
        <v>--</v>
      </c>
      <c r="K1883" s="2" t="str">
        <f t="shared" si="154"/>
        <v>--</v>
      </c>
      <c r="L1883" s="2" t="str">
        <f t="shared" si="154"/>
        <v>--</v>
      </c>
      <c r="M1883" s="2" t="str">
        <f>"否"</f>
        <v>否</v>
      </c>
      <c r="N1883" s="2"/>
      <c r="O1883" s="2"/>
      <c r="P1883" s="2"/>
      <c r="Q1883" s="2"/>
    </row>
    <row r="1884" spans="1:17" x14ac:dyDescent="0.3">
      <c r="A1884" s="2" t="str">
        <f>"6558"</f>
        <v>6558</v>
      </c>
      <c r="B1884" s="2" t="s">
        <v>7152</v>
      </c>
      <c r="C1884" s="2" t="s">
        <v>7153</v>
      </c>
      <c r="D1884" s="2" t="s">
        <v>5999</v>
      </c>
      <c r="E1884" s="2" t="s">
        <v>7154</v>
      </c>
      <c r="F1884" s="2" t="s">
        <v>41</v>
      </c>
      <c r="G1884" s="2" t="str">
        <f>"(03)5643700"</f>
        <v>(03)5643700</v>
      </c>
      <c r="H1884" s="2" t="s">
        <v>3908</v>
      </c>
      <c r="I1884" s="2" t="str">
        <f>"(02)27478266"</f>
        <v>(02)27478266</v>
      </c>
      <c r="J1884" s="2" t="str">
        <f t="shared" si="154"/>
        <v>--</v>
      </c>
      <c r="K1884" s="2" t="str">
        <f t="shared" si="154"/>
        <v>--</v>
      </c>
      <c r="L1884" s="2" t="str">
        <f t="shared" si="154"/>
        <v>--</v>
      </c>
      <c r="M1884" s="2" t="str">
        <f>"--"</f>
        <v>--</v>
      </c>
      <c r="N1884" s="2"/>
      <c r="O1884" s="2"/>
      <c r="P1884" s="2"/>
      <c r="Q1884" s="2"/>
    </row>
    <row r="1885" spans="1:17" x14ac:dyDescent="0.3">
      <c r="A1885" s="2" t="str">
        <f>"6559"</f>
        <v>6559</v>
      </c>
      <c r="B1885" s="2" t="s">
        <v>7155</v>
      </c>
      <c r="C1885" s="2" t="s">
        <v>7156</v>
      </c>
      <c r="D1885" s="2" t="s">
        <v>6021</v>
      </c>
      <c r="E1885" s="2" t="s">
        <v>7157</v>
      </c>
      <c r="F1885" s="2" t="s">
        <v>2</v>
      </c>
      <c r="G1885" s="2" t="str">
        <f>"02-82628886"</f>
        <v>02-82628886</v>
      </c>
      <c r="H1885" s="2" t="s">
        <v>2059</v>
      </c>
      <c r="I1885" s="2" t="str">
        <f>"02-2541-9977"</f>
        <v>02-2541-9977</v>
      </c>
      <c r="J1885" s="2" t="str">
        <f t="shared" si="154"/>
        <v>--</v>
      </c>
      <c r="K1885" s="2" t="str">
        <f t="shared" si="154"/>
        <v>--</v>
      </c>
      <c r="L1885" s="2" t="str">
        <f t="shared" si="154"/>
        <v>--</v>
      </c>
      <c r="M1885" s="2" t="str">
        <f>"否"</f>
        <v>否</v>
      </c>
      <c r="N1885" s="2"/>
      <c r="O1885" s="2"/>
      <c r="P1885" s="2"/>
      <c r="Q1885" s="2"/>
    </row>
    <row r="1886" spans="1:17" x14ac:dyDescent="0.3">
      <c r="A1886" s="2" t="str">
        <f>"6560"</f>
        <v>6560</v>
      </c>
      <c r="B1886" s="2" t="s">
        <v>7158</v>
      </c>
      <c r="C1886" s="2" t="s">
        <v>7159</v>
      </c>
      <c r="D1886" s="2" t="s">
        <v>6011</v>
      </c>
      <c r="E1886" s="2" t="s">
        <v>7160</v>
      </c>
      <c r="F1886" s="2" t="s">
        <v>41</v>
      </c>
      <c r="G1886" s="2" t="str">
        <f>"02-89944718"</f>
        <v>02-89944718</v>
      </c>
      <c r="H1886" s="2" t="s">
        <v>4570</v>
      </c>
      <c r="I1886" s="2" t="str">
        <f>"02-25419977"</f>
        <v>02-25419977</v>
      </c>
      <c r="J1886" s="2" t="str">
        <f t="shared" si="154"/>
        <v>--</v>
      </c>
      <c r="K1886" s="2" t="str">
        <f t="shared" si="154"/>
        <v>--</v>
      </c>
      <c r="L1886" s="2" t="str">
        <f t="shared" si="154"/>
        <v>--</v>
      </c>
      <c r="M1886" s="2" t="str">
        <f>"否"</f>
        <v>否</v>
      </c>
      <c r="N1886" s="2"/>
      <c r="O1886" s="2"/>
      <c r="P1886" s="2"/>
      <c r="Q1886" s="2"/>
    </row>
    <row r="1887" spans="1:17" x14ac:dyDescent="0.3">
      <c r="A1887" s="2" t="str">
        <f>"6562"</f>
        <v>6562</v>
      </c>
      <c r="B1887" s="2" t="s">
        <v>7161</v>
      </c>
      <c r="C1887" s="2" t="s">
        <v>4551</v>
      </c>
      <c r="D1887" s="2" t="s">
        <v>6001</v>
      </c>
      <c r="E1887" s="2" t="s">
        <v>7162</v>
      </c>
      <c r="F1887" s="2" t="s">
        <v>41</v>
      </c>
      <c r="G1887" s="2" t="str">
        <f>"03-5977676"</f>
        <v>03-5977676</v>
      </c>
      <c r="H1887" s="2" t="s">
        <v>631</v>
      </c>
      <c r="I1887" s="2" t="str">
        <f>"02-25419977"</f>
        <v>02-25419977</v>
      </c>
      <c r="J1887" s="2" t="str">
        <f t="shared" si="154"/>
        <v>--</v>
      </c>
      <c r="K1887" s="2" t="str">
        <f t="shared" si="154"/>
        <v>--</v>
      </c>
      <c r="L1887" s="2" t="str">
        <f t="shared" si="154"/>
        <v>--</v>
      </c>
      <c r="M1887" s="2" t="str">
        <f>"否"</f>
        <v>否</v>
      </c>
      <c r="N1887" s="2"/>
      <c r="O1887" s="2"/>
      <c r="P1887" s="2"/>
      <c r="Q1887" s="2"/>
    </row>
    <row r="1888" spans="1:17" x14ac:dyDescent="0.3">
      <c r="A1888" s="2"/>
      <c r="B1888" s="2"/>
      <c r="C1888" s="2"/>
      <c r="D1888" s="2"/>
      <c r="E1888" s="2"/>
      <c r="F1888" s="2"/>
      <c r="G1888" s="2"/>
      <c r="H1888" s="2"/>
      <c r="I1888" s="2"/>
      <c r="J1888" s="2"/>
      <c r="K1888" s="2"/>
      <c r="L1888" s="2"/>
      <c r="M1888" s="2"/>
      <c r="N1888" s="2"/>
      <c r="O1888" s="2"/>
      <c r="P1888" s="2"/>
      <c r="Q1888" s="2"/>
    </row>
    <row r="1889" spans="1:17" x14ac:dyDescent="0.3">
      <c r="A1889" s="2" t="str">
        <f>"6566"</f>
        <v>6566</v>
      </c>
      <c r="B1889" s="2" t="s">
        <v>7163</v>
      </c>
      <c r="C1889" s="2" t="s">
        <v>7164</v>
      </c>
      <c r="D1889" s="2" t="s">
        <v>6042</v>
      </c>
      <c r="E1889" s="2" t="s">
        <v>7165</v>
      </c>
      <c r="F1889" s="2" t="s">
        <v>41</v>
      </c>
      <c r="G1889" s="2" t="str">
        <f>"02-2655-7339"</f>
        <v>02-2655-7339</v>
      </c>
      <c r="H1889" s="2" t="s">
        <v>4570</v>
      </c>
      <c r="I1889" s="2" t="str">
        <f>"02-2541-9977"</f>
        <v>02-2541-9977</v>
      </c>
      <c r="J1889" s="2" t="str">
        <f t="shared" si="154"/>
        <v>--</v>
      </c>
      <c r="K1889" s="2" t="str">
        <f t="shared" si="154"/>
        <v>--</v>
      </c>
      <c r="L1889" s="2" t="str">
        <f t="shared" si="154"/>
        <v>--</v>
      </c>
      <c r="M1889" s="2" t="str">
        <f>"否"</f>
        <v>否</v>
      </c>
      <c r="N1889" s="2"/>
      <c r="O1889" s="2"/>
      <c r="P1889" s="2"/>
      <c r="Q1889" s="2"/>
    </row>
    <row r="1890" spans="1:17" x14ac:dyDescent="0.3">
      <c r="A1890" s="2" t="str">
        <f>"6567"</f>
        <v>6567</v>
      </c>
      <c r="B1890" s="2" t="s">
        <v>7166</v>
      </c>
      <c r="C1890" s="2" t="s">
        <v>7167</v>
      </c>
      <c r="D1890" s="2" t="s">
        <v>6014</v>
      </c>
      <c r="E1890" s="2" t="s">
        <v>7168</v>
      </c>
      <c r="F1890" s="2" t="s">
        <v>41</v>
      </c>
      <c r="G1890" s="2" t="str">
        <f>"(02)2731-3913"</f>
        <v>(02)2731-3913</v>
      </c>
      <c r="H1890" s="2" t="s">
        <v>4570</v>
      </c>
      <c r="I1890" s="2" t="str">
        <f>"(02)2541-9977"</f>
        <v>(02)2541-9977</v>
      </c>
      <c r="J1890" s="2" t="str">
        <f t="shared" si="154"/>
        <v>--</v>
      </c>
      <c r="K1890" s="2" t="str">
        <f t="shared" si="154"/>
        <v>--</v>
      </c>
      <c r="L1890" s="2" t="str">
        <f t="shared" si="154"/>
        <v>--</v>
      </c>
      <c r="M1890" s="2" t="str">
        <f>"--"</f>
        <v>--</v>
      </c>
      <c r="N1890" s="2"/>
      <c r="O1890" s="2"/>
      <c r="P1890" s="2"/>
      <c r="Q1890" s="2"/>
    </row>
    <row r="1891" spans="1:17" x14ac:dyDescent="0.3">
      <c r="A1891" s="2" t="str">
        <f>"6568"</f>
        <v>6568</v>
      </c>
      <c r="B1891" s="2" t="s">
        <v>7169</v>
      </c>
      <c r="C1891" s="2" t="s">
        <v>7170</v>
      </c>
      <c r="D1891" s="2" t="s">
        <v>6014</v>
      </c>
      <c r="E1891" s="2" t="s">
        <v>7171</v>
      </c>
      <c r="F1891" s="2" t="s">
        <v>2</v>
      </c>
      <c r="G1891" s="2" t="str">
        <f>"(03)5820868"</f>
        <v>(03)5820868</v>
      </c>
      <c r="H1891" s="2" t="s">
        <v>404</v>
      </c>
      <c r="I1891" s="2" t="str">
        <f>"(02) 66365566"</f>
        <v>(02) 66365566</v>
      </c>
      <c r="J1891" s="2" t="str">
        <f t="shared" si="154"/>
        <v>--</v>
      </c>
      <c r="K1891" s="2" t="str">
        <f t="shared" si="154"/>
        <v>--</v>
      </c>
      <c r="L1891" s="2" t="str">
        <f t="shared" si="154"/>
        <v>--</v>
      </c>
      <c r="M1891" s="2" t="str">
        <f>"--"</f>
        <v>--</v>
      </c>
      <c r="N1891" s="2"/>
      <c r="O1891" s="2"/>
      <c r="P1891" s="2"/>
      <c r="Q1891" s="2"/>
    </row>
    <row r="1892" spans="1:17" x14ac:dyDescent="0.3">
      <c r="A1892" s="2" t="str">
        <f>"6569"</f>
        <v>6569</v>
      </c>
      <c r="B1892" s="2" t="s">
        <v>7172</v>
      </c>
      <c r="C1892" s="2" t="s">
        <v>7173</v>
      </c>
      <c r="D1892" s="2" t="s">
        <v>6031</v>
      </c>
      <c r="E1892" s="2" t="s">
        <v>3576</v>
      </c>
      <c r="F1892" s="2" t="s">
        <v>2</v>
      </c>
      <c r="G1892" s="2" t="str">
        <f>"(02)8919-2188"</f>
        <v>(02)8919-2188</v>
      </c>
      <c r="H1892" s="2" t="s">
        <v>2808</v>
      </c>
      <c r="I1892" s="2" t="str">
        <f>"(02)2504-8125"</f>
        <v>(02)2504-8125</v>
      </c>
      <c r="J1892" s="2" t="str">
        <f t="shared" si="154"/>
        <v>--</v>
      </c>
      <c r="K1892" s="2" t="str">
        <f t="shared" si="154"/>
        <v>--</v>
      </c>
      <c r="L1892" s="2" t="str">
        <f t="shared" si="154"/>
        <v>--</v>
      </c>
      <c r="M1892" s="2" t="str">
        <f>"否"</f>
        <v>否</v>
      </c>
      <c r="N1892" s="2"/>
      <c r="O1892" s="2"/>
      <c r="P1892" s="2"/>
      <c r="Q1892" s="2"/>
    </row>
    <row r="1893" spans="1:17" x14ac:dyDescent="0.3">
      <c r="A1893" s="2"/>
      <c r="B1893" s="2"/>
      <c r="C1893" s="2"/>
      <c r="D1893" s="2"/>
      <c r="E1893" s="2"/>
      <c r="F1893" s="2"/>
      <c r="G1893" s="2"/>
      <c r="H1893" s="2"/>
      <c r="I1893" s="2"/>
      <c r="J1893" s="2"/>
      <c r="K1893" s="2"/>
      <c r="L1893" s="2"/>
      <c r="M1893" s="2"/>
      <c r="N1893" s="2"/>
      <c r="O1893" s="2"/>
      <c r="P1893" s="2"/>
      <c r="Q1893" s="2"/>
    </row>
    <row r="1894" spans="1:17" x14ac:dyDescent="0.3">
      <c r="A1894" s="2" t="str">
        <f>"6570"</f>
        <v>6570</v>
      </c>
      <c r="B1894" s="2" t="s">
        <v>7174</v>
      </c>
      <c r="C1894" s="2" t="s">
        <v>7175</v>
      </c>
      <c r="D1894" s="2" t="s">
        <v>6021</v>
      </c>
      <c r="E1894" s="2" t="s">
        <v>7176</v>
      </c>
      <c r="F1894" s="2" t="s">
        <v>41</v>
      </c>
      <c r="G1894" s="2" t="str">
        <f>"(02)8226-2881"</f>
        <v>(02)8226-2881</v>
      </c>
      <c r="H1894" s="2" t="s">
        <v>653</v>
      </c>
      <c r="I1894" s="2" t="str">
        <f>"(02)2768-6668"</f>
        <v>(02)2768-6668</v>
      </c>
      <c r="J1894" s="2" t="str">
        <f t="shared" si="154"/>
        <v>--</v>
      </c>
      <c r="K1894" s="2" t="str">
        <f>"--"</f>
        <v>--</v>
      </c>
      <c r="L1894" s="2" t="str">
        <f>"--"</f>
        <v>--</v>
      </c>
      <c r="M1894" s="2" t="str">
        <f>"--"</f>
        <v>--</v>
      </c>
    </row>
    <row r="1895" spans="1:17" x14ac:dyDescent="0.3">
      <c r="A1895" s="2" t="str">
        <f>"6572"</f>
        <v>6572</v>
      </c>
      <c r="B1895" s="2" t="s">
        <v>7177</v>
      </c>
      <c r="C1895" s="2" t="s">
        <v>7178</v>
      </c>
      <c r="D1895" s="2" t="s">
        <v>6042</v>
      </c>
      <c r="E1895" s="2" t="s">
        <v>7179</v>
      </c>
      <c r="F1895" s="2" t="s">
        <v>41</v>
      </c>
      <c r="G1895" s="2" t="str">
        <f>"26275878"</f>
        <v>26275878</v>
      </c>
      <c r="H1895" s="2" t="s">
        <v>6006</v>
      </c>
      <c r="I1895" s="2" t="str">
        <f>"(02)25865859"</f>
        <v>(02)25865859</v>
      </c>
      <c r="J1895" s="2" t="str">
        <f t="shared" si="154"/>
        <v>--</v>
      </c>
      <c r="K1895" s="2" t="str">
        <f t="shared" si="154"/>
        <v>--</v>
      </c>
      <c r="L1895" s="2" t="str">
        <f t="shared" si="154"/>
        <v>--</v>
      </c>
      <c r="M1895" s="2" t="str">
        <f>"否"</f>
        <v>否</v>
      </c>
    </row>
    <row r="1896" spans="1:17" x14ac:dyDescent="0.3">
      <c r="A1896" s="2" t="str">
        <f>"6575"</f>
        <v>6575</v>
      </c>
      <c r="B1896" s="2" t="s">
        <v>7180</v>
      </c>
      <c r="C1896" s="2" t="s">
        <v>7181</v>
      </c>
      <c r="D1896" s="2" t="s">
        <v>6001</v>
      </c>
      <c r="E1896" s="2" t="s">
        <v>7182</v>
      </c>
      <c r="F1896" s="2" t="s">
        <v>41</v>
      </c>
      <c r="G1896" s="2" t="str">
        <f>"02-27278108"</f>
        <v>02-27278108</v>
      </c>
      <c r="H1896" s="2" t="s">
        <v>456</v>
      </c>
      <c r="I1896" s="2" t="str">
        <f>"02-25048125"</f>
        <v>02-25048125</v>
      </c>
      <c r="J1896" s="2" t="str">
        <f t="shared" si="154"/>
        <v>--</v>
      </c>
      <c r="K1896" s="2" t="str">
        <f t="shared" si="154"/>
        <v>--</v>
      </c>
      <c r="L1896" s="2" t="str">
        <f t="shared" si="154"/>
        <v>--</v>
      </c>
      <c r="M1896" s="2" t="str">
        <f>"--"</f>
        <v>--</v>
      </c>
    </row>
    <row r="1897" spans="1:17" x14ac:dyDescent="0.3">
      <c r="A1897" s="2" t="str">
        <f>"6576"</f>
        <v>6576</v>
      </c>
      <c r="B1897" s="2" t="s">
        <v>7183</v>
      </c>
      <c r="C1897" s="2" t="s">
        <v>2699</v>
      </c>
      <c r="D1897" s="2" t="s">
        <v>6014</v>
      </c>
      <c r="E1897" s="2" t="s">
        <v>7184</v>
      </c>
      <c r="F1897" s="2" t="s">
        <v>2</v>
      </c>
      <c r="G1897" s="2" t="str">
        <f>"(02)2655-2658"</f>
        <v>(02)2655-2658</v>
      </c>
      <c r="H1897" s="2" t="s">
        <v>451</v>
      </c>
      <c r="I1897" s="2" t="str">
        <f>"(02)2389-2999"</f>
        <v>(02)2389-2999</v>
      </c>
      <c r="J1897" s="2" t="str">
        <f t="shared" si="154"/>
        <v>--</v>
      </c>
      <c r="K1897" s="2" t="str">
        <f t="shared" si="154"/>
        <v>--</v>
      </c>
      <c r="L1897" s="2" t="str">
        <f t="shared" si="154"/>
        <v>--</v>
      </c>
      <c r="M1897" s="2" t="str">
        <f>"否"</f>
        <v>否</v>
      </c>
    </row>
    <row r="1898" spans="1:17" x14ac:dyDescent="0.3">
      <c r="A1898" s="2" t="str">
        <f>"6577"</f>
        <v>6577</v>
      </c>
      <c r="B1898" s="2" t="s">
        <v>7185</v>
      </c>
      <c r="C1898" s="2" t="s">
        <v>7186</v>
      </c>
      <c r="D1898" s="2" t="s">
        <v>6194</v>
      </c>
      <c r="E1898" s="2" t="s">
        <v>2205</v>
      </c>
      <c r="F1898" s="2" t="s">
        <v>41</v>
      </c>
      <c r="G1898" s="2" t="str">
        <f>"02-26590606"</f>
        <v>02-26590606</v>
      </c>
      <c r="H1898" s="2" t="s">
        <v>582</v>
      </c>
      <c r="I1898" s="2" t="str">
        <f>"02-25865859"</f>
        <v>02-25865859</v>
      </c>
      <c r="J1898" s="2" t="str">
        <f t="shared" ref="J1898:L1900" si="155">"--"</f>
        <v>--</v>
      </c>
      <c r="K1898" s="2" t="str">
        <f t="shared" si="155"/>
        <v>--</v>
      </c>
      <c r="L1898" s="2" t="str">
        <f t="shared" si="155"/>
        <v>--</v>
      </c>
      <c r="M1898" s="2" t="str">
        <f>"否"</f>
        <v>否</v>
      </c>
    </row>
    <row r="1899" spans="1:17" x14ac:dyDescent="0.3">
      <c r="A1899" s="2" t="str">
        <f>"7421"</f>
        <v>7421</v>
      </c>
      <c r="B1899" s="2" t="s">
        <v>7187</v>
      </c>
      <c r="C1899" s="2" t="s">
        <v>7188</v>
      </c>
      <c r="D1899" s="2" t="s">
        <v>6375</v>
      </c>
      <c r="E1899" s="2" t="s">
        <v>7189</v>
      </c>
      <c r="F1899" s="2" t="s">
        <v>41</v>
      </c>
      <c r="G1899" s="2" t="str">
        <f>"02-27906016"</f>
        <v>02-27906016</v>
      </c>
      <c r="H1899" s="2" t="s">
        <v>456</v>
      </c>
      <c r="I1899" s="2" t="str">
        <f>"02-25048125"</f>
        <v>02-25048125</v>
      </c>
      <c r="J1899" s="2" t="str">
        <f t="shared" si="155"/>
        <v>--</v>
      </c>
      <c r="K1899" s="2" t="str">
        <f t="shared" si="155"/>
        <v>--</v>
      </c>
      <c r="L1899" s="2" t="str">
        <f t="shared" si="155"/>
        <v>--</v>
      </c>
      <c r="M1899" s="2" t="str">
        <f>"否"</f>
        <v>否</v>
      </c>
    </row>
    <row r="1900" spans="1:17" x14ac:dyDescent="0.3">
      <c r="A1900" s="2" t="str">
        <f>"7443"</f>
        <v>7443</v>
      </c>
      <c r="B1900" s="2" t="s">
        <v>7190</v>
      </c>
      <c r="C1900" s="2" t="s">
        <v>7191</v>
      </c>
      <c r="D1900" s="2" t="s">
        <v>6042</v>
      </c>
      <c r="E1900" s="2" t="s">
        <v>7192</v>
      </c>
      <c r="F1900" s="2" t="s">
        <v>41</v>
      </c>
      <c r="G1900" s="2" t="str">
        <f>"08-7558557"</f>
        <v>08-7558557</v>
      </c>
      <c r="H1900" s="2" t="s">
        <v>2817</v>
      </c>
      <c r="I1900" s="2" t="str">
        <f>"02-25048125"</f>
        <v>02-25048125</v>
      </c>
      <c r="J1900" s="2" t="str">
        <f t="shared" si="155"/>
        <v>--</v>
      </c>
      <c r="K1900" s="2" t="str">
        <f t="shared" si="155"/>
        <v>--</v>
      </c>
      <c r="L1900" s="2" t="str">
        <f t="shared" si="155"/>
        <v>--</v>
      </c>
      <c r="M1900" s="2" t="str">
        <f>"否"</f>
        <v>否</v>
      </c>
    </row>
    <row r="1901" spans="1:17" x14ac:dyDescent="0.3">
      <c r="A1901" s="2" t="str">
        <f>"8028"</f>
        <v>8028</v>
      </c>
      <c r="B1901" s="2" t="s">
        <v>4628</v>
      </c>
      <c r="C1901" s="2" t="s">
        <v>4629</v>
      </c>
      <c r="D1901" s="2" t="s">
        <v>6014</v>
      </c>
      <c r="E1901" s="2" t="s">
        <v>7193</v>
      </c>
      <c r="F1901" s="2" t="s">
        <v>2</v>
      </c>
      <c r="G1901" s="2" t="str">
        <f>"03-5641888"</f>
        <v>03-5641888</v>
      </c>
      <c r="H1901" s="2" t="s">
        <v>505</v>
      </c>
      <c r="I1901" s="2" t="str">
        <f>"02-23816288"</f>
        <v>02-23816288</v>
      </c>
      <c r="J1901" s="2" t="str">
        <f>"自105年05月31日至105年06月27日止"</f>
        <v>自105年05月31日至105年06月27日止</v>
      </c>
      <c r="K1901" s="2" t="str">
        <f>"台灣集中保管結算所股份有限公司"</f>
        <v>台灣集中保管結算所股份有限公司</v>
      </c>
      <c r="L1901" s="2" t="str">
        <f>"http://www.stockvote.com.tw"</f>
        <v>http://www.stockvote.com.tw</v>
      </c>
      <c r="M1901" s="2" t="str">
        <f>"--"</f>
        <v>--</v>
      </c>
    </row>
    <row r="1902" spans="1:17" x14ac:dyDescent="0.3">
      <c r="A1902" s="2" t="str">
        <f>"8041"</f>
        <v>8041</v>
      </c>
      <c r="B1902" s="2" t="s">
        <v>4630</v>
      </c>
      <c r="C1902" s="2" t="s">
        <v>7194</v>
      </c>
      <c r="D1902" s="2" t="s">
        <v>6004</v>
      </c>
      <c r="E1902" s="2" t="s">
        <v>7195</v>
      </c>
      <c r="F1902" s="2" t="s">
        <v>41</v>
      </c>
      <c r="G1902" s="2" t="str">
        <f>"03-4525031"</f>
        <v>03-4525031</v>
      </c>
      <c r="H1902" s="2" t="s">
        <v>431</v>
      </c>
      <c r="I1902" s="2" t="str">
        <f>"(02)2703-5000"</f>
        <v>(02)2703-5000</v>
      </c>
      <c r="J1902" s="2" t="str">
        <f t="shared" ref="J1902:L1915" si="156">"--"</f>
        <v>--</v>
      </c>
      <c r="K1902" s="2" t="str">
        <f t="shared" si="156"/>
        <v>--</v>
      </c>
      <c r="L1902" s="2" t="str">
        <f t="shared" si="156"/>
        <v>--</v>
      </c>
      <c r="M1902" s="2" t="str">
        <f>"--"</f>
        <v>--</v>
      </c>
    </row>
    <row r="1903" spans="1:17" x14ac:dyDescent="0.3">
      <c r="A1903" s="2" t="str">
        <f>"8065"</f>
        <v>8065</v>
      </c>
      <c r="B1903" s="2" t="s">
        <v>4631</v>
      </c>
      <c r="C1903" s="2" t="s">
        <v>7196</v>
      </c>
      <c r="D1903" s="2" t="s">
        <v>5999</v>
      </c>
      <c r="E1903" s="2" t="s">
        <v>4632</v>
      </c>
      <c r="F1903" s="2" t="s">
        <v>2</v>
      </c>
      <c r="G1903" s="2" t="str">
        <f>"03-3124888"</f>
        <v>03-3124888</v>
      </c>
      <c r="H1903" s="2" t="s">
        <v>640</v>
      </c>
      <c r="I1903" s="2" t="str">
        <f>"02-23711658"</f>
        <v>02-23711658</v>
      </c>
      <c r="J1903" s="2" t="str">
        <f t="shared" si="156"/>
        <v>--</v>
      </c>
      <c r="K1903" s="2" t="str">
        <f t="shared" si="156"/>
        <v>--</v>
      </c>
      <c r="L1903" s="2" t="str">
        <f t="shared" si="156"/>
        <v>--</v>
      </c>
      <c r="M1903" s="2" t="str">
        <f>"否"</f>
        <v>否</v>
      </c>
    </row>
    <row r="1904" spans="1:17" x14ac:dyDescent="0.3">
      <c r="A1904" s="2" t="str">
        <f>"8115"</f>
        <v>8115</v>
      </c>
      <c r="B1904" s="2" t="s">
        <v>4633</v>
      </c>
      <c r="C1904" s="2" t="s">
        <v>4634</v>
      </c>
      <c r="D1904" s="2" t="s">
        <v>6001</v>
      </c>
      <c r="E1904" s="2" t="s">
        <v>4635</v>
      </c>
      <c r="F1904" s="2" t="s">
        <v>2</v>
      </c>
      <c r="G1904" s="2" t="str">
        <f>"(02)29177002"</f>
        <v>(02)29177002</v>
      </c>
      <c r="H1904" s="2" t="s">
        <v>6006</v>
      </c>
      <c r="I1904" s="2" t="str">
        <f>"02-25865859"</f>
        <v>02-25865859</v>
      </c>
      <c r="J1904" s="2" t="str">
        <f t="shared" si="156"/>
        <v>--</v>
      </c>
      <c r="K1904" s="2" t="str">
        <f t="shared" si="156"/>
        <v>--</v>
      </c>
      <c r="L1904" s="2" t="str">
        <f t="shared" si="156"/>
        <v>--</v>
      </c>
      <c r="M1904" s="2" t="str">
        <f>"否"</f>
        <v>否</v>
      </c>
    </row>
    <row r="1905" spans="1:13" x14ac:dyDescent="0.3">
      <c r="A1905" s="2" t="str">
        <f>"8122"</f>
        <v>8122</v>
      </c>
      <c r="B1905" s="2" t="s">
        <v>4636</v>
      </c>
      <c r="C1905" s="2" t="s">
        <v>4637</v>
      </c>
      <c r="D1905" s="2" t="s">
        <v>6015</v>
      </c>
      <c r="E1905" s="2" t="s">
        <v>4638</v>
      </c>
      <c r="F1905" s="2" t="s">
        <v>2</v>
      </c>
      <c r="G1905" s="2" t="str">
        <f>"26576666"</f>
        <v>26576666</v>
      </c>
      <c r="H1905" s="2" t="s">
        <v>404</v>
      </c>
      <c r="I1905" s="2" t="str">
        <f>"66365566"</f>
        <v>66365566</v>
      </c>
      <c r="J1905" s="2" t="str">
        <f t="shared" si="156"/>
        <v>--</v>
      </c>
      <c r="K1905" s="2" t="str">
        <f t="shared" si="156"/>
        <v>--</v>
      </c>
      <c r="L1905" s="2" t="str">
        <f t="shared" si="156"/>
        <v>--</v>
      </c>
      <c r="M1905" s="2" t="str">
        <f>"--"</f>
        <v>--</v>
      </c>
    </row>
    <row r="1906" spans="1:13" x14ac:dyDescent="0.3">
      <c r="A1906" s="2" t="str">
        <f>"8127"</f>
        <v>8127</v>
      </c>
      <c r="B1906" s="2" t="s">
        <v>4639</v>
      </c>
      <c r="C1906" s="2" t="s">
        <v>4640</v>
      </c>
      <c r="D1906" s="2" t="s">
        <v>5999</v>
      </c>
      <c r="E1906" s="2" t="s">
        <v>4641</v>
      </c>
      <c r="F1906" s="2" t="s">
        <v>41</v>
      </c>
      <c r="G1906" s="2" t="str">
        <f>"03-5475105"</f>
        <v>03-5475105</v>
      </c>
      <c r="H1906" s="2" t="s">
        <v>996</v>
      </c>
      <c r="I1906" s="2" t="str">
        <f>"02-33930898"</f>
        <v>02-33930898</v>
      </c>
      <c r="J1906" s="2" t="str">
        <f t="shared" si="156"/>
        <v>--</v>
      </c>
      <c r="K1906" s="2" t="str">
        <f t="shared" si="156"/>
        <v>--</v>
      </c>
      <c r="L1906" s="2" t="str">
        <f t="shared" si="156"/>
        <v>--</v>
      </c>
      <c r="M1906" s="2" t="str">
        <f>"否"</f>
        <v>否</v>
      </c>
    </row>
    <row r="1907" spans="1:13" x14ac:dyDescent="0.3">
      <c r="A1907" s="2" t="str">
        <f>"8179"</f>
        <v>8179</v>
      </c>
      <c r="B1907" s="2" t="s">
        <v>4642</v>
      </c>
      <c r="C1907" s="2" t="s">
        <v>4643</v>
      </c>
      <c r="D1907" s="2" t="s">
        <v>6021</v>
      </c>
      <c r="E1907" s="2" t="s">
        <v>7197</v>
      </c>
      <c r="F1907" s="2" t="s">
        <v>2</v>
      </c>
      <c r="G1907" s="2" t="str">
        <f>"03-5986150"</f>
        <v>03-5986150</v>
      </c>
      <c r="H1907" s="2" t="s">
        <v>1264</v>
      </c>
      <c r="I1907" s="2" t="str">
        <f>"02-27008899"</f>
        <v>02-27008899</v>
      </c>
      <c r="J1907" s="2" t="str">
        <f t="shared" si="156"/>
        <v>--</v>
      </c>
      <c r="K1907" s="2" t="str">
        <f t="shared" si="156"/>
        <v>--</v>
      </c>
      <c r="L1907" s="2" t="str">
        <f t="shared" si="156"/>
        <v>--</v>
      </c>
      <c r="M1907" s="2" t="str">
        <f>"否"</f>
        <v>否</v>
      </c>
    </row>
    <row r="1908" spans="1:13" x14ac:dyDescent="0.3">
      <c r="A1908" s="2" t="str">
        <f>"8197"</f>
        <v>8197</v>
      </c>
      <c r="B1908" s="2" t="s">
        <v>4644</v>
      </c>
      <c r="C1908" s="2" t="s">
        <v>4645</v>
      </c>
      <c r="D1908" s="2" t="s">
        <v>6020</v>
      </c>
      <c r="E1908" s="2" t="s">
        <v>4646</v>
      </c>
      <c r="F1908" s="2" t="s">
        <v>41</v>
      </c>
      <c r="G1908" s="2" t="str">
        <f>"(03)4831000"</f>
        <v>(03)4831000</v>
      </c>
      <c r="H1908" s="2" t="s">
        <v>469</v>
      </c>
      <c r="I1908" s="2" t="str">
        <f>"(02)27478266"</f>
        <v>(02)27478266</v>
      </c>
      <c r="J1908" s="2" t="str">
        <f t="shared" si="156"/>
        <v>--</v>
      </c>
      <c r="K1908" s="2" t="str">
        <f t="shared" si="156"/>
        <v>--</v>
      </c>
      <c r="L1908" s="2" t="str">
        <f t="shared" si="156"/>
        <v>--</v>
      </c>
      <c r="M1908" s="2" t="str">
        <f>"--"</f>
        <v>--</v>
      </c>
    </row>
    <row r="1909" spans="1:13" x14ac:dyDescent="0.3">
      <c r="A1909" s="2" t="str">
        <f>"8279"</f>
        <v>8279</v>
      </c>
      <c r="B1909" s="2" t="s">
        <v>4647</v>
      </c>
      <c r="C1909" s="2" t="s">
        <v>4648</v>
      </c>
      <c r="D1909" s="2" t="s">
        <v>6655</v>
      </c>
      <c r="E1909" s="2" t="s">
        <v>4649</v>
      </c>
      <c r="F1909" s="2" t="s">
        <v>41</v>
      </c>
      <c r="G1909" s="2" t="str">
        <f>"(06)6323588"</f>
        <v>(06)6323588</v>
      </c>
      <c r="H1909" s="2" t="s">
        <v>1587</v>
      </c>
      <c r="I1909" s="2" t="str">
        <f>"(02)27686668"</f>
        <v>(02)27686668</v>
      </c>
      <c r="J1909" s="2" t="str">
        <f t="shared" si="156"/>
        <v>--</v>
      </c>
      <c r="K1909" s="2" t="str">
        <f t="shared" si="156"/>
        <v>--</v>
      </c>
      <c r="L1909" s="2" t="str">
        <f t="shared" si="156"/>
        <v>--</v>
      </c>
      <c r="M1909" s="2" t="str">
        <f>"否"</f>
        <v>否</v>
      </c>
    </row>
    <row r="1910" spans="1:13" x14ac:dyDescent="0.3">
      <c r="A1910" s="2" t="str">
        <f>"8281"</f>
        <v>8281</v>
      </c>
      <c r="B1910" s="2" t="s">
        <v>7198</v>
      </c>
      <c r="C1910" s="2" t="s">
        <v>7199</v>
      </c>
      <c r="D1910" s="2" t="s">
        <v>6014</v>
      </c>
      <c r="E1910" s="2" t="s">
        <v>7200</v>
      </c>
      <c r="F1910" s="2" t="s">
        <v>2</v>
      </c>
      <c r="G1910" s="2" t="str">
        <f>"02-89921177"</f>
        <v>02-89921177</v>
      </c>
      <c r="H1910" s="2" t="s">
        <v>2897</v>
      </c>
      <c r="I1910" s="2" t="str">
        <f>"02-27186425"</f>
        <v>02-27186425</v>
      </c>
      <c r="J1910" s="2" t="str">
        <f t="shared" si="156"/>
        <v>--</v>
      </c>
      <c r="K1910" s="2" t="str">
        <f t="shared" si="156"/>
        <v>--</v>
      </c>
      <c r="L1910" s="2" t="str">
        <f t="shared" si="156"/>
        <v>--</v>
      </c>
      <c r="M1910" s="2" t="str">
        <f>"--"</f>
        <v>--</v>
      </c>
    </row>
    <row r="1911" spans="1:13" x14ac:dyDescent="0.3">
      <c r="A1911" s="2" t="str">
        <f>"8284"</f>
        <v>8284</v>
      </c>
      <c r="B1911" s="2" t="s">
        <v>4650</v>
      </c>
      <c r="C1911" s="2" t="s">
        <v>4651</v>
      </c>
      <c r="D1911" s="2" t="s">
        <v>6031</v>
      </c>
      <c r="E1911" s="2" t="s">
        <v>4652</v>
      </c>
      <c r="F1911" s="2" t="s">
        <v>2</v>
      </c>
      <c r="G1911" s="2" t="str">
        <f>"25639999"</f>
        <v>25639999</v>
      </c>
      <c r="H1911" s="2" t="s">
        <v>996</v>
      </c>
      <c r="I1911" s="2" t="str">
        <f>"3393-0898"</f>
        <v>3393-0898</v>
      </c>
      <c r="J1911" s="2" t="str">
        <f t="shared" si="156"/>
        <v>--</v>
      </c>
      <c r="K1911" s="2" t="str">
        <f t="shared" si="156"/>
        <v>--</v>
      </c>
      <c r="L1911" s="2" t="str">
        <f t="shared" si="156"/>
        <v>--</v>
      </c>
      <c r="M1911" s="2" t="str">
        <f>"否"</f>
        <v>否</v>
      </c>
    </row>
    <row r="1912" spans="1:13" x14ac:dyDescent="0.3">
      <c r="A1912" s="2" t="str">
        <f>"8325"</f>
        <v>8325</v>
      </c>
      <c r="B1912" s="2" t="s">
        <v>7201</v>
      </c>
      <c r="C1912" s="2" t="s">
        <v>7202</v>
      </c>
      <c r="D1912" s="2" t="s">
        <v>7203</v>
      </c>
      <c r="E1912" s="2" t="s">
        <v>7204</v>
      </c>
      <c r="F1912" s="2" t="s">
        <v>41</v>
      </c>
      <c r="G1912" s="2" t="str">
        <f>"(02)2501-9688"</f>
        <v>(02)2501-9688</v>
      </c>
      <c r="H1912" s="2" t="s">
        <v>6006</v>
      </c>
      <c r="I1912" s="2" t="str">
        <f>"(02)25865859"</f>
        <v>(02)25865859</v>
      </c>
      <c r="J1912" s="2" t="str">
        <f t="shared" si="156"/>
        <v>--</v>
      </c>
      <c r="K1912" s="2" t="str">
        <f t="shared" si="156"/>
        <v>--</v>
      </c>
      <c r="L1912" s="2" t="str">
        <f t="shared" si="156"/>
        <v>--</v>
      </c>
      <c r="M1912" s="2" t="str">
        <f>"否"</f>
        <v>否</v>
      </c>
    </row>
    <row r="1913" spans="1:13" x14ac:dyDescent="0.3">
      <c r="A1913" s="2" t="str">
        <f>"8329"</f>
        <v>8329</v>
      </c>
      <c r="B1913" s="2" t="s">
        <v>4653</v>
      </c>
      <c r="C1913" s="2" t="s">
        <v>4654</v>
      </c>
      <c r="D1913" s="2" t="s">
        <v>6000</v>
      </c>
      <c r="E1913" s="2" t="s">
        <v>4655</v>
      </c>
      <c r="F1913" s="2" t="s">
        <v>41</v>
      </c>
      <c r="G1913" s="2" t="str">
        <f>"(02)27758888"</f>
        <v>(02)27758888</v>
      </c>
      <c r="H1913" s="2" t="s">
        <v>424</v>
      </c>
      <c r="I1913" s="2" t="str">
        <f>"(02)25865859"</f>
        <v>(02)25865859</v>
      </c>
      <c r="J1913" s="2" t="str">
        <f t="shared" si="156"/>
        <v>--</v>
      </c>
      <c r="K1913" s="2" t="str">
        <f t="shared" si="156"/>
        <v>--</v>
      </c>
      <c r="L1913" s="2" t="str">
        <f t="shared" si="156"/>
        <v>--</v>
      </c>
      <c r="M1913" s="2" t="str">
        <f>"--"</f>
        <v>--</v>
      </c>
    </row>
    <row r="1914" spans="1:13" x14ac:dyDescent="0.3">
      <c r="A1914" s="2" t="str">
        <f>"8351"</f>
        <v>8351</v>
      </c>
      <c r="B1914" s="2" t="s">
        <v>4656</v>
      </c>
      <c r="C1914" s="2" t="s">
        <v>7205</v>
      </c>
      <c r="D1914" s="2" t="s">
        <v>6024</v>
      </c>
      <c r="E1914" s="2" t="s">
        <v>4657</v>
      </c>
      <c r="F1914" s="2" t="s">
        <v>2</v>
      </c>
      <c r="G1914" s="2" t="str">
        <f>"03-4834868"</f>
        <v>03-4834868</v>
      </c>
      <c r="H1914" s="2" t="s">
        <v>465</v>
      </c>
      <c r="I1914" s="2" t="str">
        <f>"02-23816288"</f>
        <v>02-23816288</v>
      </c>
      <c r="J1914" s="2" t="str">
        <f t="shared" si="156"/>
        <v>--</v>
      </c>
      <c r="K1914" s="2" t="str">
        <f t="shared" si="156"/>
        <v>--</v>
      </c>
      <c r="L1914" s="2" t="str">
        <f t="shared" si="156"/>
        <v>--</v>
      </c>
      <c r="M1914" s="2" t="str">
        <f>"否"</f>
        <v>否</v>
      </c>
    </row>
    <row r="1915" spans="1:13" x14ac:dyDescent="0.3">
      <c r="A1915" s="2" t="str">
        <f>"8359"</f>
        <v>8359</v>
      </c>
      <c r="B1915" s="2" t="s">
        <v>4658</v>
      </c>
      <c r="C1915" s="2" t="s">
        <v>4659</v>
      </c>
      <c r="D1915" s="2" t="s">
        <v>6020</v>
      </c>
      <c r="E1915" s="2" t="s">
        <v>4660</v>
      </c>
      <c r="F1915" s="2" t="s">
        <v>2</v>
      </c>
      <c r="G1915" s="2" t="str">
        <f>"(02)2769-6006"</f>
        <v>(02)2769-6006</v>
      </c>
      <c r="H1915" s="2" t="s">
        <v>469</v>
      </c>
      <c r="I1915" s="2" t="str">
        <f>"27478266"</f>
        <v>27478266</v>
      </c>
      <c r="J1915" s="2" t="str">
        <f t="shared" si="156"/>
        <v>--</v>
      </c>
      <c r="K1915" s="2" t="str">
        <f t="shared" si="156"/>
        <v>--</v>
      </c>
      <c r="L1915" s="2" t="str">
        <f t="shared" si="156"/>
        <v>--</v>
      </c>
      <c r="M1915" s="2" t="str">
        <f>"否"</f>
        <v>否</v>
      </c>
    </row>
    <row r="1916" spans="1:13" x14ac:dyDescent="0.3">
      <c r="A1916" s="2" t="str">
        <f>"8415"</f>
        <v>8415</v>
      </c>
      <c r="B1916" s="2" t="s">
        <v>4661</v>
      </c>
      <c r="C1916" s="2" t="s">
        <v>4662</v>
      </c>
      <c r="D1916" s="2" t="s">
        <v>6028</v>
      </c>
      <c r="E1916" s="2" t="s">
        <v>4663</v>
      </c>
      <c r="F1916" s="2" t="s">
        <v>2</v>
      </c>
      <c r="G1916" s="2" t="str">
        <f>"06-2701756"</f>
        <v>06-2701756</v>
      </c>
      <c r="H1916" s="2" t="s">
        <v>469</v>
      </c>
      <c r="I1916" s="2" t="str">
        <f>"02-27463797"</f>
        <v>02-27463797</v>
      </c>
      <c r="J1916" s="2" t="str">
        <f>"自105年05月17日至105年06月13日止"</f>
        <v>自105年05月17日至105年06月13日止</v>
      </c>
      <c r="K1916" s="2" t="str">
        <f>"台灣集中保管結算所股份有限公司"</f>
        <v>台灣集中保管結算所股份有限公司</v>
      </c>
      <c r="L1916" s="2" t="str">
        <f>"http://www.stockvote.com.tw"</f>
        <v>http://www.stockvote.com.tw</v>
      </c>
      <c r="M1916" s="2" t="str">
        <f>"&lt;b&gt;&lt;font color='red'&gt;自願&lt;/font&gt;&lt;/b&gt;"</f>
        <v>&lt;b&gt;&lt;font color='red'&gt;自願&lt;/font&gt;&lt;/b&gt;</v>
      </c>
    </row>
    <row r="1917" spans="1:13" x14ac:dyDescent="0.3">
      <c r="A1917" s="2" t="str">
        <f>"8438"</f>
        <v>8438</v>
      </c>
      <c r="B1917" s="2" t="s">
        <v>4664</v>
      </c>
      <c r="C1917" s="2" t="s">
        <v>4665</v>
      </c>
      <c r="D1917" s="2" t="s">
        <v>6010</v>
      </c>
      <c r="E1917" s="2" t="s">
        <v>7206</v>
      </c>
      <c r="F1917" s="2" t="s">
        <v>2</v>
      </c>
      <c r="G1917" s="2" t="str">
        <f>"033541009"</f>
        <v>033541009</v>
      </c>
      <c r="H1917" s="2" t="s">
        <v>4666</v>
      </c>
      <c r="I1917" s="2" t="str">
        <f>"0266365566"</f>
        <v>0266365566</v>
      </c>
      <c r="J1917" s="2" t="str">
        <f>"--"</f>
        <v>--</v>
      </c>
      <c r="K1917" s="2" t="str">
        <f>"--"</f>
        <v>--</v>
      </c>
      <c r="L1917" s="2" t="str">
        <f>"--"</f>
        <v>--</v>
      </c>
      <c r="M1917" s="2" t="str">
        <f>"--"</f>
        <v>--</v>
      </c>
    </row>
    <row r="1918" spans="1:13" x14ac:dyDescent="0.3">
      <c r="A1918" s="2" t="str">
        <f>"8440"</f>
        <v>8440</v>
      </c>
      <c r="B1918" s="2" t="s">
        <v>4667</v>
      </c>
      <c r="C1918" s="2" t="s">
        <v>4668</v>
      </c>
      <c r="D1918" s="2" t="s">
        <v>7207</v>
      </c>
      <c r="E1918" s="2" t="s">
        <v>7208</v>
      </c>
      <c r="F1918" s="2" t="s">
        <v>41</v>
      </c>
      <c r="G1918" s="2" t="str">
        <f>"02-2381-8000"</f>
        <v>02-2381-8000</v>
      </c>
      <c r="H1918" s="2" t="s">
        <v>451</v>
      </c>
      <c r="I1918" s="2" t="str">
        <f>"02-2389-2999"</f>
        <v>02-2389-2999</v>
      </c>
      <c r="J1918" s="2" t="str">
        <f t="shared" ref="J1918:L1921" si="157">"--"</f>
        <v>--</v>
      </c>
      <c r="K1918" s="2" t="str">
        <f t="shared" si="157"/>
        <v>--</v>
      </c>
      <c r="L1918" s="2" t="str">
        <f t="shared" si="157"/>
        <v>--</v>
      </c>
      <c r="M1918" s="2" t="str">
        <f>"否"</f>
        <v>否</v>
      </c>
    </row>
    <row r="1919" spans="1:13" x14ac:dyDescent="0.3">
      <c r="A1919" s="2" t="str">
        <f>"8458"</f>
        <v>8458</v>
      </c>
      <c r="B1919" s="2" t="s">
        <v>4671</v>
      </c>
      <c r="C1919" s="2" t="s">
        <v>4672</v>
      </c>
      <c r="D1919" s="2" t="s">
        <v>6028</v>
      </c>
      <c r="E1919" s="2" t="s">
        <v>7209</v>
      </c>
      <c r="F1919" s="2" t="s">
        <v>41</v>
      </c>
      <c r="G1919" s="2" t="str">
        <f>"02-7730-2556"</f>
        <v>02-7730-2556</v>
      </c>
      <c r="H1919" s="2" t="s">
        <v>465</v>
      </c>
      <c r="I1919" s="2" t="str">
        <f>"02-2381-6288"</f>
        <v>02-2381-6288</v>
      </c>
      <c r="J1919" s="2" t="str">
        <f t="shared" si="157"/>
        <v>--</v>
      </c>
      <c r="K1919" s="2" t="str">
        <f t="shared" si="157"/>
        <v>--</v>
      </c>
      <c r="L1919" s="2" t="str">
        <f t="shared" si="157"/>
        <v>--</v>
      </c>
      <c r="M1919" s="2" t="str">
        <f>"--"</f>
        <v>--</v>
      </c>
    </row>
    <row r="1920" spans="1:13" x14ac:dyDescent="0.3">
      <c r="A1920" s="2" t="str">
        <f>"8465"</f>
        <v>8465</v>
      </c>
      <c r="B1920" s="2" t="s">
        <v>7210</v>
      </c>
      <c r="C1920" s="2" t="s">
        <v>7211</v>
      </c>
      <c r="D1920" s="2" t="s">
        <v>6014</v>
      </c>
      <c r="E1920" s="2" t="s">
        <v>7212</v>
      </c>
      <c r="F1920" s="2" t="s">
        <v>2</v>
      </c>
      <c r="G1920" s="2" t="str">
        <f>"06-3911200"</f>
        <v>06-3911200</v>
      </c>
      <c r="H1920" s="2" t="s">
        <v>1585</v>
      </c>
      <c r="I1920" s="2" t="str">
        <f>"(02)2768-6668"</f>
        <v>(02)2768-6668</v>
      </c>
      <c r="J1920" s="2" t="str">
        <f t="shared" si="157"/>
        <v>--</v>
      </c>
      <c r="K1920" s="2" t="str">
        <f t="shared" si="157"/>
        <v>--</v>
      </c>
      <c r="L1920" s="2" t="str">
        <f t="shared" si="157"/>
        <v>--</v>
      </c>
      <c r="M1920" s="2" t="str">
        <f>"--"</f>
        <v>--</v>
      </c>
    </row>
    <row r="1921" spans="1:13" x14ac:dyDescent="0.3">
      <c r="A1921" s="2" t="str">
        <f>"8473"</f>
        <v>8473</v>
      </c>
      <c r="B1921" s="2" t="s">
        <v>7213</v>
      </c>
      <c r="C1921" s="2" t="s">
        <v>7214</v>
      </c>
      <c r="D1921" s="2" t="s">
        <v>6021</v>
      </c>
      <c r="E1921" s="2" t="s">
        <v>3403</v>
      </c>
      <c r="F1921" s="2" t="s">
        <v>2</v>
      </c>
      <c r="G1921" s="2" t="str">
        <f>"02-2100-2195"</f>
        <v>02-2100-2195</v>
      </c>
      <c r="H1921" s="2" t="s">
        <v>541</v>
      </c>
      <c r="I1921" s="2" t="str">
        <f>"02-3393-0898"</f>
        <v>02-3393-0898</v>
      </c>
      <c r="J1921" s="2" t="str">
        <f t="shared" si="157"/>
        <v>--</v>
      </c>
      <c r="K1921" s="2" t="str">
        <f t="shared" si="157"/>
        <v>--</v>
      </c>
      <c r="L1921" s="2" t="str">
        <f t="shared" si="157"/>
        <v>--</v>
      </c>
      <c r="M1921" s="2" t="str">
        <f>"否"</f>
        <v>否</v>
      </c>
    </row>
    <row r="1922" spans="1:13" x14ac:dyDescent="0.3">
      <c r="A1922" s="2"/>
      <c r="B1922" s="2"/>
      <c r="C1922" s="2"/>
      <c r="D1922" s="2"/>
      <c r="E1922" s="2"/>
      <c r="F1922" s="2"/>
      <c r="G1922" s="2"/>
      <c r="H1922" s="2"/>
      <c r="I1922" s="2"/>
      <c r="J1922" s="2"/>
      <c r="K1922" s="2"/>
      <c r="L1922" s="2"/>
      <c r="M1922" s="2"/>
    </row>
    <row r="1923" spans="1:13" x14ac:dyDescent="0.3">
      <c r="A1923" s="2" t="str">
        <f>"8476"</f>
        <v>8476</v>
      </c>
      <c r="B1923" s="2" t="s">
        <v>7215</v>
      </c>
      <c r="C1923" s="2" t="s">
        <v>7216</v>
      </c>
      <c r="D1923" s="2" t="s">
        <v>6134</v>
      </c>
      <c r="E1923" s="2" t="s">
        <v>7217</v>
      </c>
      <c r="F1923" s="2" t="s">
        <v>2</v>
      </c>
      <c r="G1923" s="2" t="str">
        <f>"(07)623-1588"</f>
        <v>(07)623-1588</v>
      </c>
      <c r="H1923" s="2" t="s">
        <v>475</v>
      </c>
      <c r="I1923" s="2" t="str">
        <f>"(02)7719-8899"</f>
        <v>(02)7719-8899</v>
      </c>
      <c r="J1923" s="2" t="str">
        <f>"自105年04月16日至105年05月13日止"</f>
        <v>自105年04月16日至105年05月13日止</v>
      </c>
      <c r="K1923" s="2" t="str">
        <f>"台灣集中保管結算所股份有限公司"</f>
        <v>台灣集中保管結算所股份有限公司</v>
      </c>
      <c r="L1923" s="2" t="str">
        <f>"http://www.stockvote.com.tw"</f>
        <v>http://www.stockvote.com.tw</v>
      </c>
      <c r="M1923" s="2" t="str">
        <f>"&lt;b&gt;&lt;font color='red'&gt;自願&lt;/font&gt;&lt;/b&gt;"</f>
        <v>&lt;b&gt;&lt;font color='red'&gt;自願&lt;/font&gt;&lt;/b&gt;</v>
      </c>
    </row>
    <row r="1924" spans="1:13" x14ac:dyDescent="0.3">
      <c r="A1924" s="2" t="str">
        <f>"8477"</f>
        <v>8477</v>
      </c>
      <c r="B1924" s="2" t="s">
        <v>7218</v>
      </c>
      <c r="C1924" s="2" t="s">
        <v>7219</v>
      </c>
      <c r="D1924" s="2" t="s">
        <v>6528</v>
      </c>
      <c r="E1924" s="2" t="s">
        <v>7220</v>
      </c>
      <c r="F1924" s="2" t="s">
        <v>2</v>
      </c>
      <c r="G1924" s="2" t="str">
        <f>"02-26552939"</f>
        <v>02-26552939</v>
      </c>
      <c r="H1924" s="2" t="s">
        <v>1926</v>
      </c>
      <c r="I1924" s="2" t="str">
        <f>"02-27035000"</f>
        <v>02-27035000</v>
      </c>
      <c r="J1924" s="2" t="str">
        <f t="shared" ref="J1924:L1938" si="158">"--"</f>
        <v>--</v>
      </c>
      <c r="K1924" s="2" t="str">
        <f t="shared" si="158"/>
        <v>--</v>
      </c>
      <c r="L1924" s="2" t="str">
        <f t="shared" si="158"/>
        <v>--</v>
      </c>
      <c r="M1924" s="2" t="str">
        <f t="shared" ref="M1924:M1932" si="159">"否"</f>
        <v>否</v>
      </c>
    </row>
    <row r="1925" spans="1:13" x14ac:dyDescent="0.3">
      <c r="A1925" s="2" t="str">
        <f>"8478"</f>
        <v>8478</v>
      </c>
      <c r="B1925" s="2" t="s">
        <v>7221</v>
      </c>
      <c r="C1925" s="2" t="s">
        <v>7222</v>
      </c>
      <c r="D1925" s="2" t="s">
        <v>6167</v>
      </c>
      <c r="E1925" s="2" t="s">
        <v>7223</v>
      </c>
      <c r="F1925" s="2" t="s">
        <v>2</v>
      </c>
      <c r="G1925" s="2" t="str">
        <f>"07-8314126"</f>
        <v>07-8314126</v>
      </c>
      <c r="H1925" s="2" t="s">
        <v>451</v>
      </c>
      <c r="I1925" s="2" t="str">
        <f>"(02)2389-2999"</f>
        <v>(02)2389-2999</v>
      </c>
      <c r="J1925" s="2" t="str">
        <f t="shared" si="158"/>
        <v>--</v>
      </c>
      <c r="K1925" s="2" t="str">
        <f t="shared" si="158"/>
        <v>--</v>
      </c>
      <c r="L1925" s="2" t="str">
        <f t="shared" si="158"/>
        <v>--</v>
      </c>
      <c r="M1925" s="2" t="str">
        <f t="shared" si="159"/>
        <v>否</v>
      </c>
    </row>
    <row r="1926" spans="1:13" x14ac:dyDescent="0.3">
      <c r="A1926" s="2" t="str">
        <f>"8481"</f>
        <v>8481</v>
      </c>
      <c r="B1926" s="2" t="s">
        <v>7224</v>
      </c>
      <c r="C1926" s="2" t="s">
        <v>7225</v>
      </c>
      <c r="D1926" s="2" t="s">
        <v>6020</v>
      </c>
      <c r="E1926" s="2" t="s">
        <v>7226</v>
      </c>
      <c r="F1926" s="2" t="s">
        <v>2</v>
      </c>
      <c r="G1926" s="2" t="str">
        <f>"04-23593687"</f>
        <v>04-23593687</v>
      </c>
      <c r="H1926" s="2" t="s">
        <v>896</v>
      </c>
      <c r="I1926" s="2" t="str">
        <f>"02-25635711"</f>
        <v>02-25635711</v>
      </c>
      <c r="J1926" s="2" t="str">
        <f t="shared" si="158"/>
        <v>--</v>
      </c>
      <c r="K1926" s="2" t="str">
        <f t="shared" si="158"/>
        <v>--</v>
      </c>
      <c r="L1926" s="2" t="str">
        <f t="shared" si="158"/>
        <v>--</v>
      </c>
      <c r="M1926" s="2" t="str">
        <f t="shared" si="159"/>
        <v>否</v>
      </c>
    </row>
    <row r="1927" spans="1:13" x14ac:dyDescent="0.3">
      <c r="A1927" s="2" t="str">
        <f>"8485"</f>
        <v>8485</v>
      </c>
      <c r="B1927" s="2" t="s">
        <v>7227</v>
      </c>
      <c r="C1927" s="2" t="s">
        <v>7228</v>
      </c>
      <c r="D1927" s="2" t="s">
        <v>6021</v>
      </c>
      <c r="E1927" s="2" t="s">
        <v>7229</v>
      </c>
      <c r="F1927" s="2" t="s">
        <v>41</v>
      </c>
      <c r="G1927" s="2" t="str">
        <f>"(05)3705538"</f>
        <v>(05)3705538</v>
      </c>
      <c r="H1927" s="2" t="s">
        <v>469</v>
      </c>
      <c r="I1927" s="2" t="str">
        <f>"(02)27468266"</f>
        <v>(02)27468266</v>
      </c>
      <c r="J1927" s="2" t="str">
        <f t="shared" si="158"/>
        <v>--</v>
      </c>
      <c r="K1927" s="2" t="str">
        <f t="shared" si="158"/>
        <v>--</v>
      </c>
      <c r="L1927" s="2" t="str">
        <f t="shared" si="158"/>
        <v>--</v>
      </c>
      <c r="M1927" s="2" t="str">
        <f t="shared" si="159"/>
        <v>否</v>
      </c>
    </row>
    <row r="1928" spans="1:13" x14ac:dyDescent="0.3">
      <c r="A1928" s="2"/>
      <c r="B1928" s="2"/>
      <c r="C1928" s="2"/>
      <c r="D1928" s="2"/>
      <c r="E1928" s="2"/>
      <c r="F1928" s="2"/>
      <c r="G1928" s="2"/>
      <c r="H1928" s="2"/>
      <c r="I1928" s="2"/>
      <c r="J1928" s="2"/>
      <c r="K1928" s="2"/>
      <c r="L1928" s="2"/>
      <c r="M1928" s="2"/>
    </row>
    <row r="1929" spans="1:13" x14ac:dyDescent="0.3">
      <c r="A1929" s="2" t="str">
        <f>"8487"</f>
        <v>8487</v>
      </c>
      <c r="B1929" s="2" t="s">
        <v>7230</v>
      </c>
      <c r="C1929" s="2" t="s">
        <v>7231</v>
      </c>
      <c r="D1929" s="2" t="s">
        <v>6037</v>
      </c>
      <c r="E1929" s="2" t="s">
        <v>7232</v>
      </c>
      <c r="F1929" s="2" t="s">
        <v>41</v>
      </c>
      <c r="G1929" s="2" t="str">
        <f>"02-23411100"</f>
        <v>02-23411100</v>
      </c>
      <c r="H1929" s="2" t="s">
        <v>431</v>
      </c>
      <c r="I1929" s="2" t="str">
        <f>"02-27023999"</f>
        <v>02-27023999</v>
      </c>
      <c r="J1929" s="2" t="str">
        <f t="shared" si="158"/>
        <v>--</v>
      </c>
      <c r="K1929" s="2" t="str">
        <f t="shared" si="158"/>
        <v>--</v>
      </c>
      <c r="L1929" s="2" t="str">
        <f t="shared" si="158"/>
        <v>--</v>
      </c>
      <c r="M1929" s="2" t="str">
        <f t="shared" si="159"/>
        <v>否</v>
      </c>
    </row>
    <row r="1930" spans="1:13" x14ac:dyDescent="0.3">
      <c r="A1930" s="2" t="str">
        <f>"8489"</f>
        <v>8489</v>
      </c>
      <c r="B1930" s="2" t="s">
        <v>7233</v>
      </c>
      <c r="C1930" s="2" t="s">
        <v>7234</v>
      </c>
      <c r="D1930" s="2" t="s">
        <v>6020</v>
      </c>
      <c r="E1930" s="2" t="s">
        <v>7235</v>
      </c>
      <c r="F1930" s="2" t="s">
        <v>2</v>
      </c>
      <c r="G1930" s="2" t="str">
        <f>"02-6635-5288"</f>
        <v>02-6635-5288</v>
      </c>
      <c r="H1930" s="2" t="s">
        <v>456</v>
      </c>
      <c r="I1930" s="2" t="str">
        <f>"02-2504-8125"</f>
        <v>02-2504-8125</v>
      </c>
      <c r="J1930" s="2" t="str">
        <f t="shared" si="158"/>
        <v>--</v>
      </c>
      <c r="K1930" s="2" t="str">
        <f t="shared" si="158"/>
        <v>--</v>
      </c>
      <c r="L1930" s="2" t="str">
        <f t="shared" si="158"/>
        <v>--</v>
      </c>
      <c r="M1930" s="2" t="str">
        <f t="shared" si="159"/>
        <v>否</v>
      </c>
    </row>
    <row r="1931" spans="1:13" x14ac:dyDescent="0.3">
      <c r="A1931" s="2"/>
      <c r="B1931" s="2"/>
      <c r="C1931" s="2"/>
      <c r="D1931" s="2"/>
      <c r="E1931" s="2"/>
      <c r="F1931" s="2"/>
      <c r="G1931" s="2"/>
      <c r="H1931" s="2"/>
      <c r="I1931" s="2"/>
      <c r="J1931" s="2"/>
      <c r="K1931" s="2"/>
      <c r="L1931" s="2"/>
      <c r="M1931" s="2"/>
    </row>
    <row r="1932" spans="1:13" x14ac:dyDescent="0.3">
      <c r="A1932" s="2" t="str">
        <f>"8490"</f>
        <v>8490</v>
      </c>
      <c r="B1932" s="2" t="s">
        <v>7236</v>
      </c>
      <c r="C1932" s="2" t="s">
        <v>7237</v>
      </c>
      <c r="D1932" s="2" t="s">
        <v>6016</v>
      </c>
      <c r="E1932" s="2" t="s">
        <v>7238</v>
      </c>
      <c r="F1932" s="2" t="s">
        <v>41</v>
      </c>
      <c r="G1932" s="2" t="str">
        <f>"02-25592777"</f>
        <v>02-25592777</v>
      </c>
      <c r="H1932" s="2" t="s">
        <v>1911</v>
      </c>
      <c r="I1932" s="2" t="str">
        <f>"02-25419977"</f>
        <v>02-25419977</v>
      </c>
      <c r="J1932" s="2" t="str">
        <f t="shared" si="158"/>
        <v>--</v>
      </c>
      <c r="K1932" s="2" t="str">
        <f t="shared" si="158"/>
        <v>--</v>
      </c>
      <c r="L1932" s="2" t="str">
        <f t="shared" si="158"/>
        <v>--</v>
      </c>
      <c r="M1932" s="2" t="str">
        <f t="shared" si="159"/>
        <v>否</v>
      </c>
    </row>
    <row r="1933" spans="1:13" x14ac:dyDescent="0.3">
      <c r="A1933" s="2" t="str">
        <f>"8491"</f>
        <v>8491</v>
      </c>
      <c r="B1933" s="2" t="s">
        <v>7239</v>
      </c>
      <c r="C1933" s="2" t="s">
        <v>7240</v>
      </c>
      <c r="D1933" s="2" t="s">
        <v>6042</v>
      </c>
      <c r="E1933" s="2" t="s">
        <v>7241</v>
      </c>
      <c r="F1933" s="2" t="s">
        <v>2</v>
      </c>
      <c r="G1933" s="2" t="str">
        <f>"0277027700"</f>
        <v>0277027700</v>
      </c>
      <c r="H1933" s="2" t="s">
        <v>465</v>
      </c>
      <c r="I1933" s="2" t="str">
        <f>"0223816288"</f>
        <v>0223816288</v>
      </c>
      <c r="J1933" s="2" t="str">
        <f t="shared" si="158"/>
        <v>--</v>
      </c>
      <c r="K1933" s="2" t="str">
        <f t="shared" si="158"/>
        <v>--</v>
      </c>
      <c r="L1933" s="2" t="str">
        <f t="shared" si="158"/>
        <v>--</v>
      </c>
      <c r="M1933" s="2" t="str">
        <f>"--"</f>
        <v>--</v>
      </c>
    </row>
    <row r="1934" spans="1:13" x14ac:dyDescent="0.3">
      <c r="A1934" s="2"/>
      <c r="B1934" s="2"/>
      <c r="C1934" s="2"/>
      <c r="D1934" s="2"/>
      <c r="E1934" s="2"/>
      <c r="F1934" s="2"/>
      <c r="G1934" s="2"/>
      <c r="H1934" s="2"/>
      <c r="I1934" s="2"/>
      <c r="J1934" s="2"/>
      <c r="K1934" s="2"/>
      <c r="L1934" s="2"/>
      <c r="M1934" s="2"/>
    </row>
    <row r="1935" spans="1:13" x14ac:dyDescent="0.3">
      <c r="A1935" s="2" t="str">
        <f>"8496"</f>
        <v>8496</v>
      </c>
      <c r="B1935" s="2" t="s">
        <v>7242</v>
      </c>
      <c r="C1935" s="2" t="s">
        <v>7243</v>
      </c>
      <c r="D1935" s="2" t="s">
        <v>6042</v>
      </c>
      <c r="E1935" s="2" t="s">
        <v>7244</v>
      </c>
      <c r="F1935" s="2" t="s">
        <v>41</v>
      </c>
      <c r="G1935" s="2" t="str">
        <f>"06-6582000"</f>
        <v>06-6582000</v>
      </c>
      <c r="H1935" s="2" t="s">
        <v>539</v>
      </c>
      <c r="I1935" s="2" t="str">
        <f>"02-25865859"</f>
        <v>02-25865859</v>
      </c>
      <c r="J1935" s="2" t="str">
        <f t="shared" si="158"/>
        <v>--</v>
      </c>
      <c r="K1935" s="2" t="str">
        <f t="shared" si="158"/>
        <v>--</v>
      </c>
      <c r="L1935" s="2" t="str">
        <f t="shared" si="158"/>
        <v>--</v>
      </c>
      <c r="M1935" s="2" t="str">
        <f>"--"</f>
        <v>--</v>
      </c>
    </row>
    <row r="1936" spans="1:13" x14ac:dyDescent="0.3">
      <c r="A1936" s="2" t="str">
        <f>"9957"</f>
        <v>9957</v>
      </c>
      <c r="B1936" s="2" t="s">
        <v>4682</v>
      </c>
      <c r="C1936" s="2" t="s">
        <v>4683</v>
      </c>
      <c r="D1936" s="2" t="s">
        <v>6010</v>
      </c>
      <c r="E1936" s="2" t="s">
        <v>7245</v>
      </c>
      <c r="F1936" s="2" t="s">
        <v>2</v>
      </c>
      <c r="G1936" s="2" t="str">
        <f>"07-6232255"</f>
        <v>07-6232255</v>
      </c>
      <c r="H1936" s="2" t="s">
        <v>4684</v>
      </c>
      <c r="I1936" s="2" t="str">
        <f>"02-23956780"</f>
        <v>02-23956780</v>
      </c>
      <c r="J1936" s="2" t="str">
        <f t="shared" si="158"/>
        <v>--</v>
      </c>
      <c r="K1936" s="2" t="str">
        <f t="shared" si="158"/>
        <v>--</v>
      </c>
      <c r="L1936" s="2" t="str">
        <f t="shared" si="158"/>
        <v>--</v>
      </c>
      <c r="M1936" s="2" t="str">
        <f>"--"</f>
        <v>--</v>
      </c>
    </row>
    <row r="1937" spans="1:13" x14ac:dyDescent="0.3">
      <c r="A1937" s="2"/>
      <c r="B1937" s="2"/>
      <c r="C1937" s="2"/>
      <c r="D1937" s="2"/>
      <c r="E1937" s="2"/>
      <c r="F1937" s="2"/>
      <c r="G1937" s="2"/>
      <c r="H1937" s="2"/>
      <c r="I1937" s="2"/>
      <c r="J1937" s="2"/>
      <c r="K1937" s="2"/>
      <c r="L1937" s="2"/>
      <c r="M1937" s="2"/>
    </row>
    <row r="1938" spans="1:13" x14ac:dyDescent="0.3">
      <c r="A1938" s="2" t="str">
        <f>"9961"</f>
        <v>9961</v>
      </c>
      <c r="B1938" s="2" t="s">
        <v>4685</v>
      </c>
      <c r="C1938" s="2" t="s">
        <v>4686</v>
      </c>
      <c r="D1938" s="2" t="s">
        <v>5999</v>
      </c>
      <c r="E1938" s="2" t="s">
        <v>4687</v>
      </c>
      <c r="F1938" s="2" t="s">
        <v>41</v>
      </c>
      <c r="G1938" s="2" t="str">
        <f>"06-2616999"</f>
        <v>06-2616999</v>
      </c>
      <c r="H1938" s="2" t="s">
        <v>456</v>
      </c>
      <c r="I1938" s="2" t="str">
        <f>"02-25048125"</f>
        <v>02-25048125</v>
      </c>
      <c r="J1938" s="2" t="str">
        <f t="shared" si="158"/>
        <v>--</v>
      </c>
      <c r="K1938" s="2" t="str">
        <f t="shared" si="158"/>
        <v>--</v>
      </c>
      <c r="L1938" s="2" t="str">
        <f t="shared" si="158"/>
        <v>--</v>
      </c>
      <c r="M1938" s="2" t="str">
        <f>"否"</f>
        <v>否</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2" x14ac:dyDescent="0.3"/>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address</vt:lpstr>
      <vt:lpstr>工作表3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2016-04-20T04:26:13Z</dcterms:modified>
</cp:coreProperties>
</file>