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0490" windowHeight="765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15" i="1" l="1"/>
  <c r="AI10" i="1"/>
  <c r="AI11" i="1"/>
  <c r="AI12" i="1"/>
  <c r="AI13" i="1"/>
  <c r="AI14" i="1"/>
  <c r="AI9" i="1"/>
  <c r="AH15" i="1"/>
  <c r="AG15" i="1"/>
  <c r="AG10" i="1"/>
  <c r="AH10" i="1"/>
  <c r="AG11" i="1"/>
  <c r="AH11" i="1"/>
  <c r="AG12" i="1"/>
  <c r="AH12" i="1"/>
  <c r="AG13" i="1"/>
  <c r="AH13" i="1"/>
  <c r="AG14" i="1"/>
  <c r="AH14" i="1"/>
  <c r="AH9" i="1"/>
  <c r="AG9" i="1"/>
  <c r="AG8" i="1" a="1"/>
  <c r="AG8" i="1" s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9" i="1"/>
  <c r="V10" i="1" a="1"/>
  <c r="V10" i="1" s="1"/>
  <c r="W10" i="1" s="1"/>
  <c r="V11" i="1" a="1"/>
  <c r="V11" i="1" s="1"/>
  <c r="W11" i="1" s="1"/>
  <c r="V12" i="1" a="1"/>
  <c r="V12" i="1"/>
  <c r="W12" i="1"/>
  <c r="V13" i="1" a="1"/>
  <c r="V13" i="1" s="1"/>
  <c r="W13" i="1" s="1"/>
  <c r="V14" i="1" a="1"/>
  <c r="V14" i="1" s="1"/>
  <c r="W14" i="1" s="1"/>
  <c r="V15" i="1" a="1"/>
  <c r="V15" i="1" s="1"/>
  <c r="W15" i="1" s="1"/>
  <c r="V16" i="1" a="1"/>
  <c r="V16" i="1"/>
  <c r="W16" i="1"/>
  <c r="V17" i="1" a="1"/>
  <c r="V17" i="1" s="1"/>
  <c r="W17" i="1" s="1"/>
  <c r="V18" i="1" a="1"/>
  <c r="V18" i="1" s="1"/>
  <c r="W18" i="1" s="1"/>
  <c r="V19" i="1" a="1"/>
  <c r="V19" i="1" s="1"/>
  <c r="W19" i="1" s="1"/>
  <c r="V20" i="1" a="1"/>
  <c r="V20" i="1" s="1"/>
  <c r="W20" i="1" s="1"/>
  <c r="V21" i="1" a="1"/>
  <c r="V21" i="1" s="1"/>
  <c r="W21" i="1" s="1"/>
  <c r="V22" i="1" a="1"/>
  <c r="V22" i="1" s="1"/>
  <c r="W22" i="1" s="1"/>
  <c r="V23" i="1" a="1"/>
  <c r="V23" i="1" s="1"/>
  <c r="W23" i="1" s="1"/>
  <c r="V24" i="1" a="1"/>
  <c r="V24" i="1" s="1"/>
  <c r="W24" i="1" s="1"/>
  <c r="V25" i="1" a="1"/>
  <c r="V25" i="1" s="1"/>
  <c r="W25" i="1" s="1"/>
  <c r="V26" i="1" a="1"/>
  <c r="V26" i="1" s="1"/>
  <c r="W26" i="1" s="1"/>
  <c r="V27" i="1" a="1"/>
  <c r="V27" i="1" s="1"/>
  <c r="W27" i="1" s="1"/>
  <c r="V28" i="1" a="1"/>
  <c r="V28" i="1"/>
  <c r="W28" i="1"/>
  <c r="V29" i="1" a="1"/>
  <c r="V29" i="1" s="1"/>
  <c r="W29" i="1" s="1"/>
  <c r="V30" i="1" a="1"/>
  <c r="V30" i="1" s="1"/>
  <c r="W30" i="1" s="1"/>
  <c r="V31" i="1" a="1"/>
  <c r="V31" i="1" s="1"/>
  <c r="W31" i="1" s="1"/>
  <c r="V32" i="1" a="1"/>
  <c r="V32" i="1" s="1"/>
  <c r="W32" i="1" s="1"/>
  <c r="W9" i="1"/>
  <c r="V9" i="1" a="1"/>
  <c r="V9" i="1" s="1"/>
  <c r="Z17" i="1"/>
  <c r="Y17" i="1"/>
  <c r="Y13" i="1" a="1"/>
  <c r="Y13" i="1" s="1"/>
  <c r="P21" i="1" a="1"/>
  <c r="AB8" i="1" a="1"/>
  <c r="Y9" i="1" a="1"/>
  <c r="S37" i="1" a="1"/>
  <c r="S33" i="1" a="1"/>
  <c r="S29" i="1" a="1"/>
  <c r="S25" i="1" a="1"/>
  <c r="S21" i="1" a="1"/>
  <c r="S17" i="1" a="1"/>
  <c r="S13" i="1" a="1"/>
  <c r="S9" i="1" a="1"/>
  <c r="P25" i="1" a="1"/>
  <c r="AH8" i="1" l="1"/>
  <c r="AB8" i="1"/>
  <c r="AC8" i="1"/>
  <c r="AB9" i="1"/>
  <c r="AC9" i="1"/>
  <c r="AB10" i="1"/>
  <c r="AC10" i="1"/>
  <c r="AB11" i="1"/>
  <c r="AC11" i="1"/>
  <c r="AB12" i="1"/>
  <c r="AC12" i="1"/>
  <c r="Y14" i="1"/>
  <c r="Z13" i="1"/>
  <c r="Z14" i="1"/>
  <c r="Y10" i="1"/>
  <c r="Y9" i="1"/>
  <c r="Z9" i="1"/>
  <c r="Z10" i="1"/>
  <c r="S37" i="1"/>
  <c r="T38" i="1"/>
  <c r="T37" i="1"/>
  <c r="S38" i="1"/>
  <c r="S33" i="1"/>
  <c r="T33" i="1"/>
  <c r="S34" i="1"/>
  <c r="T34" i="1"/>
  <c r="S29" i="1"/>
  <c r="T29" i="1"/>
  <c r="S30" i="1"/>
  <c r="T30" i="1"/>
  <c r="S25" i="1"/>
  <c r="T25" i="1"/>
  <c r="S26" i="1"/>
  <c r="T26" i="1"/>
  <c r="S21" i="1"/>
  <c r="T21" i="1"/>
  <c r="S22" i="1"/>
  <c r="T22" i="1"/>
  <c r="S17" i="1"/>
  <c r="T17" i="1"/>
  <c r="S18" i="1"/>
  <c r="T18" i="1"/>
  <c r="S13" i="1"/>
  <c r="T13" i="1"/>
  <c r="S14" i="1"/>
  <c r="T14" i="1"/>
  <c r="S9" i="1"/>
  <c r="T9" i="1"/>
  <c r="S10" i="1"/>
  <c r="T10" i="1"/>
  <c r="P25" i="1"/>
  <c r="Q26" i="1"/>
  <c r="Q22" i="1" s="1"/>
  <c r="Q25" i="1"/>
  <c r="Q21" i="1" s="1"/>
  <c r="P26" i="1"/>
  <c r="P22" i="1" s="1"/>
  <c r="P21" i="1"/>
  <c r="P17" i="1" a="1"/>
  <c r="P13" i="1" a="1"/>
  <c r="P9" i="1" a="1"/>
  <c r="I24" i="1"/>
  <c r="I23" i="1" a="1"/>
  <c r="I22" i="1" a="1"/>
  <c r="I21" i="1" a="1"/>
  <c r="I18" i="1"/>
  <c r="I17" i="1" a="1"/>
  <c r="I16" i="1" a="1"/>
  <c r="I15" i="1" a="1"/>
  <c r="I12" i="1"/>
  <c r="I11" i="1" a="1"/>
  <c r="I10" i="1" a="1"/>
  <c r="I9" i="1" a="1"/>
  <c r="P17" i="1" l="1"/>
  <c r="Q17" i="1"/>
  <c r="P18" i="1"/>
  <c r="Q18" i="1"/>
  <c r="P13" i="1"/>
  <c r="Q13" i="1"/>
  <c r="P14" i="1"/>
  <c r="Q14" i="1"/>
  <c r="P9" i="1"/>
  <c r="Q9" i="1"/>
  <c r="Q10" i="1"/>
  <c r="P10" i="1"/>
  <c r="I23" i="1"/>
  <c r="M23" i="1"/>
  <c r="N23" i="1"/>
  <c r="J23" i="1"/>
  <c r="K23" i="1"/>
  <c r="L23" i="1"/>
  <c r="I22" i="1"/>
  <c r="J22" i="1"/>
  <c r="K22" i="1"/>
  <c r="L22" i="1"/>
  <c r="M22" i="1"/>
  <c r="N22" i="1"/>
  <c r="M21" i="1"/>
  <c r="N21" i="1"/>
  <c r="I21" i="1"/>
  <c r="J21" i="1"/>
  <c r="K21" i="1"/>
  <c r="L21" i="1"/>
  <c r="I17" i="1"/>
  <c r="M17" i="1"/>
  <c r="N17" i="1"/>
  <c r="J17" i="1"/>
  <c r="K17" i="1"/>
  <c r="L17" i="1"/>
  <c r="I16" i="1"/>
  <c r="M16" i="1"/>
  <c r="N16" i="1"/>
  <c r="J16" i="1"/>
  <c r="K16" i="1"/>
  <c r="L16" i="1"/>
  <c r="K15" i="1"/>
  <c r="I15" i="1"/>
  <c r="L15" i="1"/>
  <c r="M15" i="1"/>
  <c r="N15" i="1"/>
  <c r="J15" i="1"/>
  <c r="M11" i="1"/>
  <c r="N11" i="1"/>
  <c r="I11" i="1"/>
  <c r="J11" i="1"/>
  <c r="K11" i="1"/>
  <c r="L11" i="1"/>
  <c r="M10" i="1"/>
  <c r="N10" i="1"/>
  <c r="I10" i="1"/>
  <c r="J10" i="1"/>
  <c r="K10" i="1"/>
  <c r="L10" i="1"/>
  <c r="N9" i="1"/>
  <c r="I9" i="1"/>
  <c r="J9" i="1"/>
  <c r="L9" i="1"/>
  <c r="M9" i="1"/>
  <c r="K9" i="1"/>
</calcChain>
</file>

<file path=xl/sharedStrings.xml><?xml version="1.0" encoding="utf-8"?>
<sst xmlns="http://schemas.openxmlformats.org/spreadsheetml/2006/main" count="129" uniqueCount="41">
  <si>
    <t>Gender</t>
  </si>
  <si>
    <t>Economic</t>
  </si>
  <si>
    <t>Kindeness</t>
  </si>
  <si>
    <t>Optimism</t>
  </si>
  <si>
    <t>Male</t>
  </si>
  <si>
    <t>Female</t>
  </si>
  <si>
    <t>Wealthy</t>
  </si>
  <si>
    <t>Middle</t>
  </si>
  <si>
    <t>Poor</t>
  </si>
  <si>
    <t>Two-Way MANOVA</t>
  </si>
  <si>
    <t>fact A</t>
  </si>
  <si>
    <t>stat</t>
  </si>
  <si>
    <t>df1</t>
  </si>
  <si>
    <t>df2</t>
  </si>
  <si>
    <t>F</t>
  </si>
  <si>
    <t>p-value</t>
  </si>
  <si>
    <t>part eta-sq</t>
  </si>
  <si>
    <t>Pillai Trace</t>
  </si>
  <si>
    <t>Wilk's Lambda</t>
  </si>
  <si>
    <t>Hotelling Trace</t>
  </si>
  <si>
    <t>Roy's Lg Root</t>
  </si>
  <si>
    <t>fact B</t>
  </si>
  <si>
    <t>fact AB</t>
  </si>
  <si>
    <t>SSCP Matrices</t>
  </si>
  <si>
    <t>Tot</t>
  </si>
  <si>
    <t>Row (A)</t>
  </si>
  <si>
    <t>Column (B)</t>
  </si>
  <si>
    <t>Interaction (AB)</t>
  </si>
  <si>
    <t>Res</t>
  </si>
  <si>
    <t>Group Covariance Matrices</t>
  </si>
  <si>
    <t>Pooled covariance matrix</t>
  </si>
  <si>
    <t>Correlation matrix</t>
  </si>
  <si>
    <t>Outliers via Mahalanobis D-squared</t>
  </si>
  <si>
    <t>D-sq</t>
  </si>
  <si>
    <t>Covariance Matrix</t>
  </si>
  <si>
    <t>Inverse of Covariance Matrix</t>
  </si>
  <si>
    <t>Mean vector</t>
  </si>
  <si>
    <t>Box's Test</t>
  </si>
  <si>
    <t>Group Means</t>
  </si>
  <si>
    <t>Count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</si>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</sst>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novo\Download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Dict"/>
      <sheetName val="ADict"/>
    </sheetNames>
    <definedNames>
      <definedName name="CORR"/>
      <definedName name="COV"/>
      <definedName name="COV2Pooled"/>
      <definedName name="Extract2Cov"/>
      <definedName name="MANOVA2_BOX"/>
      <definedName name="MANOVA2_Col"/>
      <definedName name="MANOVA2_HotelCol"/>
      <definedName name="MANOVA2_HotelInt"/>
      <definedName name="MANOVA2_HotelRow"/>
      <definedName name="MANOVA2_PillaiCol"/>
      <definedName name="MANOVA2_PillaiInt"/>
      <definedName name="MANOVA2_PillaiRow"/>
      <definedName name="MANOVA2_Res"/>
      <definedName name="MANOVA2_Row"/>
      <definedName name="MANOVA2_RoyCol"/>
      <definedName name="MANOVA2_RoyInt"/>
      <definedName name="MANOVA2_RoyRow"/>
      <definedName name="MANOVA2_Tot"/>
      <definedName name="MANOVA2_WilksCol"/>
      <definedName name="MANOVA2_WilksInt"/>
      <definedName name="MANOVA2_WilksRow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I38"/>
  <sheetViews>
    <sheetView tabSelected="1" topLeftCell="G2" workbookViewId="0">
      <selection activeCell="H12" sqref="H12"/>
    </sheetView>
  </sheetViews>
  <sheetFormatPr defaultRowHeight="15" x14ac:dyDescent="0.25"/>
  <sheetData>
    <row r="3" spans="2:35" x14ac:dyDescent="0.25">
      <c r="B3" t="s">
        <v>0</v>
      </c>
      <c r="C3" t="s">
        <v>1</v>
      </c>
      <c r="D3" t="s">
        <v>2</v>
      </c>
      <c r="E3" t="s">
        <v>3</v>
      </c>
    </row>
    <row r="4" spans="2:35" x14ac:dyDescent="0.25">
      <c r="B4" t="s">
        <v>4</v>
      </c>
      <c r="C4" t="s">
        <v>6</v>
      </c>
      <c r="D4">
        <v>5</v>
      </c>
      <c r="E4">
        <v>3</v>
      </c>
    </row>
    <row r="5" spans="2:35" x14ac:dyDescent="0.25">
      <c r="B5" t="s">
        <v>4</v>
      </c>
      <c r="C5" t="s">
        <v>6</v>
      </c>
      <c r="D5">
        <v>4</v>
      </c>
      <c r="E5">
        <v>6</v>
      </c>
    </row>
    <row r="6" spans="2:35" x14ac:dyDescent="0.25">
      <c r="B6" t="s">
        <v>4</v>
      </c>
      <c r="C6" t="s">
        <v>6</v>
      </c>
      <c r="D6">
        <v>3</v>
      </c>
      <c r="E6">
        <v>4</v>
      </c>
      <c r="H6" t="s">
        <v>9</v>
      </c>
      <c r="P6" t="s">
        <v>23</v>
      </c>
      <c r="S6" t="s">
        <v>29</v>
      </c>
      <c r="V6" t="s">
        <v>32</v>
      </c>
      <c r="AB6" t="s">
        <v>37</v>
      </c>
      <c r="AF6" t="s">
        <v>38</v>
      </c>
    </row>
    <row r="7" spans="2:35" ht="15.75" thickBot="1" x14ac:dyDescent="0.3">
      <c r="B7" t="s">
        <v>4</v>
      </c>
      <c r="C7" t="s">
        <v>6</v>
      </c>
      <c r="D7">
        <v>2</v>
      </c>
      <c r="E7">
        <v>4</v>
      </c>
    </row>
    <row r="8" spans="2:35" ht="15.75" thickTop="1" x14ac:dyDescent="0.25">
      <c r="B8" t="s">
        <v>4</v>
      </c>
      <c r="C8" t="s">
        <v>7</v>
      </c>
      <c r="D8">
        <v>4</v>
      </c>
      <c r="E8">
        <v>6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P8" t="s">
        <v>24</v>
      </c>
      <c r="S8" t="s">
        <v>5</v>
      </c>
      <c r="T8" t="s">
        <v>7</v>
      </c>
      <c r="V8" s="7" t="s">
        <v>33</v>
      </c>
      <c r="W8" s="7" t="s">
        <v>15</v>
      </c>
      <c r="Y8" t="s">
        <v>34</v>
      </c>
      <c r="AB8" t="str">
        <f t="array" ref="AB8:AC12">[1]!MANOVA2_BOX(B4:E27,TRUE)</f>
        <v>M-stat</v>
      </c>
      <c r="AC8" s="13">
        <v>16.56713886168551</v>
      </c>
      <c r="AG8" s="7" t="str">
        <f t="array" ref="AG8:AH8">$D$3:$E$3</f>
        <v>Kindeness</v>
      </c>
      <c r="AH8" s="7" t="str">
        <v>Optimism</v>
      </c>
      <c r="AI8" s="7" t="s">
        <v>39</v>
      </c>
    </row>
    <row r="9" spans="2:35" x14ac:dyDescent="0.25">
      <c r="B9" t="s">
        <v>4</v>
      </c>
      <c r="C9" t="s">
        <v>7</v>
      </c>
      <c r="D9">
        <v>3</v>
      </c>
      <c r="E9">
        <v>6</v>
      </c>
      <c r="H9" t="s">
        <v>17</v>
      </c>
      <c r="I9">
        <f t="array" ref="I9:N9">TRANSPOSE([1]!MANOVA2_PillaiRow(B4:E27))</f>
        <v>0.41174842593233246</v>
      </c>
      <c r="J9">
        <v>2</v>
      </c>
      <c r="K9">
        <v>17</v>
      </c>
      <c r="L9">
        <v>5.9496000940955085</v>
      </c>
      <c r="M9">
        <v>1.099730658575937E-2</v>
      </c>
      <c r="N9">
        <v>0.41174842593233246</v>
      </c>
      <c r="P9" s="3">
        <f t="array" ref="P9:Q10">[1]!MANOVA2_Tot(B4:E27)</f>
        <v>104.95833333333334</v>
      </c>
      <c r="Q9" s="4">
        <v>59.958333333333329</v>
      </c>
      <c r="S9" s="3">
        <f t="array" ref="S9:T10">[1]!Extract2Cov(B4:E27,S8,T8)</f>
        <v>1.6666666666666665</v>
      </c>
      <c r="T9" s="4">
        <v>2</v>
      </c>
      <c r="V9" s="3">
        <f t="array" ref="V9">MMULT(D4:E4-$Y$17:$Z$17,MMULT($Y$13:$Z$14,TRANSPOSE(D4:E4-$Y$17:$Z$17)))</f>
        <v>1.1607665191014922</v>
      </c>
      <c r="W9" s="4">
        <f>_xlfn.CHISQ.DIST.RT(V9,COUNT($D$4:$E$4))</f>
        <v>0.55968382128485883</v>
      </c>
      <c r="X9" s="12" t="str">
        <f>IF(W9&lt;0.001,"*","")</f>
        <v/>
      </c>
      <c r="Y9" s="3">
        <f t="array" ref="Y9:Z10">[1]!COV(D4:E27)</f>
        <v>4.5634057971014492</v>
      </c>
      <c r="Z9" s="4">
        <v>2.6068840579710146</v>
      </c>
      <c r="AB9" t="str">
        <v>df1</v>
      </c>
      <c r="AC9" s="14">
        <v>15</v>
      </c>
      <c r="AE9" t="s">
        <v>5</v>
      </c>
      <c r="AF9" t="s">
        <v>7</v>
      </c>
      <c r="AG9" s="3">
        <f>AVERAGEIFS(D$4:D$27,$B$4:$B$27,$AE9,$C$4:$C$27,$AF9)</f>
        <v>7.5</v>
      </c>
      <c r="AH9" s="4">
        <f>AVERAGEIFS(E$4:E$27,$B$4:$B$27,$AE9,$C$4:$C$27,$AF9)</f>
        <v>7</v>
      </c>
      <c r="AI9" s="13">
        <f>COUNTIFS($B$4:$B$27,AE9,$C$4:$C$27,AF9)</f>
        <v>4</v>
      </c>
    </row>
    <row r="10" spans="2:35" x14ac:dyDescent="0.25">
      <c r="B10" t="s">
        <v>4</v>
      </c>
      <c r="C10" t="s">
        <v>7</v>
      </c>
      <c r="D10">
        <v>5</v>
      </c>
      <c r="E10">
        <v>4</v>
      </c>
      <c r="H10" t="s">
        <v>18</v>
      </c>
      <c r="I10">
        <f t="array" ref="I10:N10">TRANSPOSE([1]!MANOVA2_WilksRow(B4:E27))</f>
        <v>0.58825157406766759</v>
      </c>
      <c r="J10">
        <v>2</v>
      </c>
      <c r="K10">
        <v>17</v>
      </c>
      <c r="L10">
        <v>5.9496000940955076</v>
      </c>
      <c r="M10">
        <v>1.099730658575937E-2</v>
      </c>
      <c r="N10">
        <v>0.41174842593233241</v>
      </c>
      <c r="P10" s="5">
        <v>59.958333333333329</v>
      </c>
      <c r="Q10" s="6">
        <v>114.95833333333333</v>
      </c>
      <c r="S10" s="5">
        <v>2</v>
      </c>
      <c r="T10" s="6">
        <v>3.333333333333333</v>
      </c>
      <c r="V10" s="10">
        <f t="array" ref="V10">MMULT(D5:E5-$Y$17:$Z$17,MMULT($Y$13:$Z$14,TRANSPOSE(D5:E5-$Y$17:$Z$17)))</f>
        <v>0.92544925397606181</v>
      </c>
      <c r="W10" s="11">
        <f t="shared" ref="W10:W32" si="0">_xlfn.CHISQ.DIST.RT(V10,COUNT($D$4:$E$4))</f>
        <v>0.62956597411879311</v>
      </c>
      <c r="X10" s="12" t="str">
        <f t="shared" ref="X10:X32" si="1">IF(W10&lt;0.001,"*","")</f>
        <v/>
      </c>
      <c r="Y10" s="5">
        <v>2.6068840579710146</v>
      </c>
      <c r="Z10" s="6">
        <v>4.9981884057971007</v>
      </c>
      <c r="AB10" t="str">
        <v>df2</v>
      </c>
      <c r="AC10" s="14">
        <v>1772.1866931479592</v>
      </c>
      <c r="AE10" t="s">
        <v>5</v>
      </c>
      <c r="AF10" t="s">
        <v>8</v>
      </c>
      <c r="AG10" s="10">
        <f t="shared" ref="AG10:AG14" si="2">AVERAGEIFS(D$4:D$27,$B$4:$B$27,$AE10,$C$4:$C$27,$AF10)</f>
        <v>6.25</v>
      </c>
      <c r="AH10" s="11">
        <f t="shared" ref="AH10:AH14" si="3">AVERAGEIFS(E$4:E$27,$B$4:$B$27,$AE10,$C$4:$C$27,$AF10)</f>
        <v>7.75</v>
      </c>
      <c r="AI10" s="14">
        <f t="shared" ref="AI10:AI14" si="4">COUNTIFS($B$4:$B$27,AE10,$C$4:$C$27,AF10)</f>
        <v>4</v>
      </c>
    </row>
    <row r="11" spans="2:35" x14ac:dyDescent="0.25">
      <c r="B11" t="s">
        <v>4</v>
      </c>
      <c r="C11" t="s">
        <v>7</v>
      </c>
      <c r="D11">
        <v>5</v>
      </c>
      <c r="E11">
        <v>5</v>
      </c>
      <c r="H11" t="s">
        <v>19</v>
      </c>
      <c r="I11">
        <f t="array" ref="I11:N11">TRANSPOSE([1]!MANOVA2_HotelRow(B4:E27))</f>
        <v>0.69995295224653042</v>
      </c>
      <c r="J11">
        <v>2</v>
      </c>
      <c r="K11">
        <v>17</v>
      </c>
      <c r="L11">
        <v>5.9496000940955085</v>
      </c>
      <c r="M11">
        <v>1.099730658575937E-2</v>
      </c>
      <c r="N11">
        <v>0.41174842593233246</v>
      </c>
      <c r="V11" s="10">
        <f t="array" ref="V11">MMULT(D6:E6-$Y$17:$Z$17,MMULT($Y$13:$Z$14,TRANSPOSE(D6:E6-$Y$17:$Z$17)))</f>
        <v>0.91786932283981004</v>
      </c>
      <c r="W11" s="11">
        <f t="shared" si="0"/>
        <v>0.63195653469323154</v>
      </c>
      <c r="X11" s="12" t="str">
        <f t="shared" si="1"/>
        <v/>
      </c>
      <c r="AB11" t="str">
        <v>F-stat</v>
      </c>
      <c r="AC11" s="14">
        <v>0.78491976375486772</v>
      </c>
      <c r="AE11" t="s">
        <v>5</v>
      </c>
      <c r="AF11" t="s">
        <v>6</v>
      </c>
      <c r="AG11" s="10">
        <f t="shared" si="2"/>
        <v>3.5</v>
      </c>
      <c r="AH11" s="11">
        <f t="shared" si="3"/>
        <v>3.25</v>
      </c>
      <c r="AI11" s="14">
        <f t="shared" si="4"/>
        <v>4</v>
      </c>
    </row>
    <row r="12" spans="2:35" x14ac:dyDescent="0.25">
      <c r="B12" t="s">
        <v>4</v>
      </c>
      <c r="C12" t="s">
        <v>8</v>
      </c>
      <c r="D12">
        <v>7</v>
      </c>
      <c r="E12">
        <v>5</v>
      </c>
      <c r="H12" s="2" t="s">
        <v>20</v>
      </c>
      <c r="I12" s="2">
        <f>[1]!MANOVA2_RoyRow(B4:E27)</f>
        <v>0.69995295224653042</v>
      </c>
      <c r="J12" s="2"/>
      <c r="K12" s="2"/>
      <c r="L12" s="2"/>
      <c r="M12" s="2"/>
      <c r="N12" s="2"/>
      <c r="P12" t="s">
        <v>25</v>
      </c>
      <c r="S12" t="s">
        <v>5</v>
      </c>
      <c r="T12" t="s">
        <v>8</v>
      </c>
      <c r="V12" s="10">
        <f t="array" ref="V12">MMULT(D7:E7-$Y$17:$Z$17,MMULT($Y$13:$Z$14,TRANSPOSE(D7:E7-$Y$17:$Z$17)))</f>
        <v>2.1653902279062143</v>
      </c>
      <c r="W12" s="11">
        <f t="shared" si="0"/>
        <v>0.33868150924779045</v>
      </c>
      <c r="X12" s="12" t="str">
        <f t="shared" si="1"/>
        <v/>
      </c>
      <c r="Y12" t="s">
        <v>35</v>
      </c>
      <c r="AB12" t="str">
        <v>p-value</v>
      </c>
      <c r="AC12" s="15">
        <v>0.69576098818506682</v>
      </c>
      <c r="AE12" t="s">
        <v>4</v>
      </c>
      <c r="AF12" t="s">
        <v>7</v>
      </c>
      <c r="AG12" s="10">
        <f t="shared" si="2"/>
        <v>4.25</v>
      </c>
      <c r="AH12" s="11">
        <f t="shared" si="3"/>
        <v>5.25</v>
      </c>
      <c r="AI12" s="14">
        <f t="shared" si="4"/>
        <v>4</v>
      </c>
    </row>
    <row r="13" spans="2:35" ht="15.75" thickBot="1" x14ac:dyDescent="0.3">
      <c r="B13" t="s">
        <v>4</v>
      </c>
      <c r="C13" t="s">
        <v>8</v>
      </c>
      <c r="D13">
        <v>4</v>
      </c>
      <c r="E13">
        <v>3</v>
      </c>
      <c r="P13" s="3">
        <f t="array" ref="P13:Q14">[1]!MANOVA2_Row(B4:E27)</f>
        <v>12.041666666666671</v>
      </c>
      <c r="Q13" s="4">
        <v>16.291666666666671</v>
      </c>
      <c r="S13" s="3">
        <f t="array" ref="S13:T14">[1]!Extract2Cov(B4:E27,S12,T12)</f>
        <v>7.583333333333333</v>
      </c>
      <c r="T13" s="4">
        <v>2.083333333333333</v>
      </c>
      <c r="V13" s="10">
        <f t="array" ref="V13">MMULT(D8:E8-$Y$17:$Z$17,MMULT($Y$13:$Z$14,TRANSPOSE(D8:E8-$Y$17:$Z$17)))</f>
        <v>0.92544925397606181</v>
      </c>
      <c r="W13" s="11">
        <f t="shared" si="0"/>
        <v>0.62956597411879311</v>
      </c>
      <c r="X13" s="12" t="str">
        <f t="shared" si="1"/>
        <v/>
      </c>
      <c r="Y13" s="3">
        <f t="array" ref="Y13:Z14">MINVERSE(Y9:Z10)</f>
        <v>0.31213477619281854</v>
      </c>
      <c r="Z13" s="4">
        <v>-0.16279881947860309</v>
      </c>
      <c r="AE13" t="s">
        <v>4</v>
      </c>
      <c r="AF13" t="s">
        <v>8</v>
      </c>
      <c r="AG13" s="10">
        <f t="shared" si="2"/>
        <v>5.25</v>
      </c>
      <c r="AH13" s="11">
        <f t="shared" si="3"/>
        <v>2.75</v>
      </c>
      <c r="AI13" s="14">
        <f t="shared" si="4"/>
        <v>4</v>
      </c>
    </row>
    <row r="14" spans="2:35" ht="15.75" thickTop="1" x14ac:dyDescent="0.25">
      <c r="B14" t="s">
        <v>4</v>
      </c>
      <c r="C14" t="s">
        <v>8</v>
      </c>
      <c r="D14">
        <v>3</v>
      </c>
      <c r="E14">
        <v>1</v>
      </c>
      <c r="H14" s="1" t="s">
        <v>21</v>
      </c>
      <c r="I14" s="1" t="s">
        <v>11</v>
      </c>
      <c r="J14" s="1" t="s">
        <v>12</v>
      </c>
      <c r="K14" s="1" t="s">
        <v>13</v>
      </c>
      <c r="L14" s="1" t="s">
        <v>14</v>
      </c>
      <c r="M14" s="1" t="s">
        <v>15</v>
      </c>
      <c r="N14" s="1" t="s">
        <v>16</v>
      </c>
      <c r="P14" s="5">
        <v>16.291666666666671</v>
      </c>
      <c r="Q14" s="6">
        <v>22.041666666666671</v>
      </c>
      <c r="S14" s="5">
        <v>2.083333333333333</v>
      </c>
      <c r="T14" s="6">
        <v>0.91666666666666663</v>
      </c>
      <c r="V14" s="10">
        <f t="array" ref="V14">MMULT(D9:E9-$Y$17:$Z$17,MMULT($Y$13:$Z$14,TRANSPOSE(D9:E9-$Y$17:$Z$17)))</f>
        <v>2.1998958845712417</v>
      </c>
      <c r="W14" s="11">
        <f t="shared" si="0"/>
        <v>0.33288841265692887</v>
      </c>
      <c r="X14" s="12" t="str">
        <f t="shared" si="1"/>
        <v/>
      </c>
      <c r="Y14" s="5">
        <v>-0.16279881947860309</v>
      </c>
      <c r="Z14" s="6">
        <v>0.28498278406296118</v>
      </c>
      <c r="AE14" t="s">
        <v>4</v>
      </c>
      <c r="AF14" t="s">
        <v>6</v>
      </c>
      <c r="AG14" s="5">
        <f t="shared" si="2"/>
        <v>3.5</v>
      </c>
      <c r="AH14" s="6">
        <f t="shared" si="3"/>
        <v>4.25</v>
      </c>
      <c r="AI14" s="15">
        <f t="shared" si="4"/>
        <v>4</v>
      </c>
    </row>
    <row r="15" spans="2:35" x14ac:dyDescent="0.25">
      <c r="B15" t="s">
        <v>4</v>
      </c>
      <c r="C15" t="s">
        <v>8</v>
      </c>
      <c r="D15">
        <v>7</v>
      </c>
      <c r="E15">
        <v>2</v>
      </c>
      <c r="H15" t="s">
        <v>17</v>
      </c>
      <c r="I15">
        <f t="array" ref="I15:N15">TRANSPOSE([1]!MANOVA2_PillaiCol(B4:E27))</f>
        <v>0.51728431663207819</v>
      </c>
      <c r="J15">
        <v>4</v>
      </c>
      <c r="K15">
        <v>36</v>
      </c>
      <c r="L15">
        <v>3.1398864272574576</v>
      </c>
      <c r="M15">
        <v>2.5880786350272578E-2</v>
      </c>
      <c r="N15">
        <v>0.25864215831603909</v>
      </c>
      <c r="V15" s="10">
        <f t="array" ref="V15">MMULT(D10:E10-$Y$17:$Z$17,MMULT($Y$13:$Z$14,TRANSPOSE(D10:E10-$Y$17:$Z$17)))</f>
        <v>0.29563616986391228</v>
      </c>
      <c r="W15" s="11">
        <f t="shared" si="0"/>
        <v>0.86258801842812471</v>
      </c>
      <c r="X15" s="12" t="str">
        <f t="shared" si="1"/>
        <v/>
      </c>
      <c r="AF15" t="s">
        <v>40</v>
      </c>
      <c r="AG15" s="8">
        <f>AVERAGE(D$4:D$27)</f>
        <v>5.041666666666667</v>
      </c>
      <c r="AH15" s="9">
        <f>AVERAGE(E$4:E$27)</f>
        <v>5.041666666666667</v>
      </c>
      <c r="AI15" s="16">
        <f>SUM(AI9:AI14)</f>
        <v>24</v>
      </c>
    </row>
    <row r="16" spans="2:35" x14ac:dyDescent="0.25">
      <c r="B16" t="s">
        <v>5</v>
      </c>
      <c r="C16" t="s">
        <v>6</v>
      </c>
      <c r="D16">
        <v>2</v>
      </c>
      <c r="E16">
        <v>3</v>
      </c>
      <c r="H16" t="s">
        <v>18</v>
      </c>
      <c r="I16">
        <f t="array" ref="I16:N16">TRANSPOSE([1]!MANOVA2_WilksCol(B4:E27))</f>
        <v>0.71001476081080606</v>
      </c>
      <c r="J16">
        <v>4</v>
      </c>
      <c r="K16">
        <v>34</v>
      </c>
      <c r="L16">
        <v>3.471582098227604</v>
      </c>
      <c r="M16">
        <v>1.7562313840489896E-2</v>
      </c>
      <c r="N16">
        <v>0.28998523918919394</v>
      </c>
      <c r="P16" t="s">
        <v>26</v>
      </c>
      <c r="S16" t="s">
        <v>5</v>
      </c>
      <c r="T16" t="s">
        <v>6</v>
      </c>
      <c r="V16" s="10">
        <f t="array" ref="V16">MMULT(D11:E11-$Y$17:$Z$17,MMULT($Y$13:$Z$14,TRANSPOSE(D11:E11-$Y$17:$Z$17)))</f>
        <v>4.7138875225447463E-4</v>
      </c>
      <c r="W16" s="11">
        <f t="shared" si="0"/>
        <v>0.99976433339761017</v>
      </c>
      <c r="X16" s="12" t="str">
        <f t="shared" si="1"/>
        <v/>
      </c>
      <c r="Y16" t="s">
        <v>36</v>
      </c>
    </row>
    <row r="17" spans="2:26" x14ac:dyDescent="0.25">
      <c r="B17" t="s">
        <v>5</v>
      </c>
      <c r="C17" t="s">
        <v>6</v>
      </c>
      <c r="D17">
        <v>3</v>
      </c>
      <c r="E17">
        <v>5</v>
      </c>
      <c r="H17" t="s">
        <v>19</v>
      </c>
      <c r="I17">
        <f t="array" ref="I17:N17">TRANSPOSE([1]!MANOVA2_HotelCol(B4:E27))</f>
        <v>0.94119030816278526</v>
      </c>
      <c r="J17">
        <v>4</v>
      </c>
      <c r="K17">
        <v>32</v>
      </c>
      <c r="L17">
        <v>3.764761232651141</v>
      </c>
      <c r="M17">
        <v>1.2789835709234865E-2</v>
      </c>
      <c r="N17">
        <v>0.32000319923218429</v>
      </c>
      <c r="P17" s="3">
        <f t="array" ref="P17:Q18">[1]!MANOVA2_Col(B4:E27)</f>
        <v>28.583333333333336</v>
      </c>
      <c r="Q17" s="4">
        <v>24.333333333333336</v>
      </c>
      <c r="S17" s="3">
        <f t="array" ref="S17:T18">[1]!Extract2Cov(B4:E27,S16,T16)</f>
        <v>1.6666666666666665</v>
      </c>
      <c r="T17" s="4">
        <v>-0.5</v>
      </c>
      <c r="V17" s="10">
        <f t="array" ref="V17">MMULT(D12:E12-$Y$17:$Z$17,MMULT($Y$13:$Z$14,TRANSPOSE(D12:E12-$Y$17:$Z$17)))</f>
        <v>1.2241211674044929</v>
      </c>
      <c r="W17" s="11">
        <f t="shared" si="0"/>
        <v>0.54223240187247879</v>
      </c>
      <c r="X17" s="12" t="str">
        <f t="shared" si="1"/>
        <v/>
      </c>
      <c r="Y17" s="8">
        <f>AVERAGE(D4:D27)</f>
        <v>5.041666666666667</v>
      </c>
      <c r="Z17" s="9">
        <f>AVERAGE(E4:E27)</f>
        <v>5.041666666666667</v>
      </c>
    </row>
    <row r="18" spans="2:26" x14ac:dyDescent="0.25">
      <c r="B18" t="s">
        <v>5</v>
      </c>
      <c r="C18" t="s">
        <v>6</v>
      </c>
      <c r="D18">
        <v>5</v>
      </c>
      <c r="E18">
        <v>3</v>
      </c>
      <c r="H18" s="2" t="s">
        <v>20</v>
      </c>
      <c r="I18" s="2">
        <f>[1]!MANOVA2_RoyCol(B4:E27)</f>
        <v>0.89367812648564882</v>
      </c>
      <c r="J18" s="2"/>
      <c r="K18" s="2"/>
      <c r="L18" s="2"/>
      <c r="M18" s="2"/>
      <c r="N18" s="2"/>
      <c r="P18" s="5">
        <v>24.333333333333336</v>
      </c>
      <c r="Q18" s="6">
        <v>23.083333333333336</v>
      </c>
      <c r="S18" s="5">
        <v>-0.5</v>
      </c>
      <c r="T18" s="6">
        <v>1.5833333333333333</v>
      </c>
      <c r="V18" s="10">
        <f t="array" ref="V18">MMULT(D13:E13-$Y$17:$Z$17,MMULT($Y$13:$Z$14,TRANSPOSE(D13:E13-$Y$17:$Z$17)))</f>
        <v>0.83415068043941665</v>
      </c>
      <c r="W18" s="11">
        <f t="shared" si="0"/>
        <v>0.65897127103352315</v>
      </c>
      <c r="X18" s="12" t="str">
        <f t="shared" si="1"/>
        <v/>
      </c>
    </row>
    <row r="19" spans="2:26" ht="15.75" thickBot="1" x14ac:dyDescent="0.3">
      <c r="B19" t="s">
        <v>5</v>
      </c>
      <c r="C19" t="s">
        <v>6</v>
      </c>
      <c r="D19">
        <v>4</v>
      </c>
      <c r="E19">
        <v>2</v>
      </c>
      <c r="V19" s="10">
        <f t="array" ref="V19">MMULT(D14:E14-$Y$17:$Z$17,MMULT($Y$13:$Z$14,TRANSPOSE(D14:E14-$Y$17:$Z$17)))</f>
        <v>3.269571241187081</v>
      </c>
      <c r="W19" s="11">
        <f t="shared" si="0"/>
        <v>0.19499416955301183</v>
      </c>
      <c r="X19" s="12" t="str">
        <f t="shared" si="1"/>
        <v/>
      </c>
    </row>
    <row r="20" spans="2:26" ht="15.75" thickTop="1" x14ac:dyDescent="0.25">
      <c r="B20" t="s">
        <v>5</v>
      </c>
      <c r="C20" t="s">
        <v>7</v>
      </c>
      <c r="D20">
        <v>9</v>
      </c>
      <c r="E20">
        <v>8</v>
      </c>
      <c r="H20" s="1" t="s">
        <v>22</v>
      </c>
      <c r="I20" s="1" t="s">
        <v>11</v>
      </c>
      <c r="J20" s="1" t="s">
        <v>12</v>
      </c>
      <c r="K20" s="1" t="s">
        <v>13</v>
      </c>
      <c r="L20" s="1" t="s">
        <v>14</v>
      </c>
      <c r="M20" s="1" t="s">
        <v>15</v>
      </c>
      <c r="N20" s="1" t="s">
        <v>16</v>
      </c>
      <c r="P20" t="s">
        <v>27</v>
      </c>
      <c r="S20" t="s">
        <v>4</v>
      </c>
      <c r="T20" t="s">
        <v>7</v>
      </c>
      <c r="V20" s="10">
        <f t="array" ref="V20">MMULT(D15:E15-$Y$17:$Z$17,MMULT($Y$13:$Z$14,TRANSPOSE(D15:E15-$Y$17:$Z$17)))</f>
        <v>5.7730980488604704</v>
      </c>
      <c r="W20" s="11">
        <f t="shared" si="0"/>
        <v>5.5768336079492373E-2</v>
      </c>
      <c r="X20" s="12" t="str">
        <f t="shared" si="1"/>
        <v/>
      </c>
    </row>
    <row r="21" spans="2:26" x14ac:dyDescent="0.25">
      <c r="B21" t="s">
        <v>5</v>
      </c>
      <c r="C21" t="s">
        <v>7</v>
      </c>
      <c r="D21">
        <v>6</v>
      </c>
      <c r="E21">
        <v>5</v>
      </c>
      <c r="H21" t="s">
        <v>17</v>
      </c>
      <c r="I21">
        <f t="array" ref="I21:N21">TRANSPOSE([1]!MANOVA2_PillaiInt(B4:E27))</f>
        <v>0.70378950350018221</v>
      </c>
      <c r="J21">
        <v>4</v>
      </c>
      <c r="K21">
        <v>36</v>
      </c>
      <c r="L21">
        <v>4.886633419962072</v>
      </c>
      <c r="M21">
        <v>2.9851547129692291E-3</v>
      </c>
      <c r="N21">
        <v>0.35189475175009111</v>
      </c>
      <c r="P21" s="3">
        <f t="array" ref="P21:Q22">P9:Q10-P13:Q14-P17:Q18-P25:Q26</f>
        <v>11.08333333333335</v>
      </c>
      <c r="Q21" s="4">
        <v>5.0833333333333215</v>
      </c>
      <c r="S21" s="3">
        <f t="array" ref="S21:T22">[1]!Extract2Cov(B4:E27,S20,T20)</f>
        <v>0.91666666666666663</v>
      </c>
      <c r="T21" s="4">
        <v>-0.75</v>
      </c>
      <c r="V21" s="10">
        <f t="array" ref="V21">MMULT(D16:E16-$Y$17:$Z$17,MMULT($Y$13:$Z$14,TRANSPOSE(D16:E16-$Y$17:$Z$17)))</f>
        <v>2.0537276602721763</v>
      </c>
      <c r="W21" s="11">
        <f t="shared" si="0"/>
        <v>0.35812835255884645</v>
      </c>
      <c r="X21" s="12" t="str">
        <f t="shared" si="1"/>
        <v/>
      </c>
    </row>
    <row r="22" spans="2:26" x14ac:dyDescent="0.25">
      <c r="B22" t="s">
        <v>5</v>
      </c>
      <c r="C22" t="s">
        <v>7</v>
      </c>
      <c r="D22">
        <v>7</v>
      </c>
      <c r="E22">
        <v>6</v>
      </c>
      <c r="H22" t="s">
        <v>18</v>
      </c>
      <c r="I22">
        <f t="array" ref="I22:N22">TRANSPOSE([1]!MANOVA2_WilksInt(B4:E27))</f>
        <v>0.6221198762717628</v>
      </c>
      <c r="J22">
        <v>4</v>
      </c>
      <c r="K22">
        <v>34</v>
      </c>
      <c r="L22">
        <v>5.162961631990866</v>
      </c>
      <c r="M22">
        <v>2.3253860055640896E-3</v>
      </c>
      <c r="N22">
        <v>0.3778801237282372</v>
      </c>
      <c r="P22" s="5">
        <v>5.0833333333333215</v>
      </c>
      <c r="Q22" s="6">
        <v>36.083333333333314</v>
      </c>
      <c r="S22" s="5">
        <v>-0.75</v>
      </c>
      <c r="T22" s="6">
        <v>0.91666666666666663</v>
      </c>
      <c r="V22" s="10">
        <f t="array" ref="V22">MMULT(D17:E17-$Y$17:$Z$17,MMULT($Y$13:$Z$14,TRANSPOSE(D17:E17-$Y$17:$Z$17)))</f>
        <v>1.2738998196425644</v>
      </c>
      <c r="W22" s="11">
        <f t="shared" si="0"/>
        <v>0.52890316869642207</v>
      </c>
      <c r="X22" s="12" t="str">
        <f t="shared" si="1"/>
        <v/>
      </c>
    </row>
    <row r="23" spans="2:26" x14ac:dyDescent="0.25">
      <c r="B23" t="s">
        <v>5</v>
      </c>
      <c r="C23" t="s">
        <v>7</v>
      </c>
      <c r="D23">
        <v>8</v>
      </c>
      <c r="E23">
        <v>9</v>
      </c>
      <c r="H23" t="s">
        <v>19</v>
      </c>
      <c r="I23">
        <f t="array" ref="I23:N23">TRANSPOSE([1]!MANOVA2_HotelInt(B4:E27))</f>
        <v>1.3490943307457066</v>
      </c>
      <c r="J23">
        <v>4</v>
      </c>
      <c r="K23">
        <v>32</v>
      </c>
      <c r="L23">
        <v>5.3963773229828265</v>
      </c>
      <c r="M23">
        <v>1.9476770110458119E-3</v>
      </c>
      <c r="N23">
        <v>0.40282362857343534</v>
      </c>
      <c r="V23" s="10">
        <f t="array" ref="V23">MMULT(D18:E18-$Y$17:$Z$17,MMULT($Y$13:$Z$14,TRANSPOSE(D18:E18-$Y$17:$Z$17)))</f>
        <v>1.1607665191014922</v>
      </c>
      <c r="W23" s="11">
        <f t="shared" si="0"/>
        <v>0.55968382128485883</v>
      </c>
      <c r="X23" s="12" t="str">
        <f t="shared" si="1"/>
        <v/>
      </c>
    </row>
    <row r="24" spans="2:26" x14ac:dyDescent="0.25">
      <c r="B24" t="s">
        <v>5</v>
      </c>
      <c r="C24" t="s">
        <v>8</v>
      </c>
      <c r="D24">
        <v>8</v>
      </c>
      <c r="E24">
        <v>9</v>
      </c>
      <c r="H24" s="2" t="s">
        <v>20</v>
      </c>
      <c r="I24" s="2">
        <f>[1]!MANOVA2_RoyInt(B4:E27)</f>
        <v>1.1439618424566191</v>
      </c>
      <c r="J24" s="2"/>
      <c r="K24" s="2"/>
      <c r="L24" s="2"/>
      <c r="M24" s="2"/>
      <c r="N24" s="2"/>
      <c r="P24" t="s">
        <v>28</v>
      </c>
      <c r="S24" t="s">
        <v>4</v>
      </c>
      <c r="T24" t="s">
        <v>8</v>
      </c>
      <c r="V24" s="10">
        <f t="array" ref="V24">MMULT(D19:E19-$Y$17:$Z$17,MMULT($Y$13:$Z$14,TRANSPOSE(D19:E19-$Y$17:$Z$17)))</f>
        <v>1.9436489588457131</v>
      </c>
      <c r="W24" s="11">
        <f t="shared" si="0"/>
        <v>0.37839203944891708</v>
      </c>
      <c r="X24" s="12" t="str">
        <f t="shared" si="1"/>
        <v/>
      </c>
    </row>
    <row r="25" spans="2:26" x14ac:dyDescent="0.25">
      <c r="B25" t="s">
        <v>5</v>
      </c>
      <c r="C25" t="s">
        <v>8</v>
      </c>
      <c r="D25">
        <v>9</v>
      </c>
      <c r="E25">
        <v>8</v>
      </c>
      <c r="P25" s="3">
        <f t="array" ref="P25:Q26">[1]!MANOVA2_Res(B4:E27)</f>
        <v>53.249999999999993</v>
      </c>
      <c r="Q25" s="4">
        <v>14.25</v>
      </c>
      <c r="S25" s="3">
        <f t="array" ref="S25:T26">[1]!Extract2Cov(B4:E27,S24,T24)</f>
        <v>4.25</v>
      </c>
      <c r="T25" s="4">
        <v>2.083333333333333</v>
      </c>
      <c r="V25" s="10">
        <f t="array" ref="V25">MMULT(D20:E20-$Y$17:$Z$17,MMULT($Y$13:$Z$14,TRANSPOSE(D20:E20-$Y$17:$Z$17)))</f>
        <v>3.5719765535333661</v>
      </c>
      <c r="W25" s="11">
        <f t="shared" si="0"/>
        <v>0.1676313129792312</v>
      </c>
      <c r="X25" s="12" t="str">
        <f t="shared" si="1"/>
        <v/>
      </c>
    </row>
    <row r="26" spans="2:26" x14ac:dyDescent="0.25">
      <c r="B26" t="s">
        <v>5</v>
      </c>
      <c r="C26" t="s">
        <v>8</v>
      </c>
      <c r="D26">
        <v>3</v>
      </c>
      <c r="E26">
        <v>7</v>
      </c>
      <c r="P26" s="5">
        <v>14.25</v>
      </c>
      <c r="Q26" s="6">
        <v>33.75</v>
      </c>
      <c r="S26" s="5">
        <v>2.083333333333333</v>
      </c>
      <c r="T26" s="6">
        <v>2.9166666666666665</v>
      </c>
      <c r="V26" s="10">
        <f t="array" ref="V26">MMULT(D21:E21-$Y$17:$Z$17,MMULT($Y$13:$Z$14,TRANSPOSE(D21:E21-$Y$17:$Z$17)))</f>
        <v>0.30016150188555496</v>
      </c>
      <c r="W26" s="11">
        <f t="shared" si="0"/>
        <v>0.86063847625064549</v>
      </c>
      <c r="X26" s="12" t="str">
        <f t="shared" si="1"/>
        <v/>
      </c>
    </row>
    <row r="27" spans="2:26" x14ac:dyDescent="0.25">
      <c r="B27" t="s">
        <v>5</v>
      </c>
      <c r="C27" t="s">
        <v>8</v>
      </c>
      <c r="D27">
        <v>5</v>
      </c>
      <c r="E27">
        <v>7</v>
      </c>
      <c r="V27" s="10">
        <f t="array" ref="V27">MMULT(D22:E22-$Y$17:$Z$17,MMULT($Y$13:$Z$14,TRANSPOSE(D22:E22-$Y$17:$Z$17)))</f>
        <v>0.84772667650434497</v>
      </c>
      <c r="W27" s="11">
        <f t="shared" si="0"/>
        <v>0.65451332273181073</v>
      </c>
      <c r="X27" s="12" t="str">
        <f t="shared" si="1"/>
        <v/>
      </c>
    </row>
    <row r="28" spans="2:26" x14ac:dyDescent="0.25">
      <c r="S28" t="s">
        <v>4</v>
      </c>
      <c r="T28" t="s">
        <v>6</v>
      </c>
      <c r="V28" s="10">
        <f t="array" ref="V28">MMULT(D23:E23-$Y$17:$Z$17,MMULT($Y$13:$Z$14,TRANSPOSE(D23:E23-$Y$17:$Z$17)))</f>
        <v>3.3841752746351856</v>
      </c>
      <c r="W28" s="11">
        <f t="shared" si="0"/>
        <v>0.18413471595844036</v>
      </c>
      <c r="X28" s="12" t="str">
        <f t="shared" si="1"/>
        <v/>
      </c>
    </row>
    <row r="29" spans="2:26" x14ac:dyDescent="0.25">
      <c r="S29" s="3">
        <f t="array" ref="S29:T30">[1]!Extract2Cov(B4:E27,S28,T28)</f>
        <v>1.6666666666666665</v>
      </c>
      <c r="T29" s="4">
        <v>-0.16666666666666666</v>
      </c>
      <c r="V29" s="10">
        <f t="array" ref="V29">MMULT(D24:E24-$Y$17:$Z$17,MMULT($Y$13:$Z$14,TRANSPOSE(D24:E24-$Y$17:$Z$17)))</f>
        <v>3.3841752746351856</v>
      </c>
      <c r="W29" s="11">
        <f t="shared" si="0"/>
        <v>0.18413471595844036</v>
      </c>
      <c r="X29" s="12" t="str">
        <f t="shared" si="1"/>
        <v/>
      </c>
    </row>
    <row r="30" spans="2:26" x14ac:dyDescent="0.25">
      <c r="S30" s="5">
        <v>-0.16666666666666666</v>
      </c>
      <c r="T30" s="6">
        <v>1.5833333333333333</v>
      </c>
      <c r="V30" s="10">
        <f t="array" ref="V30">MMULT(D25:E25-$Y$17:$Z$17,MMULT($Y$13:$Z$14,TRANSPOSE(D25:E25-$Y$17:$Z$17)))</f>
        <v>3.5719765535333661</v>
      </c>
      <c r="W30" s="11">
        <f t="shared" si="0"/>
        <v>0.1676313129792312</v>
      </c>
      <c r="X30" s="12" t="str">
        <f t="shared" si="1"/>
        <v/>
      </c>
    </row>
    <row r="31" spans="2:26" x14ac:dyDescent="0.25">
      <c r="V31" s="10">
        <f t="array" ref="V31">MMULT(D26:E26-$Y$17:$Z$17,MMULT($Y$13:$Z$14,TRANSPOSE(D26:E26-$Y$17:$Z$17)))</f>
        <v>3.695857517625841</v>
      </c>
      <c r="W31" s="11">
        <f t="shared" si="0"/>
        <v>0.15756317991848809</v>
      </c>
      <c r="X31" s="12" t="str">
        <f t="shared" si="1"/>
        <v/>
      </c>
    </row>
    <row r="32" spans="2:26" x14ac:dyDescent="0.25">
      <c r="S32" t="s">
        <v>30</v>
      </c>
      <c r="V32" s="5">
        <f t="array" ref="V32">MMULT(D27:E27-$Y$17:$Z$17,MMULT($Y$13:$Z$14,TRANSPOSE(D27:E27-$Y$17:$Z$17)))</f>
        <v>1.1200385309067062</v>
      </c>
      <c r="W32" s="6">
        <f t="shared" si="0"/>
        <v>0.57119805935324408</v>
      </c>
      <c r="X32" s="12" t="str">
        <f t="shared" si="1"/>
        <v/>
      </c>
    </row>
    <row r="33" spans="19:20" x14ac:dyDescent="0.25">
      <c r="S33" s="3">
        <f t="array" ref="S33:T34">[1]!COV2Pooled(B4:E27)</f>
        <v>2.958333333333333</v>
      </c>
      <c r="T33" s="4">
        <v>0.79166666666666663</v>
      </c>
    </row>
    <row r="34" spans="19:20" x14ac:dyDescent="0.25">
      <c r="S34" s="5">
        <v>0.79166666666666663</v>
      </c>
      <c r="T34" s="6">
        <v>1.875</v>
      </c>
    </row>
    <row r="36" spans="19:20" x14ac:dyDescent="0.25">
      <c r="S36" t="s">
        <v>31</v>
      </c>
    </row>
    <row r="37" spans="19:20" x14ac:dyDescent="0.25">
      <c r="S37" s="3">
        <f t="array" ref="S37:T38">[1]!CORR(D4:E27)</f>
        <v>0.99999999999999967</v>
      </c>
      <c r="T37" s="4">
        <v>0.54584691478716008</v>
      </c>
    </row>
    <row r="38" spans="19:20" x14ac:dyDescent="0.25">
      <c r="S38" s="5">
        <v>0.54584691478716008</v>
      </c>
      <c r="T38" s="6">
        <v>0.99999999999999978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2022-11-29T03:42:52Z</dcterms:created>
  <dcterms:modified xsi:type="dcterms:W3CDTF">2022-11-29T03:49:23Z</dcterms:modified>
</cp:coreProperties>
</file>