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60c\AC\Temp\"/>
    </mc:Choice>
  </mc:AlternateContent>
  <xr:revisionPtr revIDLastSave="19" documentId="8_{FDBC4A09-B386-4A45-B83B-C6D565F937BC}" xr6:coauthVersionLast="47" xr6:coauthVersionMax="47" xr10:uidLastSave="{023B2CD1-419D-4E8D-93DA-AA52711AF678}"/>
  <bookViews>
    <workbookView xWindow="-60" yWindow="-60" windowWidth="15480" windowHeight="11640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externalReferences>
    <externalReference r:id="rId6"/>
  </externalReferences>
  <definedNames>
    <definedName name="_xlnm.Print_Area" localSheetId="0">Sheet1!$A$1:$AB$26</definedName>
    <definedName name="_xlnm.Print_Area" localSheetId="2">Sheet2!$A$1:$H$22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H2" i="5"/>
  <c r="H3" i="5"/>
  <c r="H4" i="5"/>
  <c r="H5" i="5"/>
  <c r="H6" i="5"/>
  <c r="H7" i="5"/>
  <c r="H1" i="5"/>
  <c r="E12" i="1"/>
  <c r="C10" i="1"/>
  <c r="R10" i="1"/>
  <c r="R11" i="1"/>
  <c r="R12" i="1"/>
  <c r="R13" i="1"/>
  <c r="R14" i="1"/>
  <c r="R15" i="1"/>
  <c r="R18" i="1"/>
  <c r="R24" i="1"/>
  <c r="E16" i="1"/>
  <c r="E10" i="1"/>
  <c r="E11" i="1"/>
  <c r="E13" i="1"/>
  <c r="E14" i="1"/>
  <c r="E15" i="1"/>
  <c r="E17" i="1"/>
  <c r="E18" i="1"/>
  <c r="E24" i="1"/>
  <c r="M17" i="1"/>
  <c r="N17" i="1"/>
  <c r="P17" i="1"/>
  <c r="M18" i="1"/>
  <c r="C18" i="1"/>
  <c r="N18" i="1"/>
  <c r="T11" i="1"/>
  <c r="M16" i="1"/>
  <c r="J15" i="1"/>
  <c r="J11" i="1"/>
  <c r="J12" i="1"/>
  <c r="J13" i="1"/>
  <c r="J14" i="1"/>
  <c r="J24" i="1"/>
  <c r="H15" i="1"/>
  <c r="G15" i="1"/>
  <c r="M14" i="1"/>
  <c r="L14" i="1"/>
  <c r="H14" i="1"/>
  <c r="G14" i="1"/>
  <c r="G11" i="1"/>
  <c r="G12" i="1"/>
  <c r="G13" i="1"/>
  <c r="G24" i="1"/>
  <c r="M13" i="1"/>
  <c r="L13" i="1"/>
  <c r="C13" i="1"/>
  <c r="F13" i="1"/>
  <c r="H13" i="1"/>
  <c r="I13" i="1"/>
  <c r="K13" i="1"/>
  <c r="N13" i="1"/>
  <c r="M12" i="1"/>
  <c r="I12" i="1"/>
  <c r="I11" i="1"/>
  <c r="I14" i="1"/>
  <c r="I15" i="1"/>
  <c r="I24" i="1"/>
  <c r="H12" i="1"/>
  <c r="F12" i="1"/>
  <c r="M11" i="1"/>
  <c r="F11" i="1"/>
  <c r="C11" i="1"/>
  <c r="H11" i="1"/>
  <c r="K11" i="1"/>
  <c r="L11" i="1"/>
  <c r="N11" i="1"/>
  <c r="P11" i="1"/>
  <c r="E30" i="1"/>
  <c r="L10" i="1"/>
  <c r="M10" i="1"/>
  <c r="N10" i="1"/>
  <c r="P15" i="1"/>
  <c r="X15" i="1"/>
  <c r="X11" i="1"/>
  <c r="L12" i="1"/>
  <c r="L24" i="1"/>
  <c r="W24" i="1"/>
  <c r="M15" i="1"/>
  <c r="C14" i="1"/>
  <c r="F14" i="1"/>
  <c r="P14" i="1"/>
  <c r="X14" i="1"/>
  <c r="P13" i="1"/>
  <c r="C16" i="1"/>
  <c r="P16" i="1"/>
  <c r="X17" i="1"/>
  <c r="Y17" i="1"/>
  <c r="F15" i="1"/>
  <c r="P10" i="1"/>
  <c r="P9" i="1"/>
  <c r="X9" i="1"/>
  <c r="N9" i="1"/>
  <c r="Y9" i="1"/>
  <c r="P8" i="1"/>
  <c r="X8" i="1"/>
  <c r="Q24" i="1"/>
  <c r="S24" i="1"/>
  <c r="U24" i="1"/>
  <c r="V24" i="1"/>
  <c r="B16" i="2"/>
  <c r="B17" i="2"/>
  <c r="K15" i="1"/>
  <c r="K14" i="1"/>
  <c r="B15" i="2"/>
  <c r="D24" i="1"/>
  <c r="O24" i="1"/>
  <c r="K12" i="1"/>
  <c r="B11" i="2"/>
  <c r="B12" i="2"/>
  <c r="B13" i="2"/>
  <c r="B14" i="2"/>
  <c r="B10" i="2"/>
  <c r="B49" i="2"/>
  <c r="B48" i="2"/>
  <c r="B47" i="2"/>
  <c r="B46" i="2"/>
  <c r="P21" i="1"/>
  <c r="X21" i="1"/>
  <c r="N21" i="1"/>
  <c r="P20" i="1"/>
  <c r="X20" i="1"/>
  <c r="N20" i="1"/>
  <c r="P22" i="1"/>
  <c r="X22" i="1"/>
  <c r="N22" i="1"/>
  <c r="N8" i="1"/>
  <c r="N23" i="1"/>
  <c r="P23" i="1"/>
  <c r="X23" i="1"/>
  <c r="K24" i="1"/>
  <c r="Y22" i="1"/>
  <c r="Y21" i="1"/>
  <c r="Y8" i="1"/>
  <c r="Y20" i="1"/>
  <c r="AC23" i="1"/>
  <c r="Y23" i="1"/>
  <c r="X16" i="1"/>
  <c r="T24" i="1"/>
  <c r="N15" i="1"/>
  <c r="N14" i="1"/>
  <c r="F24" i="1"/>
  <c r="P12" i="1"/>
  <c r="P18" i="1"/>
  <c r="X18" i="1"/>
  <c r="C24" i="1"/>
  <c r="Y15" i="1"/>
  <c r="Y14" i="1"/>
  <c r="X13" i="1"/>
  <c r="Y13" i="1"/>
  <c r="P24" i="1"/>
  <c r="M24" i="1"/>
  <c r="N12" i="1"/>
  <c r="E31" i="1"/>
  <c r="X12" i="1"/>
  <c r="Y11" i="1"/>
  <c r="Y12" i="1"/>
  <c r="X10" i="1"/>
  <c r="N16" i="1"/>
  <c r="Y10" i="1"/>
  <c r="X24" i="1"/>
  <c r="Y16" i="1"/>
  <c r="Y24" i="1"/>
  <c r="N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Tekcom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Tekcom:</t>
        </r>
        <r>
          <rPr>
            <sz val="9"/>
            <color indexed="81"/>
            <rFont val="Tahoma"/>
            <family val="2"/>
          </rPr>
          <t xml:space="preserve">
500/เดือน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Tekcom:</t>
        </r>
        <r>
          <rPr>
            <sz val="9"/>
            <color indexed="81"/>
            <rFont val="Tahoma"/>
            <family val="2"/>
          </rPr>
          <t xml:space="preserve">
500/เดือน</t>
        </r>
      </text>
    </comment>
    <comment ref="K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Tekcom:</t>
        </r>
        <r>
          <rPr>
            <sz val="9"/>
            <color indexed="81"/>
            <rFont val="Tahoma"/>
            <family val="2"/>
          </rPr>
          <t xml:space="preserve">
30/วัน</t>
        </r>
      </text>
    </comment>
    <comment ref="F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Tekcom:
เอกสาร 300
รูป 200
</t>
        </r>
      </text>
    </comment>
    <comment ref="G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Tekcom:</t>
        </r>
        <r>
          <rPr>
            <sz val="9"/>
            <color indexed="81"/>
            <rFont val="Tahoma"/>
            <family val="2"/>
          </rPr>
          <t xml:space="preserve">
500/เดือน</t>
        </r>
      </text>
    </comment>
    <comment ref="E1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Tekcom:</t>
        </r>
        <r>
          <rPr>
            <sz val="9"/>
            <color indexed="81"/>
            <rFont val="Tahoma"/>
            <family val="2"/>
          </rPr>
          <t xml:space="preserve">
เบี้ยขยัน 1000
</t>
        </r>
      </text>
    </comment>
    <comment ref="E1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Tekcom:</t>
        </r>
        <r>
          <rPr>
            <sz val="9"/>
            <color indexed="81"/>
            <rFont val="Tahoma"/>
            <family val="2"/>
          </rPr>
          <t xml:space="preserve">
เบี้ยขยัน 1000
</t>
        </r>
      </text>
    </comment>
    <comment ref="E1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Tekcom:</t>
        </r>
        <r>
          <rPr>
            <sz val="9"/>
            <color indexed="81"/>
            <rFont val="Tahoma"/>
            <family val="2"/>
          </rPr>
          <t xml:space="preserve">
เบี้ยขยัน 1000
</t>
        </r>
      </text>
    </comment>
  </commentList>
</comments>
</file>

<file path=xl/sharedStrings.xml><?xml version="1.0" encoding="utf-8"?>
<sst xmlns="http://schemas.openxmlformats.org/spreadsheetml/2006/main" count="133" uniqueCount="107">
  <si>
    <t>KR Design &amp; Cons Ltd;Part.</t>
  </si>
  <si>
    <t>Operating Report</t>
  </si>
  <si>
    <t>Project</t>
  </si>
  <si>
    <t>สำนักงาน</t>
  </si>
  <si>
    <t>ประจำเดือน</t>
  </si>
  <si>
    <t xml:space="preserve">พฤศจิกายน </t>
  </si>
  <si>
    <t>ลำดับ</t>
  </si>
  <si>
    <t>รายชื่อ</t>
  </si>
  <si>
    <t>รายได้</t>
  </si>
  <si>
    <t>รวมรายได้</t>
  </si>
  <si>
    <t>รายการหัก</t>
  </si>
  <si>
    <t>รวมหัก</t>
  </si>
  <si>
    <t>คงเหลือ</t>
  </si>
  <si>
    <t>เลขที่บัญชี</t>
  </si>
  <si>
    <t>หมายเหตุ</t>
  </si>
  <si>
    <t>เงินกู้คงเหลือ</t>
  </si>
  <si>
    <t>เงินเดือน</t>
  </si>
  <si>
    <t>โทรศัพท์</t>
  </si>
  <si>
    <t>เบี้ยขยัน</t>
  </si>
  <si>
    <t>ค่าจป.</t>
  </si>
  <si>
    <t>ใบงาน</t>
  </si>
  <si>
    <t>work</t>
  </si>
  <si>
    <t xml:space="preserve">รายงาน </t>
  </si>
  <si>
    <t>เบี้ยเลี้ยง</t>
  </si>
  <si>
    <t>อื่น ๆ</t>
  </si>
  <si>
    <t>OT</t>
  </si>
  <si>
    <t>เงินยืม</t>
  </si>
  <si>
    <t>ปกส.</t>
  </si>
  <si>
    <t>ภาษี</t>
  </si>
  <si>
    <t>ขาด/สาย</t>
  </si>
  <si>
    <t xml:space="preserve">เงินกู้ </t>
  </si>
  <si>
    <t>สหกรณ์</t>
  </si>
  <si>
    <t>ค่าไฟ</t>
  </si>
  <si>
    <t>ติดลบเดิม</t>
  </si>
  <si>
    <t>kyt</t>
  </si>
  <si>
    <t>ตรวจ</t>
  </si>
  <si>
    <t>kbank</t>
  </si>
  <si>
    <t>พร้อมเพย์</t>
  </si>
  <si>
    <t>นายวิชาญ  กิติโสภากุล</t>
  </si>
  <si>
    <t>026 2 63867 7</t>
  </si>
  <si>
    <t>3 1014 00515 32 1</t>
  </si>
  <si>
    <t>นางรัตนาภรณ์  กิติโสภากุล</t>
  </si>
  <si>
    <t>733 2 30642 6</t>
  </si>
  <si>
    <t>3 1009 00830 26 7</t>
  </si>
  <si>
    <t xml:space="preserve">kyt 500 แยกเป็นเอกสาร กับรุปถ่ายกับคนงาน ต้องเวียนกันทำ </t>
  </si>
  <si>
    <t>ม่วงน้อย-สระบุรีเปลี่ยนเป็น 20</t>
  </si>
  <si>
    <t>น.ส.กุลนันท์  ชาสะอาด</t>
  </si>
  <si>
    <t>146 2 71788 8</t>
  </si>
  <si>
    <t>3 1903 00149 79 0</t>
  </si>
  <si>
    <t>รายงาน 500</t>
  </si>
  <si>
    <t>ม่วงน้อย -กท 80</t>
  </si>
  <si>
    <t>นายเกียรติยศ  ศรีสลวยกุล</t>
  </si>
  <si>
    <t>139 2 89512 0</t>
  </si>
  <si>
    <t>4 1012 00020 30 0</t>
  </si>
  <si>
    <t>ประชุม 500</t>
  </si>
  <si>
    <t>ม่วงน้อย-เขาวง 30</t>
  </si>
  <si>
    <t>น.ส.จันทร์อัมพร  นวนศรี(แอน)</t>
  </si>
  <si>
    <t>358 2 32234 0</t>
  </si>
  <si>
    <t>1 1999 00411 14 2</t>
  </si>
  <si>
    <t>ข้างนอก 30  กท 80</t>
  </si>
  <si>
    <t>แคมป์ -กท 80</t>
  </si>
  <si>
    <t>นายอดิศักดิ์ ตอรบรัมย์(ศักดิ์)</t>
  </si>
  <si>
    <t>SCB 436 024334 2</t>
  </si>
  <si>
    <t>นายสมพงษ์ อาจกล้า(พงษ์)</t>
  </si>
  <si>
    <t>ธกส. 020 0 8736167 9</t>
  </si>
  <si>
    <t>นางสาวเยาวลักษณ์ วงษ์สีดา</t>
  </si>
  <si>
    <t xml:space="preserve">507 2 59962 6 </t>
  </si>
  <si>
    <t>3 1904 00055 42 6</t>
  </si>
  <si>
    <t>นายชนะชล ชาสะอาด</t>
  </si>
  <si>
    <t>469 2 12552 0</t>
  </si>
  <si>
    <t xml:space="preserve">kbank </t>
  </si>
  <si>
    <t>นายวุฒิชัย กิติโสภากุล</t>
  </si>
  <si>
    <t>นายณัฐพล  สุขสุทิพย์(นิว)</t>
  </si>
  <si>
    <t xml:space="preserve">  </t>
  </si>
  <si>
    <t xml:space="preserve"> 091 8 06470 2</t>
  </si>
  <si>
    <t xml:space="preserve">kbank ชาย สุขสุทิพย์ </t>
  </si>
  <si>
    <t>รวม</t>
  </si>
  <si>
    <t xml:space="preserve">ของพี่แก้ว โอนเพิ่มค่าเช่าออฟฟิศ        </t>
  </si>
  <si>
    <t>KTB140-0-26850-8</t>
  </si>
  <si>
    <t>ยศ</t>
  </si>
  <si>
    <t>KTB140-0-27853-8</t>
  </si>
  <si>
    <t xml:space="preserve">เล็ก </t>
  </si>
  <si>
    <t>จอย Total</t>
  </si>
  <si>
    <t>แตน Total</t>
  </si>
  <si>
    <t>นิว Total</t>
  </si>
  <si>
    <t>พงศ์ Total</t>
  </si>
  <si>
    <t>ยศ Total</t>
  </si>
  <si>
    <t>แอน Total</t>
  </si>
  <si>
    <t xml:space="preserve">โครงการ     โรงปูนซิเมนต์ไทย </t>
  </si>
  <si>
    <t>Oมกราคม</t>
  </si>
  <si>
    <t>Oกุมภาพันธ์</t>
  </si>
  <si>
    <t>Oมีนาคม</t>
  </si>
  <si>
    <t>Oเมษายน</t>
  </si>
  <si>
    <t>Oพฤษภาคม</t>
  </si>
  <si>
    <t>Oมิถุนายน</t>
  </si>
  <si>
    <t>สรุปรายชื่อพนักงานที่เซนต์รับเงิน</t>
  </si>
  <si>
    <t>Oกรกฎาคม</t>
  </si>
  <si>
    <t>Oสิงหาคม</t>
  </si>
  <si>
    <t>Oกันยายน</t>
  </si>
  <si>
    <t>Oตุลาคม</t>
  </si>
  <si>
    <t>Oพฤศจิกายน</t>
  </si>
  <si>
    <t>Oธันวาคม</t>
  </si>
  <si>
    <t>ลำดับที่</t>
  </si>
  <si>
    <t>ชื่อ-นามสกุล</t>
  </si>
  <si>
    <t xml:space="preserve">     ลายมือชื่อ</t>
  </si>
  <si>
    <t xml:space="preserve">               ชื่อ-นามสกุล</t>
  </si>
  <si>
    <t>นายศิวะกร  ทองแม้น(กร)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</si>
</sst>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_-;\-* #,##0.0_-;_-* &quot;-&quot;??_-;_-@_-"/>
    <numFmt numFmtId="166" formatCode="#,##0_ ;[Red]\-#,##0\ "/>
    <numFmt numFmtId="167" formatCode="#,##0.000"/>
  </numFmts>
  <fonts count="16">
    <font>
      <sz val="10"/>
      <name val="Arial"/>
      <charset val="222"/>
    </font>
    <font>
      <sz val="10"/>
      <name val="Arial"/>
      <charset val="22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5" fillId="0" borderId="1" xfId="0" applyFont="1" applyBorder="1"/>
    <xf numFmtId="0" fontId="9" fillId="0" borderId="0" xfId="0" applyFont="1" applyAlignment="1">
      <alignment horizontal="center"/>
    </xf>
    <xf numFmtId="0" fontId="9" fillId="0" borderId="0" xfId="0" applyFont="1"/>
    <xf numFmtId="3" fontId="10" fillId="0" borderId="0" xfId="0" applyNumberFormat="1" applyFont="1"/>
    <xf numFmtId="167" fontId="9" fillId="0" borderId="0" xfId="0" applyNumberFormat="1" applyFont="1"/>
    <xf numFmtId="0" fontId="11" fillId="0" borderId="0" xfId="0" applyFont="1"/>
    <xf numFmtId="0" fontId="12" fillId="0" borderId="0" xfId="0" applyFont="1"/>
    <xf numFmtId="3" fontId="9" fillId="0" borderId="0" xfId="0" applyNumberFormat="1" applyFont="1"/>
    <xf numFmtId="3" fontId="5" fillId="0" borderId="7" xfId="0" applyNumberFormat="1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5" fontId="5" fillId="0" borderId="1" xfId="1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3" fillId="0" borderId="0" xfId="0" applyFont="1" applyAlignment="1">
      <alignment horizontal="center"/>
    </xf>
    <xf numFmtId="0" fontId="5" fillId="0" borderId="7" xfId="0" applyFont="1" applyBorder="1"/>
    <xf numFmtId="0" fontId="6" fillId="0" borderId="2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5" fillId="0" borderId="7" xfId="0" quotePrefix="1" applyNumberFormat="1" applyFont="1" applyBorder="1"/>
    <xf numFmtId="2" fontId="5" fillId="0" borderId="7" xfId="0" applyNumberFormat="1" applyFont="1" applyBorder="1"/>
    <xf numFmtId="0" fontId="5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Border="1"/>
    <xf numFmtId="3" fontId="14" fillId="0" borderId="7" xfId="0" applyNumberFormat="1" applyFont="1" applyBorder="1"/>
    <xf numFmtId="1" fontId="14" fillId="0" borderId="7" xfId="0" applyNumberFormat="1" applyFont="1" applyBorder="1"/>
    <xf numFmtId="0" fontId="14" fillId="0" borderId="14" xfId="0" applyFont="1" applyBorder="1"/>
    <xf numFmtId="0" fontId="14" fillId="0" borderId="0" xfId="0" applyFont="1"/>
    <xf numFmtId="2" fontId="14" fillId="0" borderId="7" xfId="0" applyNumberFormat="1" applyFont="1" applyBorder="1"/>
    <xf numFmtId="2" fontId="14" fillId="0" borderId="7" xfId="0" quotePrefix="1" applyNumberFormat="1" applyFont="1" applyBorder="1"/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3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/>
    <xf numFmtId="2" fontId="14" fillId="0" borderId="13" xfId="0" applyNumberFormat="1" applyFont="1" applyBorder="1" applyAlignment="1">
      <alignment horizontal="center"/>
    </xf>
    <xf numFmtId="4" fontId="14" fillId="0" borderId="7" xfId="0" applyNumberFormat="1" applyFont="1" applyBorder="1"/>
    <xf numFmtId="0" fontId="14" fillId="4" borderId="7" xfId="0" applyFont="1" applyFill="1" applyBorder="1"/>
    <xf numFmtId="3" fontId="14" fillId="4" borderId="7" xfId="0" applyNumberFormat="1" applyFont="1" applyFill="1" applyBorder="1"/>
    <xf numFmtId="1" fontId="14" fillId="4" borderId="7" xfId="0" applyNumberFormat="1" applyFont="1" applyFill="1" applyBorder="1"/>
    <xf numFmtId="2" fontId="14" fillId="4" borderId="7" xfId="0" quotePrefix="1" applyNumberFormat="1" applyFont="1" applyFill="1" applyBorder="1"/>
    <xf numFmtId="2" fontId="14" fillId="4" borderId="7" xfId="0" applyNumberFormat="1" applyFont="1" applyFill="1" applyBorder="1"/>
    <xf numFmtId="0" fontId="11" fillId="0" borderId="0" xfId="0" applyFont="1" applyAlignment="1">
      <alignment horizontal="center"/>
    </xf>
    <xf numFmtId="3" fontId="14" fillId="0" borderId="8" xfId="0" applyNumberFormat="1" applyFont="1" applyBorder="1"/>
    <xf numFmtId="166" fontId="14" fillId="0" borderId="13" xfId="0" applyNumberFormat="1" applyFont="1" applyBorder="1" applyAlignment="1">
      <alignment horizontal="center"/>
    </xf>
    <xf numFmtId="166" fontId="14" fillId="0" borderId="7" xfId="0" applyNumberFormat="1" applyFont="1" applyBorder="1"/>
    <xf numFmtId="166" fontId="14" fillId="4" borderId="7" xfId="0" applyNumberFormat="1" applyFont="1" applyFill="1" applyBorder="1"/>
    <xf numFmtId="0" fontId="5" fillId="0" borderId="0" xfId="0" applyFont="1" applyAlignment="1">
      <alignment horizontal="center"/>
    </xf>
    <xf numFmtId="3" fontId="3" fillId="0" borderId="0" xfId="1" applyNumberFormat="1" applyFont="1"/>
    <xf numFmtId="165" fontId="3" fillId="0" borderId="0" xfId="1" applyNumberFormat="1" applyFont="1"/>
    <xf numFmtId="167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5" fillId="0" borderId="7" xfId="0" applyFont="1" applyBorder="1" applyAlignment="1">
      <alignment horizontal="center"/>
    </xf>
    <xf numFmtId="3" fontId="5" fillId="2" borderId="7" xfId="0" applyNumberFormat="1" applyFont="1" applyFill="1" applyBorder="1"/>
    <xf numFmtId="0" fontId="5" fillId="0" borderId="7" xfId="0" quotePrefix="1" applyFont="1" applyBorder="1"/>
    <xf numFmtId="1" fontId="5" fillId="0" borderId="7" xfId="0" applyNumberFormat="1" applyFont="1" applyBorder="1"/>
    <xf numFmtId="4" fontId="5" fillId="0" borderId="7" xfId="0" applyNumberFormat="1" applyFont="1" applyBorder="1"/>
    <xf numFmtId="3" fontId="5" fillId="0" borderId="8" xfId="0" applyNumberFormat="1" applyFont="1" applyBorder="1"/>
    <xf numFmtId="1" fontId="5" fillId="0" borderId="8" xfId="0" applyNumberFormat="1" applyFont="1" applyBorder="1"/>
    <xf numFmtId="3" fontId="5" fillId="2" borderId="0" xfId="0" applyNumberFormat="1" applyFont="1" applyFill="1"/>
    <xf numFmtId="3" fontId="3" fillId="0" borderId="7" xfId="0" applyNumberFormat="1" applyFont="1" applyBorder="1" applyAlignment="1">
      <alignment horizontal="center"/>
    </xf>
    <xf numFmtId="3" fontId="3" fillId="0" borderId="7" xfId="0" applyNumberFormat="1" applyFont="1" applyBorder="1"/>
    <xf numFmtId="2" fontId="3" fillId="0" borderId="7" xfId="0" applyNumberFormat="1" applyFont="1" applyBorder="1"/>
    <xf numFmtId="3" fontId="3" fillId="0" borderId="0" xfId="0" applyNumberFormat="1" applyFont="1"/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3" fontId="5" fillId="0" borderId="9" xfId="0" applyNumberFormat="1" applyFont="1" applyBorder="1"/>
    <xf numFmtId="167" fontId="5" fillId="0" borderId="9" xfId="0" applyNumberFormat="1" applyFont="1" applyBorder="1"/>
    <xf numFmtId="2" fontId="5" fillId="0" borderId="9" xfId="0" applyNumberFormat="1" applyFont="1" applyBorder="1"/>
    <xf numFmtId="3" fontId="5" fillId="0" borderId="0" xfId="0" applyNumberFormat="1" applyFont="1"/>
    <xf numFmtId="167" fontId="5" fillId="0" borderId="0" xfId="0" applyNumberFormat="1" applyFont="1"/>
    <xf numFmtId="167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5" fontId="12" fillId="0" borderId="10" xfId="1" applyNumberFormat="1" applyFont="1" applyBorder="1" applyAlignment="1">
      <alignment horizontal="center"/>
    </xf>
    <xf numFmtId="165" fontId="12" fillId="0" borderId="11" xfId="1" applyNumberFormat="1" applyFont="1" applyBorder="1" applyAlignment="1">
      <alignment horizontal="center"/>
    </xf>
    <xf numFmtId="165" fontId="12" fillId="0" borderId="12" xfId="1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65" fontId="5" fillId="0" borderId="10" xfId="1" applyNumberFormat="1" applyFont="1" applyBorder="1" applyAlignment="1">
      <alignment horizontal="center"/>
    </xf>
    <xf numFmtId="165" fontId="5" fillId="0" borderId="11" xfId="1" applyNumberFormat="1" applyFont="1" applyBorder="1" applyAlignment="1">
      <alignment horizontal="center"/>
    </xf>
    <xf numFmtId="165" fontId="5" fillId="0" borderId="12" xfId="1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" fontId="15" fillId="0" borderId="7" xfId="0" applyNumberFormat="1" applyFont="1" applyBorder="1"/>
    <xf numFmtId="3" fontId="15" fillId="0" borderId="7" xfId="0" applyNumberFormat="1" applyFont="1" applyBorder="1"/>
    <xf numFmtId="3" fontId="15" fillId="4" borderId="7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</xdr:col>
      <xdr:colOff>1295400</xdr:colOff>
      <xdr:row>3</xdr:row>
      <xdr:rowOff>19050</xdr:rowOff>
    </xdr:to>
    <xdr:pic>
      <xdr:nvPicPr>
        <xdr:cNvPr id="12747" name="Picture 1" descr="Logo1">
          <a:extLst>
            <a:ext uri="{FF2B5EF4-FFF2-40B4-BE49-F238E27FC236}">
              <a16:creationId xmlns:a16="http://schemas.microsoft.com/office/drawing/2014/main" id="{807B09BC-5B34-506D-E8C8-558DA3E2D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0"/>
          <a:ext cx="12858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eration%20Report\&#3611;&#3637;%202563\9.%20%2013-26%20&#3648;&#3617;&#3618;%2063\13-26%20%20&#3648;&#3617;&#3618;%20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ation Report"/>
      <sheetName val="บัตรค่าแรง"/>
      <sheetName val="Sheet 2"/>
      <sheetName val="Sheet 2 (2)"/>
      <sheetName val="Sheet 2 (3)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view="pageBreakPreview" topLeftCell="B1" zoomScale="84" zoomScaleNormal="95" zoomScaleSheetLayoutView="84" workbookViewId="0">
      <selection activeCell="Y18" sqref="Y18"/>
    </sheetView>
  </sheetViews>
  <sheetFormatPr defaultColWidth="9.140625" defaultRowHeight="12.75"/>
  <cols>
    <col min="1" max="1" width="5.42578125" style="18" customWidth="1"/>
    <col min="2" max="2" width="24.85546875" style="19" customWidth="1"/>
    <col min="3" max="3" width="8.5703125" style="19" customWidth="1"/>
    <col min="4" max="4" width="17.5703125" style="19" hidden="1" customWidth="1"/>
    <col min="5" max="5" width="10.42578125" style="19" customWidth="1"/>
    <col min="6" max="6" width="7.42578125" style="19" customWidth="1"/>
    <col min="7" max="9" width="5.85546875" style="19" customWidth="1"/>
    <col min="10" max="10" width="7.85546875" style="19" customWidth="1"/>
    <col min="11" max="11" width="7.28515625" style="19" customWidth="1"/>
    <col min="12" max="12" width="8" style="19" customWidth="1"/>
    <col min="13" max="13" width="6.5703125" style="19" customWidth="1"/>
    <col min="14" max="14" width="10.7109375" style="19" customWidth="1"/>
    <col min="15" max="15" width="9.7109375" style="19" customWidth="1"/>
    <col min="16" max="16" width="7.28515625" style="19" customWidth="1"/>
    <col min="17" max="17" width="6.42578125" style="19" customWidth="1"/>
    <col min="18" max="18" width="9.28515625" style="24" customWidth="1"/>
    <col min="19" max="21" width="7.5703125" style="24" customWidth="1"/>
    <col min="22" max="22" width="9.28515625" style="24" customWidth="1"/>
    <col min="23" max="23" width="7.28515625" style="19" customWidth="1"/>
    <col min="24" max="24" width="12.42578125" style="19" customWidth="1"/>
    <col min="25" max="25" width="9.7109375" style="19" customWidth="1"/>
    <col min="26" max="26" width="17" style="19" customWidth="1"/>
    <col min="27" max="27" width="18.5703125" style="21" customWidth="1"/>
    <col min="28" max="28" width="9.28515625" style="19" customWidth="1"/>
    <col min="29" max="29" width="16.42578125" style="19" hidden="1" customWidth="1"/>
    <col min="30" max="30" width="13.5703125" style="19" customWidth="1"/>
    <col min="31" max="31" width="13.85546875" style="19" customWidth="1"/>
    <col min="32" max="16384" width="9.140625" style="19"/>
  </cols>
  <sheetData>
    <row r="1" spans="1:36" ht="15.75">
      <c r="A1" s="72"/>
      <c r="B1" s="6"/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6"/>
      <c r="R1" s="73"/>
      <c r="S1" s="73"/>
      <c r="T1" s="73"/>
      <c r="U1" s="73"/>
      <c r="V1" s="73"/>
      <c r="W1" s="74"/>
      <c r="X1" s="74"/>
      <c r="Y1" s="74"/>
      <c r="Z1" s="74"/>
      <c r="AA1" s="75" t="s">
        <v>1</v>
      </c>
      <c r="AB1" s="2"/>
      <c r="AC1" s="2"/>
      <c r="AD1" s="2"/>
      <c r="AE1" s="2"/>
      <c r="AF1" s="6"/>
      <c r="AG1" s="6"/>
      <c r="AH1" s="6"/>
      <c r="AI1" s="6"/>
      <c r="AJ1" s="6"/>
    </row>
    <row r="2" spans="1:36" ht="15.75">
      <c r="A2" s="72"/>
      <c r="B2" s="6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 t="s">
        <v>3</v>
      </c>
      <c r="P2" s="2"/>
      <c r="Q2" s="6"/>
      <c r="R2" s="73"/>
      <c r="S2" s="73"/>
      <c r="T2" s="73"/>
      <c r="U2" s="73"/>
      <c r="V2" s="73"/>
      <c r="W2" s="74"/>
      <c r="X2" s="74"/>
      <c r="Y2" s="76" t="s">
        <v>4</v>
      </c>
      <c r="Z2" s="97" t="s">
        <v>5</v>
      </c>
      <c r="AA2" s="97"/>
      <c r="AB2" s="77">
        <v>2566</v>
      </c>
      <c r="AC2" s="6"/>
      <c r="AD2" s="6"/>
      <c r="AE2" s="6"/>
      <c r="AF2" s="6"/>
      <c r="AG2" s="6"/>
      <c r="AH2" s="6"/>
      <c r="AI2" s="6"/>
      <c r="AJ2" s="6"/>
    </row>
    <row r="5" spans="1:36" s="38" customFormat="1" ht="25.5" customHeight="1">
      <c r="A5" s="98" t="s">
        <v>6</v>
      </c>
      <c r="B5" s="98" t="s">
        <v>7</v>
      </c>
      <c r="C5" s="102" t="s">
        <v>8</v>
      </c>
      <c r="D5" s="103"/>
      <c r="E5" s="103"/>
      <c r="F5" s="103"/>
      <c r="G5" s="103"/>
      <c r="H5" s="103"/>
      <c r="I5" s="103"/>
      <c r="J5" s="103"/>
      <c r="K5" s="103"/>
      <c r="L5" s="103"/>
      <c r="M5" s="104"/>
      <c r="N5" s="34" t="s">
        <v>9</v>
      </c>
      <c r="O5" s="102" t="s">
        <v>10</v>
      </c>
      <c r="P5" s="103"/>
      <c r="Q5" s="103"/>
      <c r="R5" s="103"/>
      <c r="S5" s="103"/>
      <c r="T5" s="103"/>
      <c r="U5" s="103"/>
      <c r="V5" s="103"/>
      <c r="W5" s="103"/>
      <c r="X5" s="104"/>
      <c r="Y5" s="34" t="s">
        <v>11</v>
      </c>
      <c r="Z5" s="35" t="s">
        <v>12</v>
      </c>
      <c r="AA5" s="36" t="s">
        <v>13</v>
      </c>
      <c r="AB5" s="8" t="s">
        <v>14</v>
      </c>
      <c r="AC5" s="37" t="s">
        <v>15</v>
      </c>
    </row>
    <row r="6" spans="1:36" s="38" customFormat="1" ht="25.5" customHeight="1">
      <c r="A6" s="98"/>
      <c r="B6" s="98"/>
      <c r="C6" s="39" t="s">
        <v>16</v>
      </c>
      <c r="D6" s="39" t="s">
        <v>17</v>
      </c>
      <c r="E6" s="36" t="s">
        <v>18</v>
      </c>
      <c r="F6" s="100" t="s">
        <v>19</v>
      </c>
      <c r="G6" s="101"/>
      <c r="H6" s="46" t="s">
        <v>20</v>
      </c>
      <c r="I6" s="36" t="s">
        <v>21</v>
      </c>
      <c r="J6" s="36" t="s">
        <v>22</v>
      </c>
      <c r="K6" s="36" t="s">
        <v>23</v>
      </c>
      <c r="L6" s="36" t="s">
        <v>24</v>
      </c>
      <c r="M6" s="36" t="s">
        <v>25</v>
      </c>
      <c r="N6" s="40"/>
      <c r="O6" s="36" t="s">
        <v>26</v>
      </c>
      <c r="P6" s="39" t="s">
        <v>27</v>
      </c>
      <c r="Q6" s="42" t="s">
        <v>28</v>
      </c>
      <c r="R6" s="36" t="s">
        <v>29</v>
      </c>
      <c r="S6" s="36" t="s">
        <v>30</v>
      </c>
      <c r="T6" s="36" t="s">
        <v>31</v>
      </c>
      <c r="U6" s="36" t="s">
        <v>32</v>
      </c>
      <c r="V6" s="36" t="s">
        <v>33</v>
      </c>
      <c r="W6" s="36" t="s">
        <v>24</v>
      </c>
      <c r="X6" s="40"/>
      <c r="Y6" s="35"/>
      <c r="Z6" s="36"/>
      <c r="AA6" s="43"/>
      <c r="AB6" s="41"/>
    </row>
    <row r="7" spans="1:36" s="18" customFormat="1" ht="18.75" customHeight="1">
      <c r="A7" s="55"/>
      <c r="B7" s="55"/>
      <c r="C7" s="56"/>
      <c r="D7" s="56"/>
      <c r="E7" s="56"/>
      <c r="F7" s="56" t="s">
        <v>34</v>
      </c>
      <c r="G7" s="56" t="s">
        <v>35</v>
      </c>
      <c r="H7" s="57"/>
      <c r="I7" s="56"/>
      <c r="J7" s="56"/>
      <c r="K7" s="56"/>
      <c r="L7" s="56"/>
      <c r="M7" s="56"/>
      <c r="N7" s="55"/>
      <c r="O7" s="56"/>
      <c r="P7" s="56"/>
      <c r="Q7" s="58"/>
      <c r="R7" s="56"/>
      <c r="S7" s="56"/>
      <c r="T7" s="56"/>
      <c r="U7" s="56"/>
      <c r="V7" s="56"/>
      <c r="W7" s="56"/>
      <c r="X7" s="55"/>
      <c r="Y7" s="69"/>
      <c r="Z7" s="59" t="s">
        <v>36</v>
      </c>
      <c r="AA7" s="60" t="s">
        <v>37</v>
      </c>
      <c r="AB7" s="78"/>
      <c r="AC7" s="72"/>
      <c r="AD7" s="72"/>
      <c r="AE7" s="72"/>
      <c r="AF7" s="72"/>
      <c r="AG7" s="72"/>
      <c r="AH7" s="72"/>
      <c r="AI7" s="72"/>
      <c r="AJ7" s="72"/>
    </row>
    <row r="8" spans="1:36" ht="24.75" customHeight="1">
      <c r="A8" s="47">
        <v>1</v>
      </c>
      <c r="B8" s="48" t="s">
        <v>38</v>
      </c>
      <c r="C8" s="49">
        <v>50000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>
        <f t="shared" ref="N8:N15" si="0">SUM(C8:M8)</f>
        <v>50000</v>
      </c>
      <c r="O8" s="49"/>
      <c r="P8" s="49">
        <f>15000*5/100</f>
        <v>750</v>
      </c>
      <c r="Q8" s="49">
        <v>580</v>
      </c>
      <c r="R8" s="61"/>
      <c r="S8" s="61"/>
      <c r="T8" s="61"/>
      <c r="U8" s="61"/>
      <c r="V8" s="61"/>
      <c r="W8" s="49"/>
      <c r="X8" s="49">
        <f>SUM(O8:W8)</f>
        <v>1330</v>
      </c>
      <c r="Y8" s="70">
        <f t="shared" ref="Y8:Y15" si="1">N8-X8</f>
        <v>48670</v>
      </c>
      <c r="Z8" s="54" t="s">
        <v>39</v>
      </c>
      <c r="AA8" s="53" t="s">
        <v>40</v>
      </c>
      <c r="AB8" s="33"/>
      <c r="AC8" s="6"/>
      <c r="AD8" s="6"/>
      <c r="AE8" s="6"/>
      <c r="AF8" s="6"/>
      <c r="AG8" s="6"/>
      <c r="AH8" s="6"/>
      <c r="AI8" s="6"/>
      <c r="AJ8" s="6"/>
    </row>
    <row r="9" spans="1:36" ht="24.75" customHeight="1">
      <c r="A9" s="47">
        <v>2</v>
      </c>
      <c r="B9" s="48" t="s">
        <v>41</v>
      </c>
      <c r="C9" s="49">
        <v>50000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>
        <f t="shared" si="0"/>
        <v>50000</v>
      </c>
      <c r="O9" s="49"/>
      <c r="P9" s="49">
        <f>15000*5/100</f>
        <v>750</v>
      </c>
      <c r="Q9" s="49">
        <v>580</v>
      </c>
      <c r="R9" s="61"/>
      <c r="S9" s="61"/>
      <c r="T9" s="61"/>
      <c r="U9" s="61"/>
      <c r="V9" s="61"/>
      <c r="W9" s="49"/>
      <c r="X9" s="49">
        <f t="shared" ref="X9:X15" si="2">SUM(O9:W9)</f>
        <v>1330</v>
      </c>
      <c r="Y9" s="70">
        <f t="shared" si="1"/>
        <v>48670</v>
      </c>
      <c r="Z9" s="54" t="s">
        <v>42</v>
      </c>
      <c r="AA9" s="53" t="s">
        <v>43</v>
      </c>
      <c r="AB9" s="33"/>
      <c r="AC9" s="6"/>
      <c r="AD9" s="2" t="s">
        <v>44</v>
      </c>
      <c r="AE9" s="6"/>
      <c r="AF9" s="6"/>
      <c r="AG9" s="6"/>
      <c r="AH9" s="6" t="s">
        <v>45</v>
      </c>
      <c r="AI9" s="6"/>
      <c r="AJ9" s="6"/>
    </row>
    <row r="10" spans="1:36" ht="25.5" customHeight="1">
      <c r="A10" s="47">
        <v>3</v>
      </c>
      <c r="B10" s="48" t="s">
        <v>46</v>
      </c>
      <c r="C10" s="49">
        <f>19000+1000+1500+3500+500+2500</f>
        <v>28000</v>
      </c>
      <c r="D10" s="49"/>
      <c r="E10" s="49">
        <f>2500-400</f>
        <v>2100</v>
      </c>
      <c r="F10" s="49"/>
      <c r="G10" s="49">
        <v>500</v>
      </c>
      <c r="H10" s="49"/>
      <c r="I10" s="49"/>
      <c r="J10" s="49"/>
      <c r="K10" s="49"/>
      <c r="L10" s="49">
        <f>8*5</f>
        <v>40</v>
      </c>
      <c r="M10" s="49">
        <f>((((15000/30)/8)*1.5)*0)+((((15000/30)/8)*2)*0)+(500*0)</f>
        <v>0</v>
      </c>
      <c r="N10" s="49">
        <f t="shared" si="0"/>
        <v>30640</v>
      </c>
      <c r="O10" s="49"/>
      <c r="P10" s="49">
        <f>15000*5/100</f>
        <v>750</v>
      </c>
      <c r="Q10" s="49">
        <v>220</v>
      </c>
      <c r="R10" s="50">
        <f>((C10)/30*0)+(116.66*3)</f>
        <v>349.98</v>
      </c>
      <c r="S10" s="50"/>
      <c r="T10" s="122">
        <v>204</v>
      </c>
      <c r="U10" s="50">
        <v>534</v>
      </c>
      <c r="V10" s="50"/>
      <c r="W10" s="50"/>
      <c r="X10" s="49">
        <f t="shared" si="2"/>
        <v>2057.98</v>
      </c>
      <c r="Y10" s="70">
        <f t="shared" si="1"/>
        <v>28582.02</v>
      </c>
      <c r="Z10" s="54" t="s">
        <v>47</v>
      </c>
      <c r="AA10" s="53" t="s">
        <v>48</v>
      </c>
      <c r="AB10" s="33"/>
      <c r="AC10" s="79"/>
      <c r="AD10" s="2" t="s">
        <v>49</v>
      </c>
      <c r="AE10" s="6"/>
      <c r="AF10" s="6"/>
      <c r="AG10" s="6"/>
      <c r="AH10" s="6" t="s">
        <v>50</v>
      </c>
      <c r="AI10" s="6"/>
      <c r="AJ10" s="6"/>
    </row>
    <row r="11" spans="1:36" ht="23.25" customHeight="1">
      <c r="A11" s="47">
        <v>4</v>
      </c>
      <c r="B11" s="48" t="s">
        <v>51</v>
      </c>
      <c r="C11" s="49">
        <f>8500+1000+1000+2500+500+500+2000</f>
        <v>16000</v>
      </c>
      <c r="D11" s="49"/>
      <c r="E11" s="49">
        <f>(1500-1500)</f>
        <v>0</v>
      </c>
      <c r="F11" s="49">
        <f>(9.615*8)+(9.615*3)</f>
        <v>105.765</v>
      </c>
      <c r="G11" s="49">
        <f>(9.615*0)</f>
        <v>0</v>
      </c>
      <c r="H11" s="49">
        <f>(9.615*0)</f>
        <v>0</v>
      </c>
      <c r="I11" s="49">
        <f>(20*0)+(10*0)</f>
        <v>0</v>
      </c>
      <c r="J11" s="49">
        <f>(19.23*11)</f>
        <v>211.53</v>
      </c>
      <c r="K11" s="49">
        <f>(30*0)+(80*0)+(20*0)+0</f>
        <v>0</v>
      </c>
      <c r="L11" s="49">
        <f>(20*0)+(50*0)</f>
        <v>0</v>
      </c>
      <c r="M11" s="49">
        <f>((((14000/30)/8)*1.5)*11)+((((14000/30)/8)*0)*0)+(466*0)</f>
        <v>962.5</v>
      </c>
      <c r="N11" s="49">
        <f t="shared" si="0"/>
        <v>17279.794999999998</v>
      </c>
      <c r="O11" s="49">
        <v>2650</v>
      </c>
      <c r="P11" s="49">
        <f>15000*5/100</f>
        <v>750</v>
      </c>
      <c r="Q11" s="49"/>
      <c r="R11" s="49">
        <f>(533*5)+(66.67*2)+0</f>
        <v>2798.34</v>
      </c>
      <c r="S11" s="49">
        <v>1100</v>
      </c>
      <c r="T11" s="49">
        <f>4877+1500</f>
        <v>6377</v>
      </c>
      <c r="U11" s="49">
        <v>163</v>
      </c>
      <c r="V11" s="49"/>
      <c r="W11" s="50"/>
      <c r="X11" s="49">
        <f t="shared" si="2"/>
        <v>13838.34</v>
      </c>
      <c r="Y11" s="70">
        <f t="shared" si="1"/>
        <v>3441.4549999999981</v>
      </c>
      <c r="Z11" s="54" t="s">
        <v>52</v>
      </c>
      <c r="AA11" s="54" t="s">
        <v>53</v>
      </c>
      <c r="AB11" s="33"/>
      <c r="AC11" s="79"/>
      <c r="AD11" s="2" t="s">
        <v>54</v>
      </c>
      <c r="AE11" s="6"/>
      <c r="AF11" s="6"/>
      <c r="AG11" s="6"/>
      <c r="AH11" s="6" t="s">
        <v>55</v>
      </c>
      <c r="AI11" s="6"/>
      <c r="AJ11" s="6"/>
    </row>
    <row r="12" spans="1:36" ht="24.75" customHeight="1">
      <c r="A12" s="47">
        <v>5</v>
      </c>
      <c r="B12" s="48" t="s">
        <v>56</v>
      </c>
      <c r="C12" s="49">
        <v>14000</v>
      </c>
      <c r="D12" s="49"/>
      <c r="E12" s="49">
        <f>(1500-100)</f>
        <v>1400</v>
      </c>
      <c r="F12" s="49">
        <f>(9.615*20)+(9.615*1)</f>
        <v>201.91500000000002</v>
      </c>
      <c r="G12" s="49">
        <f>(9.615*26)</f>
        <v>249.99</v>
      </c>
      <c r="H12" s="49">
        <f>(9.615*26)</f>
        <v>249.99</v>
      </c>
      <c r="I12" s="49">
        <f>(20*1)+(10*1)+(10*0)</f>
        <v>30</v>
      </c>
      <c r="J12" s="49">
        <f>(19.23*33)</f>
        <v>634.59</v>
      </c>
      <c r="K12" s="49">
        <f>((30*0)+(20*0)+((1500+500))/26*0)</f>
        <v>0</v>
      </c>
      <c r="L12" s="49">
        <f>(20*0)+(50*0)</f>
        <v>0</v>
      </c>
      <c r="M12" s="49">
        <f>((((14000/30)/8)*1.5)*11)+((((14000/30)/8)*2)*0)+(466.67*0)</f>
        <v>962.5</v>
      </c>
      <c r="N12" s="49">
        <f t="shared" si="0"/>
        <v>17728.985000000001</v>
      </c>
      <c r="O12" s="49">
        <v>2200</v>
      </c>
      <c r="P12" s="49">
        <f>ROUND(((C12+F12+G12)*5/100),0)</f>
        <v>723</v>
      </c>
      <c r="Q12" s="49"/>
      <c r="R12" s="49">
        <f>(433*0)+(54*0)</f>
        <v>0</v>
      </c>
      <c r="S12" s="49">
        <v>1100</v>
      </c>
      <c r="T12" s="123">
        <v>1173</v>
      </c>
      <c r="U12" s="49">
        <v>815</v>
      </c>
      <c r="V12" s="49"/>
      <c r="W12" s="50"/>
      <c r="X12" s="49">
        <f t="shared" si="2"/>
        <v>6011</v>
      </c>
      <c r="Y12" s="70">
        <f t="shared" si="1"/>
        <v>11717.985000000001</v>
      </c>
      <c r="Z12" s="54" t="s">
        <v>57</v>
      </c>
      <c r="AA12" s="54" t="s">
        <v>58</v>
      </c>
      <c r="AB12" s="33"/>
      <c r="AC12" s="79"/>
      <c r="AD12" s="2" t="s">
        <v>59</v>
      </c>
      <c r="AE12" s="80"/>
      <c r="AF12" s="6"/>
      <c r="AG12" s="6"/>
      <c r="AH12" s="6" t="s">
        <v>60</v>
      </c>
      <c r="AI12" s="6"/>
      <c r="AJ12" s="6"/>
    </row>
    <row r="13" spans="1:36" ht="24.75" customHeight="1">
      <c r="A13" s="47">
        <v>7</v>
      </c>
      <c r="B13" s="48" t="s">
        <v>61</v>
      </c>
      <c r="C13" s="49">
        <f>(11000+1500)/30*5.93</f>
        <v>2470.8333333333335</v>
      </c>
      <c r="D13" s="49"/>
      <c r="E13" s="49">
        <f>500-500</f>
        <v>0</v>
      </c>
      <c r="F13" s="49">
        <f>(9.615*0)+(9.615*0)</f>
        <v>0</v>
      </c>
      <c r="G13" s="49">
        <f>(9.615*0)</f>
        <v>0</v>
      </c>
      <c r="H13" s="49">
        <f>(9.615*0)</f>
        <v>0</v>
      </c>
      <c r="I13" s="49">
        <f>(20*0)+(10*0)</f>
        <v>0</v>
      </c>
      <c r="J13" s="49">
        <f>(19.23*3)</f>
        <v>57.69</v>
      </c>
      <c r="K13" s="49">
        <f>(30*0)+(80*0)+(20*0)+0</f>
        <v>0</v>
      </c>
      <c r="L13" s="49">
        <f>(1000/25)*0</f>
        <v>0</v>
      </c>
      <c r="M13" s="49">
        <f>((((12500/30)/8)*1.5)*0)+((((12500/30)/8)*2)*0)+(416*0)</f>
        <v>0</v>
      </c>
      <c r="N13" s="49">
        <f t="shared" si="0"/>
        <v>2528.5233333333335</v>
      </c>
      <c r="O13" s="49">
        <v>500</v>
      </c>
      <c r="P13" s="49">
        <f>ROUND(((C13+F13+G13)*5/100),0)</f>
        <v>124</v>
      </c>
      <c r="Q13" s="49"/>
      <c r="R13" s="49">
        <f>(416*0)+(52*0)</f>
        <v>0</v>
      </c>
      <c r="S13" s="49"/>
      <c r="T13" s="123">
        <v>949</v>
      </c>
      <c r="U13" s="49">
        <v>6</v>
      </c>
      <c r="V13" s="49"/>
      <c r="W13" s="50">
        <v>200</v>
      </c>
      <c r="X13" s="49">
        <f t="shared" si="2"/>
        <v>1779</v>
      </c>
      <c r="Y13" s="70">
        <f>N13-X13</f>
        <v>749.52333333333354</v>
      </c>
      <c r="Z13" s="54" t="s">
        <v>62</v>
      </c>
      <c r="AA13" s="53"/>
      <c r="AB13" s="33"/>
      <c r="AC13" s="6"/>
      <c r="AD13" s="6"/>
      <c r="AE13" s="6"/>
      <c r="AF13" s="6"/>
      <c r="AG13" s="6"/>
      <c r="AH13" s="6"/>
      <c r="AI13" s="6"/>
      <c r="AJ13" s="6"/>
    </row>
    <row r="14" spans="1:36" ht="24.75" customHeight="1">
      <c r="A14" s="47">
        <v>8</v>
      </c>
      <c r="B14" s="48" t="s">
        <v>63</v>
      </c>
      <c r="C14" s="49">
        <f>500*26</f>
        <v>13000</v>
      </c>
      <c r="D14" s="49"/>
      <c r="E14" s="49">
        <f>(1000-1000)</f>
        <v>0</v>
      </c>
      <c r="F14" s="49">
        <f>(9.615*0)+(9.615*0)</f>
        <v>0</v>
      </c>
      <c r="G14" s="49">
        <f>(9.615*0)</f>
        <v>0</v>
      </c>
      <c r="H14" s="49">
        <f>(9.615*0)</f>
        <v>0</v>
      </c>
      <c r="I14" s="49">
        <f>(20*0)+(10*0)</f>
        <v>0</v>
      </c>
      <c r="J14" s="49">
        <f>(19.23*3)</f>
        <v>57.69</v>
      </c>
      <c r="K14" s="49">
        <f>(30*0)+(80*0)+(20*0)+0</f>
        <v>0</v>
      </c>
      <c r="L14" s="49">
        <f>(1000/27)*14</f>
        <v>518.51851851851848</v>
      </c>
      <c r="M14" s="49">
        <f>((((13000/30)/8)*1.5)*0.66)+((((13000/30)/8)*2)*0)+(433*0)</f>
        <v>53.625</v>
      </c>
      <c r="N14" s="49">
        <f t="shared" si="0"/>
        <v>13629.833518518519</v>
      </c>
      <c r="O14" s="49">
        <v>4800</v>
      </c>
      <c r="P14" s="49">
        <f>ROUND(((C14+F14+G14)*5/100),0)</f>
        <v>650</v>
      </c>
      <c r="Q14" s="49"/>
      <c r="R14" s="49">
        <f>(433.33*14)+(54.16*0)</f>
        <v>6066.62</v>
      </c>
      <c r="S14" s="49"/>
      <c r="T14" s="123">
        <v>61</v>
      </c>
      <c r="U14" s="49">
        <v>457</v>
      </c>
      <c r="V14" s="49"/>
      <c r="W14" s="50"/>
      <c r="X14" s="49">
        <f t="shared" si="2"/>
        <v>12034.619999999999</v>
      </c>
      <c r="Y14" s="70">
        <f t="shared" si="1"/>
        <v>1595.2135185185198</v>
      </c>
      <c r="Z14" s="54" t="s">
        <v>64</v>
      </c>
      <c r="AA14" s="53"/>
      <c r="AB14" s="33"/>
      <c r="AC14" s="6"/>
      <c r="AD14" s="6"/>
      <c r="AE14" s="6"/>
      <c r="AF14" s="6"/>
      <c r="AG14" s="6"/>
      <c r="AH14" s="6"/>
      <c r="AI14" s="6"/>
      <c r="AJ14" s="6"/>
    </row>
    <row r="15" spans="1:36" s="52" customFormat="1" ht="24.75" customHeight="1">
      <c r="A15" s="47">
        <v>9</v>
      </c>
      <c r="B15" s="48" t="s">
        <v>65</v>
      </c>
      <c r="C15" s="49">
        <v>15860</v>
      </c>
      <c r="D15" s="49"/>
      <c r="E15" s="49">
        <f>(1000-200)</f>
        <v>800</v>
      </c>
      <c r="F15" s="49">
        <f>(9.615*0)+(9.615*0)</f>
        <v>0</v>
      </c>
      <c r="G15" s="49">
        <f>(9.615*5)</f>
        <v>48.075000000000003</v>
      </c>
      <c r="H15" s="49">
        <f>(9.615*21)</f>
        <v>201.91499999999999</v>
      </c>
      <c r="I15" s="49">
        <f>(20*0)+(10*0)</f>
        <v>0</v>
      </c>
      <c r="J15" s="49">
        <f>(19.23*25)</f>
        <v>480.75</v>
      </c>
      <c r="K15" s="49">
        <f>(30*0)+(80*0)+(20*0)+0</f>
        <v>0</v>
      </c>
      <c r="L15" s="49"/>
      <c r="M15" s="49">
        <f>((((15000/30)/8)*1.5)*0)+((((15000/30)/8)*0)*0)+(528*0)</f>
        <v>0</v>
      </c>
      <c r="N15" s="49">
        <f t="shared" si="0"/>
        <v>17390.740000000002</v>
      </c>
      <c r="O15" s="49">
        <v>3700</v>
      </c>
      <c r="P15" s="49">
        <f>15000*5/100</f>
        <v>750</v>
      </c>
      <c r="Q15" s="49"/>
      <c r="R15" s="49">
        <f>(610*0)+(76.25*0)</f>
        <v>0</v>
      </c>
      <c r="S15" s="49"/>
      <c r="T15" s="123">
        <v>940</v>
      </c>
      <c r="U15" s="49">
        <v>113</v>
      </c>
      <c r="V15" s="49"/>
      <c r="W15" s="50"/>
      <c r="X15" s="49">
        <f t="shared" si="2"/>
        <v>5503</v>
      </c>
      <c r="Y15" s="70">
        <f t="shared" si="1"/>
        <v>11887.740000000002</v>
      </c>
      <c r="Z15" s="48" t="s">
        <v>66</v>
      </c>
      <c r="AA15" s="51" t="s">
        <v>67</v>
      </c>
      <c r="AB15" s="48"/>
    </row>
    <row r="16" spans="1:36" s="52" customFormat="1" ht="25.5" customHeight="1">
      <c r="A16" s="47">
        <v>10</v>
      </c>
      <c r="B16" s="48" t="s">
        <v>68</v>
      </c>
      <c r="C16" s="49">
        <f>46000+4500</f>
        <v>50500</v>
      </c>
      <c r="D16" s="49"/>
      <c r="E16" s="49">
        <f>2500-100</f>
        <v>2400</v>
      </c>
      <c r="F16" s="49"/>
      <c r="G16" s="49"/>
      <c r="H16" s="49"/>
      <c r="J16" s="49"/>
      <c r="K16" s="49"/>
      <c r="L16" s="49"/>
      <c r="M16" s="49">
        <f>((((20000/30)/8)*1.5)*2.5)+((((20000/30)/8)*2)*0)+(666*0)</f>
        <v>312.5</v>
      </c>
      <c r="N16" s="68">
        <f>SUM(C16:M16)</f>
        <v>53212.5</v>
      </c>
      <c r="O16" s="49"/>
      <c r="P16" s="49">
        <f>15000*5/100</f>
        <v>750</v>
      </c>
      <c r="Q16" s="49"/>
      <c r="R16" s="49"/>
      <c r="S16" s="49"/>
      <c r="T16" s="49"/>
      <c r="U16" s="49"/>
      <c r="V16" s="49"/>
      <c r="W16" s="50"/>
      <c r="X16" s="49">
        <f>SUM(O16:W16)</f>
        <v>750</v>
      </c>
      <c r="Y16" s="70">
        <f>N16-X16</f>
        <v>52462.5</v>
      </c>
      <c r="Z16" s="54" t="s">
        <v>69</v>
      </c>
      <c r="AA16" s="53" t="s">
        <v>70</v>
      </c>
      <c r="AB16" s="48"/>
    </row>
    <row r="17" spans="1:29" ht="27.75" customHeight="1">
      <c r="A17" s="47"/>
      <c r="B17" s="48" t="s">
        <v>71</v>
      </c>
      <c r="C17" s="49">
        <v>15000</v>
      </c>
      <c r="D17" s="49"/>
      <c r="E17" s="49">
        <f>1000-1000</f>
        <v>0</v>
      </c>
      <c r="F17" s="49"/>
      <c r="G17" s="49"/>
      <c r="H17" s="49"/>
      <c r="I17" s="49"/>
      <c r="J17" s="49"/>
      <c r="K17" s="49"/>
      <c r="L17" s="49"/>
      <c r="M17" s="49">
        <f>((((15000/30)/8)*1.5)*0)+((((15000/30)/8)*2)*0)+(733*0)</f>
        <v>0</v>
      </c>
      <c r="N17" s="49">
        <f>SUM(C17:M17)</f>
        <v>15000</v>
      </c>
      <c r="O17" s="49"/>
      <c r="P17" s="49">
        <f>ROUND(((N17)*5/100),0)</f>
        <v>750</v>
      </c>
      <c r="Q17" s="49"/>
      <c r="R17" s="49"/>
      <c r="S17" s="49"/>
      <c r="T17" s="49"/>
      <c r="U17" s="49"/>
      <c r="V17" s="49"/>
      <c r="W17" s="50"/>
      <c r="X17" s="49">
        <f>SUM(O17:W17)</f>
        <v>750</v>
      </c>
      <c r="Y17" s="70">
        <f>N17-X17</f>
        <v>14250</v>
      </c>
      <c r="Z17" s="54"/>
      <c r="AA17" s="53"/>
      <c r="AB17" s="33"/>
      <c r="AC17" s="6"/>
    </row>
    <row r="18" spans="1:29" ht="24.75" customHeight="1">
      <c r="A18" s="78"/>
      <c r="B18" s="62" t="s">
        <v>72</v>
      </c>
      <c r="C18" s="63">
        <f>22500+1500</f>
        <v>24000</v>
      </c>
      <c r="D18" s="63"/>
      <c r="E18" s="63">
        <f>1000-1000</f>
        <v>0</v>
      </c>
      <c r="F18" s="63"/>
      <c r="G18" s="63"/>
      <c r="H18" s="63"/>
      <c r="I18" s="63"/>
      <c r="J18" s="63"/>
      <c r="K18" s="63"/>
      <c r="L18" s="63"/>
      <c r="M18" s="63">
        <f>((((15000/30)/8)*1.5)*0)+((((15000/30)/8)*2)*0)+(733*0)</f>
        <v>0</v>
      </c>
      <c r="N18" s="63">
        <f>SUM(C18:M18)</f>
        <v>24000</v>
      </c>
      <c r="O18" s="63">
        <v>3000</v>
      </c>
      <c r="P18" s="63">
        <f>ROUND(((N18)*3/100),0)</f>
        <v>720</v>
      </c>
      <c r="Q18" s="63"/>
      <c r="R18" s="63">
        <f>(800*2)+(100*3.8)</f>
        <v>1980</v>
      </c>
      <c r="S18" s="63">
        <v>2100</v>
      </c>
      <c r="T18" s="124">
        <v>2045</v>
      </c>
      <c r="U18" s="63"/>
      <c r="V18" s="63"/>
      <c r="W18" s="64"/>
      <c r="X18" s="63">
        <f>SUM(O18:W18)</f>
        <v>9845</v>
      </c>
      <c r="Y18" s="71" t="s">
        <v>73</v>
      </c>
      <c r="Z18" s="65" t="s">
        <v>74</v>
      </c>
      <c r="AA18" s="66" t="s">
        <v>75</v>
      </c>
      <c r="AB18" s="33"/>
      <c r="AC18" s="6"/>
    </row>
    <row r="19" spans="1:29" ht="21.75" customHeight="1">
      <c r="A19" s="78"/>
      <c r="B19" s="33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81"/>
      <c r="X19" s="25"/>
      <c r="Y19" s="81"/>
      <c r="Z19" s="44"/>
      <c r="AA19" s="45"/>
      <c r="AB19" s="33"/>
      <c r="AC19" s="6"/>
    </row>
    <row r="20" spans="1:29" ht="0.75" hidden="1" customHeight="1">
      <c r="A20" s="78"/>
      <c r="B20" s="33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>
        <f>SUM(C20:M20)</f>
        <v>0</v>
      </c>
      <c r="O20" s="25"/>
      <c r="P20" s="25" t="e">
        <f>ROUND(((C20+#REF!+F20)*5/100),0)</f>
        <v>#REF!</v>
      </c>
      <c r="Q20" s="25"/>
      <c r="R20" s="82"/>
      <c r="S20" s="82"/>
      <c r="T20" s="82"/>
      <c r="U20" s="82"/>
      <c r="V20" s="82"/>
      <c r="W20" s="25">
        <v>3</v>
      </c>
      <c r="X20" s="83" t="e">
        <f>SUM(O20:W20)</f>
        <v>#REF!</v>
      </c>
      <c r="Y20" s="84" t="e">
        <f>N20-X20</f>
        <v>#REF!</v>
      </c>
      <c r="Z20" s="44"/>
      <c r="AA20" s="45"/>
      <c r="AB20" s="33"/>
      <c r="AC20" s="85"/>
    </row>
    <row r="21" spans="1:29" ht="30.75" hidden="1" customHeight="1">
      <c r="A21" s="78"/>
      <c r="B21" s="33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>
        <f>SUM(C21:M21)</f>
        <v>0</v>
      </c>
      <c r="O21" s="25"/>
      <c r="P21" s="25" t="e">
        <f>ROUND(((C21+#REF!+F21)*5/100),0)</f>
        <v>#REF!</v>
      </c>
      <c r="Q21" s="25"/>
      <c r="R21" s="82"/>
      <c r="S21" s="82"/>
      <c r="T21" s="82"/>
      <c r="U21" s="82"/>
      <c r="V21" s="82"/>
      <c r="W21" s="25"/>
      <c r="X21" s="83" t="e">
        <f>SUM(O21:W21)</f>
        <v>#REF!</v>
      </c>
      <c r="Y21" s="84" t="e">
        <f>N21-X21</f>
        <v>#REF!</v>
      </c>
      <c r="Z21" s="44"/>
      <c r="AA21" s="45"/>
      <c r="AB21" s="33"/>
      <c r="AC21" s="85"/>
    </row>
    <row r="22" spans="1:29" ht="18.75" hidden="1" customHeight="1">
      <c r="A22" s="78"/>
      <c r="B22" s="33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>
        <f>SUM(C22:M22)</f>
        <v>0</v>
      </c>
      <c r="O22" s="25"/>
      <c r="P22" s="25" t="e">
        <f>ROUND(((C22+#REF!+F22)*5/100),0)</f>
        <v>#REF!</v>
      </c>
      <c r="Q22" s="25"/>
      <c r="R22" s="82"/>
      <c r="S22" s="82"/>
      <c r="T22" s="82"/>
      <c r="U22" s="82"/>
      <c r="V22" s="82"/>
      <c r="W22" s="25"/>
      <c r="X22" s="83" t="e">
        <f>SUM(O22:W22)</f>
        <v>#REF!</v>
      </c>
      <c r="Y22" s="84" t="e">
        <f>N22-X22</f>
        <v>#REF!</v>
      </c>
      <c r="Z22" s="44"/>
      <c r="AA22" s="45"/>
      <c r="AB22" s="33"/>
      <c r="AC22" s="85"/>
    </row>
    <row r="23" spans="1:29" ht="9" hidden="1" customHeight="1">
      <c r="A23" s="78"/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>
        <f>SUM(C23:M23)</f>
        <v>0</v>
      </c>
      <c r="O23" s="25"/>
      <c r="P23" s="25" t="e">
        <f>ROUND(((C23+#REF!+F23)*5/100),0)</f>
        <v>#REF!</v>
      </c>
      <c r="Q23" s="25"/>
      <c r="R23" s="82"/>
      <c r="S23" s="82"/>
      <c r="T23" s="82"/>
      <c r="U23" s="82"/>
      <c r="V23" s="82"/>
      <c r="W23" s="25"/>
      <c r="X23" s="83" t="e">
        <f>SUM(O23:W23)</f>
        <v>#REF!</v>
      </c>
      <c r="Y23" s="84" t="e">
        <f>N23-X23</f>
        <v>#REF!</v>
      </c>
      <c r="Z23" s="44"/>
      <c r="AA23" s="45"/>
      <c r="AB23" s="33"/>
      <c r="AC23" s="85" t="e">
        <f>SUM(Y19:Y23)</f>
        <v>#REF!</v>
      </c>
    </row>
    <row r="24" spans="1:29" s="20" customFormat="1" ht="24.75" customHeight="1">
      <c r="A24" s="86"/>
      <c r="B24" s="86" t="s">
        <v>76</v>
      </c>
      <c r="C24" s="87">
        <f t="shared" ref="C24:W24" si="3">SUM(C8:C23)</f>
        <v>278830.83333333337</v>
      </c>
      <c r="D24" s="87">
        <f t="shared" si="3"/>
        <v>0</v>
      </c>
      <c r="E24" s="87">
        <f t="shared" si="3"/>
        <v>6700</v>
      </c>
      <c r="F24" s="87">
        <f t="shared" si="3"/>
        <v>307.68</v>
      </c>
      <c r="G24" s="87">
        <f t="shared" si="3"/>
        <v>798.06500000000005</v>
      </c>
      <c r="H24" s="87"/>
      <c r="I24" s="87">
        <f t="shared" si="3"/>
        <v>30</v>
      </c>
      <c r="J24" s="87">
        <f t="shared" si="3"/>
        <v>1442.25</v>
      </c>
      <c r="K24" s="87">
        <f t="shared" si="3"/>
        <v>0</v>
      </c>
      <c r="L24" s="87">
        <f t="shared" si="3"/>
        <v>558.51851851851848</v>
      </c>
      <c r="M24" s="87">
        <f t="shared" si="3"/>
        <v>2291.125</v>
      </c>
      <c r="N24" s="87">
        <f t="shared" si="3"/>
        <v>291410.37685185182</v>
      </c>
      <c r="O24" s="87">
        <f t="shared" si="3"/>
        <v>16850</v>
      </c>
      <c r="P24" s="87">
        <f>SUM(P8:P16)</f>
        <v>5997</v>
      </c>
      <c r="Q24" s="87">
        <f t="shared" si="3"/>
        <v>1380</v>
      </c>
      <c r="R24" s="87">
        <f t="shared" si="3"/>
        <v>11194.94</v>
      </c>
      <c r="S24" s="87">
        <f t="shared" si="3"/>
        <v>4300</v>
      </c>
      <c r="T24" s="87">
        <f t="shared" si="3"/>
        <v>11749</v>
      </c>
      <c r="U24" s="87">
        <f t="shared" si="3"/>
        <v>2088</v>
      </c>
      <c r="V24" s="87">
        <f t="shared" si="3"/>
        <v>0</v>
      </c>
      <c r="W24" s="87">
        <f t="shared" si="3"/>
        <v>203</v>
      </c>
      <c r="X24" s="87">
        <f>SUM(X8:X17)</f>
        <v>45383.94</v>
      </c>
      <c r="Y24" s="87">
        <f>SUM(Y7:Y17)</f>
        <v>222026.43685185187</v>
      </c>
      <c r="Z24" s="88"/>
      <c r="AA24" s="88"/>
      <c r="AB24" s="87"/>
      <c r="AC24" s="89"/>
    </row>
    <row r="25" spans="1:29" ht="22.5" customHeight="1">
      <c r="A25" s="78"/>
      <c r="B25" s="33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83"/>
      <c r="Y25" s="84"/>
      <c r="Z25" s="44"/>
      <c r="AA25" s="45"/>
      <c r="AB25" s="33"/>
      <c r="AC25" s="6"/>
    </row>
    <row r="26" spans="1:29" ht="20.25" customHeight="1">
      <c r="A26" s="90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1"/>
      <c r="S26" s="91"/>
      <c r="T26" s="91"/>
      <c r="U26" s="91"/>
      <c r="V26" s="91"/>
      <c r="W26" s="91"/>
      <c r="X26" s="93"/>
      <c r="Y26" s="91"/>
      <c r="Z26" s="94"/>
      <c r="AA26" s="94"/>
      <c r="AB26" s="6"/>
      <c r="AC26" s="6"/>
    </row>
    <row r="27" spans="1:29" ht="20.25" customHeight="1">
      <c r="A27" s="7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95"/>
      <c r="S27" s="95"/>
      <c r="T27" s="95"/>
      <c r="U27" s="95"/>
      <c r="V27" s="95"/>
      <c r="W27" s="6"/>
      <c r="X27" s="6"/>
      <c r="Y27" s="6"/>
      <c r="Z27" s="6"/>
      <c r="AA27" s="96"/>
      <c r="AB27" s="6"/>
      <c r="AC27" s="6"/>
    </row>
    <row r="28" spans="1:29" ht="23.25">
      <c r="A28" s="72"/>
      <c r="B28" s="6"/>
      <c r="C28" s="6"/>
      <c r="D28" s="22" t="s">
        <v>77</v>
      </c>
      <c r="E28" s="22"/>
      <c r="F28" s="22"/>
      <c r="G28" s="22"/>
      <c r="H28" s="6"/>
      <c r="I28" s="22"/>
      <c r="J28" s="6"/>
      <c r="K28" s="6"/>
      <c r="L28" s="6"/>
      <c r="M28" s="6"/>
      <c r="N28" s="22"/>
      <c r="O28" s="6"/>
      <c r="P28" s="6"/>
      <c r="Q28" s="99">
        <v>17575</v>
      </c>
      <c r="R28" s="99"/>
      <c r="S28" s="67"/>
      <c r="T28" s="67"/>
      <c r="U28" s="67"/>
      <c r="V28" s="67"/>
      <c r="W28" s="99"/>
      <c r="X28" s="99"/>
      <c r="Y28" s="99"/>
      <c r="Z28" s="6"/>
      <c r="AA28" s="96"/>
      <c r="AB28" s="6"/>
      <c r="AC28" s="6"/>
    </row>
    <row r="29" spans="1:29" ht="23.25">
      <c r="A29" s="72"/>
      <c r="B29" s="72"/>
      <c r="C29" s="6"/>
      <c r="D29" s="22"/>
      <c r="E29" s="22"/>
      <c r="F29" s="22"/>
      <c r="G29" s="22"/>
      <c r="H29" s="6"/>
      <c r="I29" s="22"/>
      <c r="J29" s="6"/>
      <c r="K29" s="6"/>
      <c r="L29" s="6"/>
      <c r="M29" s="6"/>
      <c r="N29" s="6"/>
      <c r="O29" s="6"/>
      <c r="P29" s="6"/>
      <c r="Q29" s="99"/>
      <c r="R29" s="99"/>
      <c r="S29" s="67"/>
      <c r="T29" s="67"/>
      <c r="U29" s="67"/>
      <c r="V29" s="67"/>
      <c r="W29" s="99"/>
      <c r="X29" s="99"/>
      <c r="Y29" s="99"/>
      <c r="Z29" s="6"/>
      <c r="AA29" s="96"/>
      <c r="AB29" s="6"/>
      <c r="AC29" s="6"/>
    </row>
    <row r="30" spans="1:29" ht="20.25">
      <c r="A30" s="72"/>
      <c r="B30" s="23" t="s">
        <v>78</v>
      </c>
      <c r="C30" s="6"/>
      <c r="D30" s="6" t="s">
        <v>79</v>
      </c>
      <c r="E30" s="95">
        <f>N11-P11</f>
        <v>16529.794999999998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95"/>
      <c r="S30" s="95"/>
      <c r="T30" s="95"/>
      <c r="U30" s="95"/>
      <c r="V30" s="95"/>
      <c r="W30" s="6"/>
      <c r="X30" s="6"/>
      <c r="Y30" s="6"/>
      <c r="Z30" s="6"/>
      <c r="AA30" s="96"/>
      <c r="AB30" s="6"/>
      <c r="AC30" s="6"/>
    </row>
    <row r="31" spans="1:29" ht="20.25">
      <c r="A31" s="72"/>
      <c r="B31" s="23" t="s">
        <v>80</v>
      </c>
      <c r="C31" s="6"/>
      <c r="D31" s="6" t="s">
        <v>81</v>
      </c>
      <c r="E31" s="95">
        <f>N12-P12</f>
        <v>17005.985000000001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95"/>
      <c r="S31" s="95"/>
      <c r="T31" s="95"/>
      <c r="U31" s="95"/>
      <c r="V31" s="95"/>
      <c r="W31" s="6"/>
      <c r="X31" s="6"/>
      <c r="Y31" s="6"/>
      <c r="Z31" s="6"/>
      <c r="AA31" s="96"/>
      <c r="AB31" s="6"/>
      <c r="AC31" s="6"/>
    </row>
    <row r="35" ht="2.25" customHeight="1"/>
  </sheetData>
  <mergeCells count="10">
    <mergeCell ref="Z2:AA2"/>
    <mergeCell ref="A5:A6"/>
    <mergeCell ref="B5:B6"/>
    <mergeCell ref="Q28:R28"/>
    <mergeCell ref="Q29:R29"/>
    <mergeCell ref="W28:Y28"/>
    <mergeCell ref="W29:Y29"/>
    <mergeCell ref="F6:G6"/>
    <mergeCell ref="C5:M5"/>
    <mergeCell ref="O5:X5"/>
  </mergeCells>
  <phoneticPr fontId="4" type="noConversion"/>
  <pageMargins left="0.15748031496062992" right="0" top="0.98425196850393704" bottom="0.98425196850393704" header="0.51181102362204722" footer="0.51181102362204722"/>
  <pageSetup paperSize="9" scale="57" orientation="landscape" horizontalDpi="360" verticalDpi="360" r:id="rId1"/>
  <headerFooter alignWithMargins="0"/>
  <colBreaks count="1" manualBreakCount="1">
    <brk id="29" max="28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90E1-647F-4891-9E15-4856AD38391B}">
  <dimension ref="A1:I7"/>
  <sheetViews>
    <sheetView workbookViewId="0">
      <selection activeCell="P30" sqref="P30"/>
    </sheetView>
  </sheetViews>
  <sheetFormatPr defaultRowHeight="12"/>
  <sheetData>
    <row r="1" spans="1:9">
      <c r="A1" t="s">
        <v>82</v>
      </c>
      <c r="F1">
        <v>204</v>
      </c>
      <c r="H1">
        <f>SUM(F1:G1)</f>
        <v>204</v>
      </c>
    </row>
    <row r="2" spans="1:9">
      <c r="A2" t="s">
        <v>83</v>
      </c>
      <c r="F2">
        <v>676</v>
      </c>
      <c r="G2">
        <v>264</v>
      </c>
      <c r="H2">
        <f t="shared" ref="H2:H7" si="0">SUM(F2:G2)</f>
        <v>940</v>
      </c>
    </row>
    <row r="3" spans="1:9">
      <c r="A3" t="s">
        <v>84</v>
      </c>
      <c r="F3">
        <v>1083</v>
      </c>
      <c r="G3">
        <v>962</v>
      </c>
      <c r="H3">
        <f t="shared" si="0"/>
        <v>2045</v>
      </c>
    </row>
    <row r="4" spans="1:9">
      <c r="A4" t="s">
        <v>85</v>
      </c>
      <c r="F4">
        <v>16</v>
      </c>
      <c r="G4">
        <v>45</v>
      </c>
      <c r="H4">
        <f t="shared" si="0"/>
        <v>61</v>
      </c>
    </row>
    <row r="5" spans="1:9">
      <c r="A5" t="s">
        <v>86</v>
      </c>
      <c r="F5">
        <v>2914</v>
      </c>
      <c r="G5">
        <v>1963</v>
      </c>
      <c r="H5">
        <f t="shared" si="0"/>
        <v>4877</v>
      </c>
      <c r="I5">
        <f>6377-H5</f>
        <v>1500</v>
      </c>
    </row>
    <row r="6" spans="1:9">
      <c r="A6" t="s">
        <v>87</v>
      </c>
      <c r="F6">
        <v>854</v>
      </c>
      <c r="G6">
        <v>319</v>
      </c>
      <c r="H6">
        <f t="shared" si="0"/>
        <v>1173</v>
      </c>
    </row>
    <row r="7" spans="1:9">
      <c r="G7">
        <v>949</v>
      </c>
      <c r="H7">
        <f t="shared" si="0"/>
        <v>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"/>
  <sheetViews>
    <sheetView view="pageBreakPreview" zoomScale="60" zoomScaleNormal="100" workbookViewId="0">
      <selection activeCell="C20" sqref="C20:H20"/>
    </sheetView>
  </sheetViews>
  <sheetFormatPr defaultRowHeight="12.75"/>
  <cols>
    <col min="1" max="1" width="10.5703125" style="4" customWidth="1"/>
    <col min="2" max="2" width="40.42578125" customWidth="1"/>
    <col min="3" max="3" width="9.7109375" customWidth="1"/>
    <col min="5" max="5" width="8.5703125" customWidth="1"/>
    <col min="7" max="7" width="10.28515625" customWidth="1"/>
    <col min="9" max="9" width="10.7109375" customWidth="1"/>
  </cols>
  <sheetData>
    <row r="1" spans="1:8" ht="15.75">
      <c r="A1" s="3"/>
    </row>
    <row r="2" spans="1:8" ht="15.75">
      <c r="A2" s="3" t="s">
        <v>0</v>
      </c>
    </row>
    <row r="4" spans="1:8" ht="15.75">
      <c r="B4" s="1" t="s">
        <v>88</v>
      </c>
      <c r="C4" s="1"/>
      <c r="D4" s="1"/>
      <c r="E4" s="2"/>
      <c r="F4" s="1"/>
      <c r="G4" s="1"/>
      <c r="H4" s="2"/>
    </row>
    <row r="5" spans="1:8">
      <c r="C5" t="s">
        <v>89</v>
      </c>
      <c r="D5" t="s">
        <v>90</v>
      </c>
      <c r="E5" t="s">
        <v>91</v>
      </c>
      <c r="F5" t="s">
        <v>92</v>
      </c>
      <c r="G5" t="s">
        <v>93</v>
      </c>
      <c r="H5" s="6" t="s">
        <v>94</v>
      </c>
    </row>
    <row r="6" spans="1:8" ht="15.75">
      <c r="B6" s="1" t="s">
        <v>95</v>
      </c>
      <c r="H6" s="6"/>
    </row>
    <row r="7" spans="1:8" ht="23.25" customHeight="1">
      <c r="B7" s="7"/>
      <c r="C7" t="s">
        <v>96</v>
      </c>
      <c r="D7" t="s">
        <v>97</v>
      </c>
      <c r="E7" t="s">
        <v>98</v>
      </c>
      <c r="F7" t="s">
        <v>99</v>
      </c>
      <c r="G7" t="s">
        <v>100</v>
      </c>
      <c r="H7" t="s">
        <v>101</v>
      </c>
    </row>
    <row r="8" spans="1:8" s="32" customFormat="1" ht="15.75" customHeight="1">
      <c r="A8" s="108" t="s">
        <v>102</v>
      </c>
      <c r="B8" s="108" t="s">
        <v>103</v>
      </c>
      <c r="C8" s="110" t="s">
        <v>104</v>
      </c>
      <c r="D8" s="111"/>
      <c r="E8" s="111"/>
      <c r="F8" s="111"/>
      <c r="G8" s="111"/>
      <c r="H8" s="112"/>
    </row>
    <row r="9" spans="1:8" s="32" customFormat="1" ht="15.75" customHeight="1">
      <c r="A9" s="109"/>
      <c r="B9" s="109"/>
      <c r="C9" s="113"/>
      <c r="D9" s="114"/>
      <c r="E9" s="114"/>
      <c r="F9" s="114"/>
      <c r="G9" s="114"/>
      <c r="H9" s="115"/>
    </row>
    <row r="10" spans="1:8" s="23" customFormat="1" ht="26.25" customHeight="1">
      <c r="A10" s="26">
        <v>1</v>
      </c>
      <c r="B10" s="27" t="str">
        <f>Sheet1!B8</f>
        <v>นายวิชาญ  กิติโสภากุล</v>
      </c>
      <c r="C10" s="105"/>
      <c r="D10" s="106"/>
      <c r="E10" s="106"/>
      <c r="F10" s="106"/>
      <c r="G10" s="106"/>
      <c r="H10" s="107"/>
    </row>
    <row r="11" spans="1:8" s="23" customFormat="1" ht="26.25" customHeight="1">
      <c r="A11" s="26">
        <v>2</v>
      </c>
      <c r="B11" s="27" t="str">
        <f>Sheet1!B9</f>
        <v>นางรัตนาภรณ์  กิติโสภากุล</v>
      </c>
      <c r="C11" s="105"/>
      <c r="D11" s="106"/>
      <c r="E11" s="106"/>
      <c r="F11" s="106"/>
      <c r="G11" s="106"/>
      <c r="H11" s="107"/>
    </row>
    <row r="12" spans="1:8" s="23" customFormat="1" ht="26.25" customHeight="1">
      <c r="A12" s="26">
        <v>3</v>
      </c>
      <c r="B12" s="27" t="str">
        <f>Sheet1!B10</f>
        <v>น.ส.กุลนันท์  ชาสะอาด</v>
      </c>
      <c r="C12" s="105"/>
      <c r="D12" s="106"/>
      <c r="E12" s="106"/>
      <c r="F12" s="106"/>
      <c r="G12" s="106"/>
      <c r="H12" s="107"/>
    </row>
    <row r="13" spans="1:8" s="23" customFormat="1" ht="26.25" customHeight="1">
      <c r="A13" s="26">
        <v>4</v>
      </c>
      <c r="B13" s="27" t="str">
        <f>Sheet1!B11</f>
        <v>นายเกียรติยศ  ศรีสลวยกุล</v>
      </c>
      <c r="C13" s="105"/>
      <c r="D13" s="106"/>
      <c r="E13" s="106"/>
      <c r="F13" s="106"/>
      <c r="G13" s="106"/>
      <c r="H13" s="107"/>
    </row>
    <row r="14" spans="1:8" s="23" customFormat="1" ht="26.25" customHeight="1">
      <c r="A14" s="26">
        <v>5</v>
      </c>
      <c r="B14" s="27" t="str">
        <f>Sheet1!B12</f>
        <v>น.ส.จันทร์อัมพร  นวนศรี(แอน)</v>
      </c>
      <c r="C14" s="105"/>
      <c r="D14" s="106"/>
      <c r="E14" s="106"/>
      <c r="F14" s="106"/>
      <c r="G14" s="106"/>
      <c r="H14" s="107"/>
    </row>
    <row r="15" spans="1:8" s="23" customFormat="1" ht="26.25" customHeight="1">
      <c r="A15" s="26">
        <v>6</v>
      </c>
      <c r="B15" s="27" t="str">
        <f>Sheet1!B13</f>
        <v>นายอดิศักดิ์ ตอรบรัมย์(ศักดิ์)</v>
      </c>
      <c r="C15" s="105"/>
      <c r="D15" s="106"/>
      <c r="E15" s="106"/>
      <c r="F15" s="106"/>
      <c r="G15" s="106"/>
      <c r="H15" s="107"/>
    </row>
    <row r="16" spans="1:8" s="23" customFormat="1" ht="26.25" customHeight="1">
      <c r="A16" s="26">
        <v>7</v>
      </c>
      <c r="B16" s="27" t="str">
        <f>Sheet1!B14</f>
        <v>นายสมพงษ์ อาจกล้า(พงษ์)</v>
      </c>
      <c r="C16" s="105"/>
      <c r="D16" s="106"/>
      <c r="E16" s="106"/>
      <c r="F16" s="106"/>
      <c r="G16" s="106"/>
      <c r="H16" s="107"/>
    </row>
    <row r="17" spans="1:8" s="23" customFormat="1" ht="26.25" customHeight="1">
      <c r="A17" s="26">
        <v>8</v>
      </c>
      <c r="B17" s="27" t="str">
        <f>Sheet1!B15</f>
        <v>นางสาวเยาวลักษณ์ วงษ์สีดา</v>
      </c>
      <c r="C17" s="105"/>
      <c r="D17" s="106"/>
      <c r="E17" s="106"/>
      <c r="F17" s="106"/>
      <c r="G17" s="106"/>
      <c r="H17" s="107"/>
    </row>
    <row r="18" spans="1:8" s="23" customFormat="1" ht="26.25" customHeight="1">
      <c r="A18" s="26">
        <v>9</v>
      </c>
      <c r="B18" s="27" t="s">
        <v>68</v>
      </c>
      <c r="C18" s="105"/>
      <c r="D18" s="106"/>
      <c r="E18" s="106"/>
      <c r="F18" s="106"/>
      <c r="G18" s="106"/>
      <c r="H18" s="107"/>
    </row>
    <row r="19" spans="1:8" s="23" customFormat="1" ht="26.25" customHeight="1">
      <c r="A19" s="26"/>
      <c r="B19" s="27"/>
      <c r="C19" s="105"/>
      <c r="D19" s="106"/>
      <c r="E19" s="106"/>
      <c r="F19" s="106"/>
      <c r="G19" s="106"/>
      <c r="H19" s="107"/>
    </row>
    <row r="20" spans="1:8" s="23" customFormat="1" ht="26.25" customHeight="1">
      <c r="A20" s="26"/>
      <c r="B20" s="27"/>
      <c r="C20" s="105"/>
      <c r="D20" s="106"/>
      <c r="E20" s="106"/>
      <c r="F20" s="106"/>
      <c r="G20" s="106"/>
      <c r="H20" s="107"/>
    </row>
    <row r="21" spans="1:8" s="23" customFormat="1" ht="26.25" customHeight="1">
      <c r="A21" s="26"/>
      <c r="B21" s="27"/>
      <c r="C21" s="105"/>
      <c r="D21" s="106"/>
      <c r="E21" s="106"/>
      <c r="F21" s="106"/>
      <c r="G21" s="106"/>
      <c r="H21" s="107"/>
    </row>
    <row r="22" spans="1:8" s="23" customFormat="1" ht="26.25" customHeight="1">
      <c r="A22" s="26"/>
      <c r="B22" s="27"/>
      <c r="C22" s="105"/>
      <c r="D22" s="106"/>
      <c r="E22" s="106"/>
      <c r="F22" s="106"/>
      <c r="G22" s="106"/>
      <c r="H22" s="107"/>
    </row>
    <row r="23" spans="1:8" s="23" customFormat="1" ht="26.25" customHeight="1">
      <c r="A23" s="26"/>
      <c r="B23" s="27"/>
      <c r="C23" s="105"/>
      <c r="D23" s="106"/>
      <c r="E23" s="106"/>
      <c r="F23" s="106"/>
      <c r="G23" s="106"/>
      <c r="H23" s="107"/>
    </row>
    <row r="24" spans="1:8" s="23" customFormat="1" ht="26.25" customHeight="1">
      <c r="A24" s="26"/>
      <c r="B24" s="27"/>
      <c r="C24" s="105"/>
      <c r="D24" s="106"/>
      <c r="E24" s="106"/>
      <c r="F24" s="106"/>
      <c r="G24" s="106"/>
      <c r="H24" s="107"/>
    </row>
    <row r="25" spans="1:8" s="23" customFormat="1" ht="26.25" customHeight="1">
      <c r="A25" s="26"/>
      <c r="B25" s="27"/>
      <c r="C25" s="105"/>
      <c r="D25" s="106"/>
      <c r="E25" s="106"/>
      <c r="F25" s="106"/>
      <c r="G25" s="106"/>
      <c r="H25" s="107"/>
    </row>
    <row r="26" spans="1:8" s="23" customFormat="1" ht="26.25" customHeight="1">
      <c r="A26" s="26"/>
      <c r="B26" s="27"/>
      <c r="C26" s="105"/>
      <c r="D26" s="106"/>
      <c r="E26" s="106"/>
      <c r="F26" s="106"/>
      <c r="G26" s="106"/>
      <c r="H26" s="107"/>
    </row>
    <row r="27" spans="1:8" s="23" customFormat="1" ht="26.25" customHeight="1">
      <c r="A27" s="26"/>
      <c r="B27" s="27"/>
      <c r="C27" s="105"/>
      <c r="D27" s="106"/>
      <c r="E27" s="106"/>
      <c r="F27" s="106"/>
      <c r="G27" s="106"/>
      <c r="H27" s="107"/>
    </row>
    <row r="28" spans="1:8" s="23" customFormat="1" ht="26.25" customHeight="1">
      <c r="A28" s="26"/>
      <c r="B28" s="27"/>
      <c r="C28" s="105"/>
      <c r="D28" s="106"/>
      <c r="E28" s="106"/>
      <c r="F28" s="106"/>
      <c r="G28" s="106"/>
      <c r="H28" s="107"/>
    </row>
    <row r="29" spans="1:8" s="23" customFormat="1" ht="26.25" customHeight="1">
      <c r="A29" s="26"/>
      <c r="B29" s="27"/>
      <c r="C29" s="105"/>
      <c r="D29" s="106"/>
      <c r="E29" s="106"/>
      <c r="F29" s="106"/>
      <c r="G29" s="106"/>
      <c r="H29" s="107"/>
    </row>
    <row r="30" spans="1:8" s="23" customFormat="1" ht="26.25" customHeight="1">
      <c r="A30" s="26"/>
      <c r="B30" s="27"/>
      <c r="C30" s="105"/>
      <c r="D30" s="106"/>
      <c r="E30" s="106"/>
      <c r="F30" s="106"/>
      <c r="G30" s="106"/>
      <c r="H30" s="107"/>
    </row>
    <row r="31" spans="1:8" s="23" customFormat="1" ht="26.25" customHeight="1">
      <c r="A31" s="26"/>
      <c r="B31" s="27"/>
      <c r="C31" s="105"/>
      <c r="D31" s="106"/>
      <c r="E31" s="106"/>
      <c r="F31" s="106"/>
      <c r="G31" s="106"/>
      <c r="H31" s="107"/>
    </row>
    <row r="32" spans="1:8" s="23" customFormat="1" ht="26.25" customHeight="1">
      <c r="A32" s="26"/>
      <c r="B32" s="27"/>
      <c r="C32" s="105"/>
      <c r="D32" s="106"/>
      <c r="E32" s="106"/>
      <c r="F32" s="106"/>
      <c r="G32" s="106"/>
      <c r="H32" s="107"/>
    </row>
    <row r="33" spans="1:8" s="23" customFormat="1" ht="26.25" customHeight="1">
      <c r="A33" s="26"/>
      <c r="B33" s="27"/>
      <c r="C33" s="105"/>
      <c r="D33" s="106"/>
      <c r="E33" s="106"/>
      <c r="F33" s="106"/>
      <c r="G33" s="106"/>
      <c r="H33" s="107"/>
    </row>
    <row r="34" spans="1:8" s="23" customFormat="1" ht="26.25" customHeight="1">
      <c r="A34" s="26"/>
      <c r="B34" s="27"/>
      <c r="C34" s="105"/>
      <c r="D34" s="106"/>
      <c r="E34" s="106"/>
      <c r="F34" s="106"/>
      <c r="G34" s="106"/>
      <c r="H34" s="107"/>
    </row>
    <row r="35" spans="1:8" s="23" customFormat="1" ht="26.25" customHeight="1">
      <c r="A35" s="26"/>
      <c r="B35" s="27"/>
      <c r="C35" s="105"/>
      <c r="D35" s="106"/>
      <c r="E35" s="106"/>
      <c r="F35" s="106"/>
      <c r="G35" s="106"/>
      <c r="H35" s="107"/>
    </row>
    <row r="36" spans="1:8" s="23" customFormat="1" ht="26.25" customHeight="1">
      <c r="A36" s="26"/>
      <c r="B36" s="27"/>
      <c r="C36" s="105"/>
      <c r="D36" s="106"/>
      <c r="E36" s="106"/>
      <c r="F36" s="106"/>
      <c r="G36" s="106"/>
      <c r="H36" s="107"/>
    </row>
    <row r="37" spans="1:8" s="23" customFormat="1" ht="31.5" customHeight="1">
      <c r="A37" s="26"/>
      <c r="B37" s="27"/>
      <c r="C37" s="105"/>
      <c r="D37" s="106"/>
      <c r="E37" s="106"/>
      <c r="F37" s="106"/>
      <c r="G37" s="106"/>
      <c r="H37" s="107"/>
    </row>
    <row r="38" spans="1:8" s="23" customFormat="1" ht="31.5" customHeight="1">
      <c r="A38" s="26"/>
      <c r="B38" s="27"/>
      <c r="C38" s="105"/>
      <c r="D38" s="106"/>
      <c r="E38" s="106"/>
      <c r="F38" s="106"/>
      <c r="G38" s="106"/>
      <c r="H38" s="107"/>
    </row>
    <row r="39" spans="1:8" s="23" customFormat="1" ht="31.5" customHeight="1">
      <c r="A39" s="26"/>
      <c r="B39" s="27"/>
      <c r="C39" s="105"/>
      <c r="D39" s="106"/>
      <c r="E39" s="106"/>
      <c r="F39" s="106"/>
      <c r="G39" s="106"/>
      <c r="H39" s="107"/>
    </row>
    <row r="40" spans="1:8" s="23" customFormat="1" ht="31.5" customHeight="1">
      <c r="A40" s="26"/>
      <c r="B40" s="27"/>
      <c r="C40" s="105"/>
      <c r="D40" s="106"/>
      <c r="E40" s="106"/>
      <c r="F40" s="106"/>
      <c r="G40" s="106"/>
      <c r="H40" s="107"/>
    </row>
    <row r="41" spans="1:8" s="23" customFormat="1" ht="31.5" customHeight="1">
      <c r="A41" s="26"/>
      <c r="B41" s="27"/>
      <c r="C41" s="105"/>
      <c r="D41" s="106"/>
      <c r="E41" s="106"/>
      <c r="F41" s="106"/>
      <c r="G41" s="106"/>
      <c r="H41" s="107"/>
    </row>
    <row r="42" spans="1:8" s="23" customFormat="1" ht="30" customHeight="1">
      <c r="A42" s="26"/>
      <c r="B42" s="27"/>
      <c r="C42" s="105"/>
      <c r="D42" s="106"/>
      <c r="E42" s="106"/>
      <c r="F42" s="106"/>
      <c r="G42" s="106"/>
      <c r="H42" s="107"/>
    </row>
    <row r="43" spans="1:8" s="23" customFormat="1" ht="30" customHeight="1">
      <c r="A43" s="26"/>
      <c r="B43" s="27"/>
      <c r="C43" s="105"/>
      <c r="D43" s="106"/>
      <c r="E43" s="106"/>
      <c r="F43" s="106"/>
      <c r="G43" s="106"/>
      <c r="H43" s="107"/>
    </row>
    <row r="44" spans="1:8" s="23" customFormat="1" ht="30" customHeight="1">
      <c r="A44" s="26"/>
      <c r="B44" s="27"/>
      <c r="C44" s="105"/>
      <c r="D44" s="106"/>
      <c r="E44" s="106"/>
      <c r="F44" s="106"/>
      <c r="G44" s="106"/>
      <c r="H44" s="107"/>
    </row>
    <row r="45" spans="1:8" s="23" customFormat="1" ht="30" customHeight="1">
      <c r="A45" s="26"/>
      <c r="B45" s="27"/>
      <c r="C45" s="105"/>
      <c r="D45" s="106"/>
      <c r="E45" s="106"/>
      <c r="F45" s="106"/>
      <c r="G45" s="106"/>
      <c r="H45" s="107"/>
    </row>
    <row r="46" spans="1:8" ht="36.75" customHeight="1">
      <c r="A46" s="5">
        <v>36</v>
      </c>
      <c r="B46" s="16">
        <f>'[1]Operation Report'!B43</f>
        <v>0</v>
      </c>
      <c r="C46" s="28"/>
      <c r="D46" s="28"/>
      <c r="E46" s="29"/>
      <c r="F46" s="30"/>
      <c r="G46" s="30"/>
      <c r="H46" s="31"/>
    </row>
    <row r="47" spans="1:8" ht="36.75" customHeight="1">
      <c r="A47" s="5"/>
      <c r="B47" s="16">
        <f>'[1]Operation Report'!B44</f>
        <v>0</v>
      </c>
      <c r="C47" s="28"/>
      <c r="D47" s="28"/>
      <c r="E47" s="29"/>
      <c r="F47" s="30"/>
      <c r="G47" s="30"/>
      <c r="H47" s="31"/>
    </row>
    <row r="48" spans="1:8" ht="36.75" customHeight="1">
      <c r="A48" s="5"/>
      <c r="B48" s="16">
        <f>'[1]Operation Report'!B45</f>
        <v>0</v>
      </c>
      <c r="C48" s="28"/>
      <c r="D48" s="28"/>
      <c r="E48" s="29"/>
      <c r="F48" s="30"/>
      <c r="G48" s="30"/>
      <c r="H48" s="31"/>
    </row>
    <row r="49" spans="1:8" ht="24.75" customHeight="1">
      <c r="A49" s="5"/>
      <c r="B49" s="16">
        <f>'[1]Operation Report'!B46</f>
        <v>0</v>
      </c>
      <c r="C49" s="28"/>
      <c r="D49" s="28"/>
      <c r="E49" s="29"/>
      <c r="F49" s="30"/>
      <c r="G49" s="30"/>
      <c r="H49" s="31"/>
    </row>
    <row r="50" spans="1:8" ht="24.75" customHeight="1">
      <c r="A50" s="5"/>
      <c r="B50" s="16"/>
      <c r="C50" s="28"/>
      <c r="D50" s="28"/>
      <c r="E50" s="29"/>
      <c r="F50" s="30"/>
      <c r="G50" s="30"/>
      <c r="H50" s="31"/>
    </row>
    <row r="51" spans="1:8" ht="40.5" customHeight="1"/>
    <row r="52" spans="1:8" ht="40.5" customHeight="1"/>
    <row r="53" spans="1:8" ht="40.5" customHeight="1"/>
    <row r="54" spans="1:8" ht="32.25" customHeight="1"/>
    <row r="55" spans="1:8" ht="32.25" customHeight="1"/>
  </sheetData>
  <mergeCells count="39">
    <mergeCell ref="C18:H18"/>
    <mergeCell ref="C19:H19"/>
    <mergeCell ref="C10:H10"/>
    <mergeCell ref="C11:H11"/>
    <mergeCell ref="C12:H12"/>
    <mergeCell ref="C13:H13"/>
    <mergeCell ref="C14:H14"/>
    <mergeCell ref="A8:A9"/>
    <mergeCell ref="C38:H38"/>
    <mergeCell ref="C39:H39"/>
    <mergeCell ref="C40:H40"/>
    <mergeCell ref="C41:H41"/>
    <mergeCell ref="C28:H28"/>
    <mergeCell ref="C29:H29"/>
    <mergeCell ref="C30:H30"/>
    <mergeCell ref="C31:H31"/>
    <mergeCell ref="C32:H32"/>
    <mergeCell ref="C20:H20"/>
    <mergeCell ref="C21:H21"/>
    <mergeCell ref="C36:H36"/>
    <mergeCell ref="C22:H22"/>
    <mergeCell ref="C23:H23"/>
    <mergeCell ref="C24:H24"/>
    <mergeCell ref="C42:H42"/>
    <mergeCell ref="C37:H37"/>
    <mergeCell ref="C44:H44"/>
    <mergeCell ref="C45:H45"/>
    <mergeCell ref="B8:B9"/>
    <mergeCell ref="C8:H9"/>
    <mergeCell ref="C43:H43"/>
    <mergeCell ref="C33:H33"/>
    <mergeCell ref="C34:H34"/>
    <mergeCell ref="C35:H35"/>
    <mergeCell ref="C25:H25"/>
    <mergeCell ref="C26:H26"/>
    <mergeCell ref="C27:H27"/>
    <mergeCell ref="C15:H15"/>
    <mergeCell ref="C16:H16"/>
    <mergeCell ref="C17:H17"/>
  </mergeCells>
  <phoneticPr fontId="4" type="noConversion"/>
  <pageMargins left="0.75" right="0.75" top="1" bottom="1" header="0.5" footer="0.5"/>
  <pageSetup paperSize="9"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C15" sqref="C15:H15"/>
    </sheetView>
  </sheetViews>
  <sheetFormatPr defaultRowHeight="12.75"/>
  <cols>
    <col min="1" max="1" width="7.7109375" style="4" customWidth="1"/>
    <col min="2" max="2" width="31.7109375" customWidth="1"/>
    <col min="3" max="3" width="9.7109375" customWidth="1"/>
    <col min="4" max="4" width="9.85546875" customWidth="1"/>
    <col min="5" max="5" width="8.140625" customWidth="1"/>
    <col min="6" max="6" width="7.5703125" customWidth="1"/>
    <col min="7" max="7" width="9.28515625" customWidth="1"/>
    <col min="8" max="8" width="8.28515625" customWidth="1"/>
    <col min="9" max="9" width="10.7109375" customWidth="1"/>
  </cols>
  <sheetData>
    <row r="1" spans="1:9" ht="15.75">
      <c r="A1" s="3"/>
    </row>
    <row r="2" spans="1:9" ht="15.75">
      <c r="A2" s="3" t="s">
        <v>0</v>
      </c>
    </row>
    <row r="4" spans="1:9" ht="15.75">
      <c r="B4" s="1"/>
      <c r="C4" s="1"/>
      <c r="D4" s="1"/>
      <c r="E4" s="2"/>
      <c r="F4" s="1"/>
      <c r="G4" s="1"/>
      <c r="H4" s="2"/>
    </row>
    <row r="5" spans="1:9">
      <c r="C5" t="s">
        <v>89</v>
      </c>
      <c r="D5" t="s">
        <v>90</v>
      </c>
      <c r="E5" t="s">
        <v>91</v>
      </c>
      <c r="F5" t="s">
        <v>92</v>
      </c>
      <c r="G5" t="s">
        <v>93</v>
      </c>
      <c r="H5" s="6" t="s">
        <v>94</v>
      </c>
    </row>
    <row r="6" spans="1:9" ht="15.75">
      <c r="B6" s="1" t="s">
        <v>95</v>
      </c>
      <c r="H6" s="6"/>
    </row>
    <row r="7" spans="1:9" ht="23.25" customHeight="1">
      <c r="B7" s="7"/>
      <c r="C7" t="s">
        <v>96</v>
      </c>
      <c r="D7" t="s">
        <v>97</v>
      </c>
      <c r="E7" t="s">
        <v>98</v>
      </c>
      <c r="F7" t="s">
        <v>99</v>
      </c>
      <c r="G7" t="s">
        <v>100</v>
      </c>
      <c r="H7" t="s">
        <v>101</v>
      </c>
    </row>
    <row r="8" spans="1:9" ht="34.5" customHeight="1">
      <c r="A8" s="8" t="s">
        <v>102</v>
      </c>
      <c r="B8" s="9" t="s">
        <v>105</v>
      </c>
      <c r="C8" s="119" t="s">
        <v>104</v>
      </c>
      <c r="D8" s="120"/>
      <c r="E8" s="120"/>
      <c r="F8" s="120"/>
      <c r="G8" s="120"/>
      <c r="H8" s="121"/>
      <c r="I8" s="10"/>
    </row>
    <row r="9" spans="1:9" ht="9.75" hidden="1" customHeight="1">
      <c r="A9" s="11"/>
      <c r="B9" s="12"/>
      <c r="C9" s="13"/>
      <c r="D9" s="14"/>
      <c r="E9" s="13"/>
      <c r="F9" s="12"/>
      <c r="G9" s="12"/>
      <c r="H9" s="15"/>
    </row>
    <row r="10" spans="1:9" ht="23.25" customHeight="1">
      <c r="A10" s="5">
        <v>1</v>
      </c>
      <c r="B10" s="17" t="s">
        <v>38</v>
      </c>
      <c r="C10" s="116"/>
      <c r="D10" s="117"/>
      <c r="E10" s="117"/>
      <c r="F10" s="117"/>
      <c r="G10" s="117"/>
      <c r="H10" s="118"/>
    </row>
    <row r="11" spans="1:9" ht="23.25" customHeight="1">
      <c r="A11" s="5">
        <v>2</v>
      </c>
      <c r="B11" s="17" t="s">
        <v>41</v>
      </c>
      <c r="C11" s="116"/>
      <c r="D11" s="117"/>
      <c r="E11" s="117"/>
      <c r="F11" s="117"/>
      <c r="G11" s="117"/>
      <c r="H11" s="118"/>
    </row>
    <row r="12" spans="1:9" ht="23.25" customHeight="1">
      <c r="A12" s="5">
        <v>3</v>
      </c>
      <c r="B12" s="17" t="s">
        <v>46</v>
      </c>
      <c r="C12" s="116"/>
      <c r="D12" s="117"/>
      <c r="E12" s="117"/>
      <c r="F12" s="117"/>
      <c r="G12" s="117"/>
      <c r="H12" s="118"/>
    </row>
    <row r="13" spans="1:9" ht="23.25" customHeight="1">
      <c r="A13" s="5">
        <v>4</v>
      </c>
      <c r="B13" s="17" t="s">
        <v>51</v>
      </c>
      <c r="C13" s="116"/>
      <c r="D13" s="117"/>
      <c r="E13" s="117"/>
      <c r="F13" s="117"/>
      <c r="G13" s="117"/>
      <c r="H13" s="118"/>
    </row>
    <row r="14" spans="1:9" ht="23.25" customHeight="1">
      <c r="A14" s="5">
        <v>5</v>
      </c>
      <c r="B14" s="17" t="s">
        <v>56</v>
      </c>
      <c r="C14" s="116"/>
      <c r="D14" s="117"/>
      <c r="E14" s="117"/>
      <c r="F14" s="117"/>
      <c r="G14" s="117"/>
      <c r="H14" s="118"/>
    </row>
    <row r="15" spans="1:9" ht="23.25" customHeight="1">
      <c r="A15" s="5">
        <v>6</v>
      </c>
      <c r="B15" s="17" t="s">
        <v>106</v>
      </c>
      <c r="C15" s="116"/>
      <c r="D15" s="117"/>
      <c r="E15" s="117"/>
      <c r="F15" s="117"/>
      <c r="G15" s="117"/>
      <c r="H15" s="118"/>
    </row>
    <row r="16" spans="1:9" ht="23.25" customHeight="1">
      <c r="A16" s="5">
        <v>7</v>
      </c>
      <c r="B16" s="17" t="s">
        <v>68</v>
      </c>
      <c r="C16" s="116"/>
      <c r="D16" s="117"/>
      <c r="E16" s="117"/>
      <c r="F16" s="117"/>
      <c r="G16" s="117"/>
      <c r="H16" s="118"/>
    </row>
    <row r="17" spans="1:8" ht="23.25" customHeight="1">
      <c r="A17" s="5">
        <v>8</v>
      </c>
      <c r="B17" s="17" t="s">
        <v>61</v>
      </c>
      <c r="C17" s="116"/>
      <c r="D17" s="117"/>
      <c r="E17" s="117"/>
      <c r="F17" s="117"/>
      <c r="G17" s="117"/>
      <c r="H17" s="118"/>
    </row>
    <row r="18" spans="1:8" ht="23.25" customHeight="1">
      <c r="A18" s="5"/>
      <c r="B18" s="17"/>
      <c r="C18" s="116"/>
      <c r="D18" s="117"/>
      <c r="E18" s="117"/>
      <c r="F18" s="117"/>
      <c r="G18" s="117"/>
      <c r="H18" s="118"/>
    </row>
    <row r="19" spans="1:8" ht="23.25" customHeight="1">
      <c r="A19" s="5"/>
      <c r="B19" s="16"/>
      <c r="C19" s="116"/>
      <c r="D19" s="117"/>
      <c r="E19" s="117"/>
      <c r="F19" s="117"/>
      <c r="G19" s="117"/>
      <c r="H19" s="118"/>
    </row>
    <row r="20" spans="1:8" ht="23.25" customHeight="1">
      <c r="A20" s="5"/>
      <c r="B20" s="16"/>
      <c r="C20" s="116"/>
      <c r="D20" s="117"/>
      <c r="E20" s="117"/>
      <c r="F20" s="117"/>
      <c r="G20" s="117"/>
      <c r="H20" s="118"/>
    </row>
    <row r="21" spans="1:8" ht="23.25" customHeight="1">
      <c r="A21" s="5"/>
      <c r="B21" s="16"/>
      <c r="C21" s="116"/>
      <c r="D21" s="117"/>
      <c r="E21" s="117"/>
      <c r="F21" s="117"/>
      <c r="G21" s="117"/>
      <c r="H21" s="118"/>
    </row>
    <row r="22" spans="1:8" ht="40.5" customHeight="1"/>
    <row r="23" spans="1:8" ht="40.5" customHeight="1"/>
    <row r="24" spans="1:8" ht="40.5" customHeight="1"/>
    <row r="25" spans="1:8" ht="32.25" customHeight="1"/>
    <row r="26" spans="1:8" ht="32.25" customHeight="1"/>
  </sheetData>
  <mergeCells count="13">
    <mergeCell ref="C8:H8"/>
    <mergeCell ref="C10:H10"/>
    <mergeCell ref="C11:H11"/>
    <mergeCell ref="C12:H12"/>
    <mergeCell ref="C13:H13"/>
    <mergeCell ref="C14:H14"/>
    <mergeCell ref="C21:H21"/>
    <mergeCell ref="C15:H15"/>
    <mergeCell ref="C16:H16"/>
    <mergeCell ref="C17:H17"/>
    <mergeCell ref="C18:H18"/>
    <mergeCell ref="C19:H19"/>
    <mergeCell ref="C20:H20"/>
  </mergeCells>
  <pageMargins left="0.45" right="0.45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</dc:creator>
  <cp:keywords/>
  <dc:description/>
  <cp:lastModifiedBy>Kanyakorn Kitisopakul</cp:lastModifiedBy>
  <cp:revision/>
  <dcterms:created xsi:type="dcterms:W3CDTF">2007-08-29T10:50:10Z</dcterms:created>
  <dcterms:modified xsi:type="dcterms:W3CDTF">2023-11-30T11:49:57Z</dcterms:modified>
  <cp:category/>
  <cp:contentStatus/>
</cp:coreProperties>
</file>