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Mining\Project\5904_2021010180_NguyenThiKimKieu_2021010319_LamHoThienTong\Tập Tin\Giải Thuật Toán bằng tay\"/>
    </mc:Choice>
  </mc:AlternateContent>
  <xr:revisionPtr revIDLastSave="0" documentId="13_ncr:1_{5DDBED42-5E9B-4000-AD25-0B4E3A2CBDE4}" xr6:coauthVersionLast="47" xr6:coauthVersionMax="47" xr10:uidLastSave="{00000000-0000-0000-0000-000000000000}"/>
  <bookViews>
    <workbookView xWindow="-108" yWindow="-108" windowWidth="23256" windowHeight="12456" firstSheet="1" activeTab="5" xr2:uid="{1689CB4D-DA18-407E-90AD-F20D2DB2C86D}"/>
  </bookViews>
  <sheets>
    <sheet name="Dữ liệu thô" sheetId="1" r:id="rId1"/>
    <sheet name="Tiền xử lý dữ liệu" sheetId="2" r:id="rId2"/>
    <sheet name="Phân cụm lần khởi tạo" sheetId="3" r:id="rId3"/>
    <sheet name="Phân cụm lần 1" sheetId="5" r:id="rId4"/>
    <sheet name="Phân cụm lần 2" sheetId="8" r:id="rId5"/>
    <sheet name="Phân cụm lần 3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0" i="9" l="1"/>
  <c r="X29" i="9"/>
  <c r="X28" i="9"/>
  <c r="N2" i="9"/>
  <c r="N3" i="9"/>
  <c r="N4" i="9"/>
  <c r="N5" i="9"/>
  <c r="N6" i="9"/>
  <c r="N7" i="9"/>
  <c r="N8" i="9"/>
  <c r="O5" i="9"/>
  <c r="O2" i="9"/>
  <c r="O8" i="9"/>
  <c r="O7" i="9"/>
  <c r="O6" i="9"/>
  <c r="O3" i="9"/>
  <c r="O4" i="9"/>
  <c r="M8" i="9"/>
  <c r="M7" i="9"/>
  <c r="M6" i="9"/>
  <c r="M5" i="9"/>
  <c r="M4" i="9"/>
  <c r="M3" i="9"/>
  <c r="M2" i="9"/>
  <c r="Z22" i="9"/>
  <c r="Z21" i="9"/>
  <c r="Z20" i="9"/>
  <c r="Z19" i="9"/>
  <c r="Z18" i="9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Z4" i="9"/>
  <c r="Z3" i="9"/>
  <c r="Z2" i="9"/>
  <c r="M2" i="8"/>
  <c r="M3" i="8"/>
  <c r="M4" i="8"/>
  <c r="M5" i="8"/>
  <c r="M6" i="8"/>
  <c r="M7" i="8"/>
  <c r="M8" i="8"/>
  <c r="N5" i="8"/>
  <c r="N8" i="8"/>
  <c r="N7" i="8"/>
  <c r="N6" i="8"/>
  <c r="N4" i="8"/>
  <c r="N3" i="8"/>
  <c r="N2" i="8"/>
  <c r="L8" i="8"/>
  <c r="L7" i="8"/>
  <c r="L6" i="8"/>
  <c r="L5" i="8"/>
  <c r="L4" i="8"/>
  <c r="L3" i="8"/>
  <c r="L2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Z2" i="8"/>
  <c r="K2" i="5"/>
  <c r="K3" i="5"/>
  <c r="K4" i="5"/>
  <c r="K5" i="5"/>
  <c r="K6" i="5"/>
  <c r="K7" i="5"/>
  <c r="K8" i="5"/>
  <c r="L2" i="5"/>
  <c r="L3" i="5"/>
  <c r="L4" i="5"/>
  <c r="L5" i="5"/>
  <c r="L6" i="5"/>
  <c r="L7" i="5"/>
  <c r="L8" i="5"/>
  <c r="M2" i="5"/>
  <c r="M3" i="5"/>
  <c r="M4" i="5"/>
  <c r="M5" i="5"/>
  <c r="M6" i="5"/>
  <c r="M7" i="5"/>
  <c r="M8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X2" i="5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5" i="3"/>
  <c r="S6" i="3"/>
  <c r="S7" i="3"/>
  <c r="S8" i="3"/>
  <c r="S4" i="3"/>
  <c r="S3" i="3"/>
  <c r="S2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3" i="3"/>
  <c r="R4" i="3"/>
  <c r="R5" i="3"/>
  <c r="R6" i="3"/>
  <c r="R2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3" i="3"/>
  <c r="Q4" i="3"/>
  <c r="Q5" i="3"/>
  <c r="Q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3" i="3"/>
  <c r="P2" i="3"/>
  <c r="S99" i="9" l="1"/>
  <c r="R41" i="9"/>
  <c r="S22" i="9"/>
  <c r="R11" i="9"/>
  <c r="R31" i="9"/>
  <c r="S18" i="9"/>
  <c r="S10" i="9"/>
  <c r="S28" i="9"/>
  <c r="R89" i="9"/>
  <c r="R15" i="9"/>
  <c r="S42" i="9"/>
  <c r="T56" i="9"/>
  <c r="T41" i="9"/>
  <c r="R6" i="9"/>
  <c r="R24" i="9"/>
  <c r="S16" i="9"/>
  <c r="R88" i="9"/>
  <c r="R2" i="9"/>
  <c r="S27" i="9"/>
  <c r="R44" i="9"/>
  <c r="S84" i="9"/>
  <c r="R99" i="9"/>
  <c r="R77" i="9"/>
  <c r="R36" i="9"/>
  <c r="R37" i="9"/>
  <c r="R60" i="9"/>
  <c r="R19" i="9"/>
  <c r="R26" i="9"/>
  <c r="R7" i="9"/>
  <c r="R4" i="9"/>
  <c r="S59" i="9"/>
  <c r="S101" i="9"/>
  <c r="R67" i="9"/>
  <c r="R96" i="9"/>
  <c r="R39" i="9"/>
  <c r="S95" i="9"/>
  <c r="S61" i="9"/>
  <c r="S12" i="9"/>
  <c r="T59" i="9"/>
  <c r="R64" i="9"/>
  <c r="R40" i="9"/>
  <c r="R13" i="9"/>
  <c r="R34" i="9"/>
  <c r="R72" i="9"/>
  <c r="S60" i="9"/>
  <c r="T99" i="9"/>
  <c r="U99" i="9" s="1"/>
  <c r="S2" i="9"/>
  <c r="S77" i="9"/>
  <c r="U77" i="9" s="1"/>
  <c r="S44" i="9"/>
  <c r="S6" i="9"/>
  <c r="S19" i="9"/>
  <c r="S96" i="9"/>
  <c r="S15" i="9"/>
  <c r="S88" i="9"/>
  <c r="S7" i="9"/>
  <c r="S31" i="9"/>
  <c r="S36" i="9"/>
  <c r="S37" i="9"/>
  <c r="S89" i="9"/>
  <c r="S24" i="9"/>
  <c r="S11" i="9"/>
  <c r="S26" i="9"/>
  <c r="S4" i="9"/>
  <c r="S39" i="9"/>
  <c r="S64" i="9"/>
  <c r="S40" i="9"/>
  <c r="S13" i="9"/>
  <c r="S34" i="9"/>
  <c r="R27" i="9"/>
  <c r="S72" i="9"/>
  <c r="T60" i="9"/>
  <c r="T2" i="9"/>
  <c r="T77" i="9"/>
  <c r="T44" i="9"/>
  <c r="T6" i="9"/>
  <c r="T19" i="9"/>
  <c r="T96" i="9"/>
  <c r="T15" i="9"/>
  <c r="T88" i="9"/>
  <c r="T7" i="9"/>
  <c r="T31" i="9"/>
  <c r="T36" i="9"/>
  <c r="T37" i="9"/>
  <c r="T89" i="9"/>
  <c r="T24" i="9"/>
  <c r="T11" i="9"/>
  <c r="T26" i="9"/>
  <c r="T4" i="9"/>
  <c r="T39" i="9"/>
  <c r="T64" i="9"/>
  <c r="T40" i="9"/>
  <c r="T34" i="9"/>
  <c r="T72" i="9"/>
  <c r="S41" i="9"/>
  <c r="T27" i="9"/>
  <c r="R42" i="9"/>
  <c r="R18" i="9"/>
  <c r="R95" i="9"/>
  <c r="R28" i="9"/>
  <c r="R84" i="9"/>
  <c r="R22" i="9"/>
  <c r="R61" i="9"/>
  <c r="R16" i="9"/>
  <c r="R100" i="9"/>
  <c r="R97" i="9"/>
  <c r="R101" i="9"/>
  <c r="R32" i="9"/>
  <c r="R10" i="9"/>
  <c r="R74" i="9"/>
  <c r="R70" i="9"/>
  <c r="R25" i="9"/>
  <c r="R38" i="9"/>
  <c r="R33" i="9"/>
  <c r="R46" i="9"/>
  <c r="R12" i="9"/>
  <c r="R90" i="9"/>
  <c r="S67" i="9"/>
  <c r="T42" i="9"/>
  <c r="T18" i="9"/>
  <c r="T95" i="9"/>
  <c r="T28" i="9"/>
  <c r="T84" i="9"/>
  <c r="T22" i="9"/>
  <c r="T61" i="9"/>
  <c r="T16" i="9"/>
  <c r="T100" i="9"/>
  <c r="T97" i="9"/>
  <c r="T101" i="9"/>
  <c r="T32" i="9"/>
  <c r="T10" i="9"/>
  <c r="T74" i="9"/>
  <c r="T70" i="9"/>
  <c r="T25" i="9"/>
  <c r="T38" i="9"/>
  <c r="T33" i="9"/>
  <c r="T46" i="9"/>
  <c r="T12" i="9"/>
  <c r="S100" i="9"/>
  <c r="S32" i="9"/>
  <c r="S33" i="9"/>
  <c r="R49" i="9"/>
  <c r="S90" i="9"/>
  <c r="T67" i="9"/>
  <c r="S46" i="9"/>
  <c r="R48" i="9"/>
  <c r="S49" i="9"/>
  <c r="T90" i="9"/>
  <c r="R94" i="9"/>
  <c r="R5" i="9"/>
  <c r="R43" i="9"/>
  <c r="R35" i="9"/>
  <c r="R85" i="9"/>
  <c r="R29" i="9"/>
  <c r="R86" i="9"/>
  <c r="R62" i="9"/>
  <c r="R17" i="9"/>
  <c r="R8" i="9"/>
  <c r="R9" i="9"/>
  <c r="R58" i="9"/>
  <c r="R79" i="9"/>
  <c r="R51" i="9"/>
  <c r="R87" i="9"/>
  <c r="R54" i="9"/>
  <c r="R81" i="9"/>
  <c r="R75" i="9"/>
  <c r="R47" i="9"/>
  <c r="R65" i="9"/>
  <c r="S94" i="9"/>
  <c r="S5" i="9"/>
  <c r="S43" i="9"/>
  <c r="S35" i="9"/>
  <c r="S85" i="9"/>
  <c r="S29" i="9"/>
  <c r="S86" i="9"/>
  <c r="S62" i="9"/>
  <c r="S17" i="9"/>
  <c r="S8" i="9"/>
  <c r="S9" i="9"/>
  <c r="S58" i="9"/>
  <c r="S79" i="9"/>
  <c r="S51" i="9"/>
  <c r="S87" i="9"/>
  <c r="S54" i="9"/>
  <c r="S81" i="9"/>
  <c r="S75" i="9"/>
  <c r="S47" i="9"/>
  <c r="S65" i="9"/>
  <c r="S97" i="9"/>
  <c r="S74" i="9"/>
  <c r="S70" i="9"/>
  <c r="S25" i="9"/>
  <c r="S38" i="9"/>
  <c r="R83" i="9"/>
  <c r="R55" i="9"/>
  <c r="S48" i="9"/>
  <c r="S83" i="9"/>
  <c r="S20" i="9"/>
  <c r="S55" i="9"/>
  <c r="S66" i="9"/>
  <c r="T48" i="9"/>
  <c r="R21" i="9"/>
  <c r="T94" i="9"/>
  <c r="T5" i="9"/>
  <c r="T43" i="9"/>
  <c r="T35" i="9"/>
  <c r="T85" i="9"/>
  <c r="T29" i="9"/>
  <c r="T86" i="9"/>
  <c r="T62" i="9"/>
  <c r="T17" i="9"/>
  <c r="T8" i="9"/>
  <c r="T9" i="9"/>
  <c r="T58" i="9"/>
  <c r="T79" i="9"/>
  <c r="T51" i="9"/>
  <c r="T87" i="9"/>
  <c r="T54" i="9"/>
  <c r="T81" i="9"/>
  <c r="T75" i="9"/>
  <c r="T47" i="9"/>
  <c r="T65" i="9"/>
  <c r="R20" i="9"/>
  <c r="R66" i="9"/>
  <c r="T49" i="9"/>
  <c r="T83" i="9"/>
  <c r="T20" i="9"/>
  <c r="T55" i="9"/>
  <c r="T66" i="9"/>
  <c r="R76" i="9"/>
  <c r="S21" i="9"/>
  <c r="R50" i="9"/>
  <c r="S76" i="9"/>
  <c r="T21" i="9"/>
  <c r="R57" i="9"/>
  <c r="R68" i="9"/>
  <c r="R14" i="9"/>
  <c r="R91" i="9"/>
  <c r="R3" i="9"/>
  <c r="R69" i="9"/>
  <c r="R78" i="9"/>
  <c r="R73" i="9"/>
  <c r="R23" i="9"/>
  <c r="R30" i="9"/>
  <c r="R63" i="9"/>
  <c r="R98" i="9"/>
  <c r="R80" i="9"/>
  <c r="R52" i="9"/>
  <c r="R53" i="9"/>
  <c r="R45" i="9"/>
  <c r="R92" i="9"/>
  <c r="R93" i="9"/>
  <c r="R71" i="9"/>
  <c r="R82" i="9"/>
  <c r="R56" i="9"/>
  <c r="S50" i="9"/>
  <c r="T76" i="9"/>
  <c r="S57" i="9"/>
  <c r="S68" i="9"/>
  <c r="S14" i="9"/>
  <c r="S91" i="9"/>
  <c r="S3" i="9"/>
  <c r="S69" i="9"/>
  <c r="S78" i="9"/>
  <c r="S73" i="9"/>
  <c r="S23" i="9"/>
  <c r="S30" i="9"/>
  <c r="S63" i="9"/>
  <c r="S98" i="9"/>
  <c r="S80" i="9"/>
  <c r="S52" i="9"/>
  <c r="S53" i="9"/>
  <c r="S45" i="9"/>
  <c r="S92" i="9"/>
  <c r="S93" i="9"/>
  <c r="S71" i="9"/>
  <c r="S82" i="9"/>
  <c r="R59" i="9"/>
  <c r="S56" i="9"/>
  <c r="T50" i="9"/>
  <c r="T57" i="9"/>
  <c r="T68" i="9"/>
  <c r="T14" i="9"/>
  <c r="T91" i="9"/>
  <c r="T3" i="9"/>
  <c r="T69" i="9"/>
  <c r="T78" i="9"/>
  <c r="T73" i="9"/>
  <c r="T23" i="9"/>
  <c r="T30" i="9"/>
  <c r="T63" i="9"/>
  <c r="T98" i="9"/>
  <c r="T80" i="9"/>
  <c r="T52" i="9"/>
  <c r="T53" i="9"/>
  <c r="T45" i="9"/>
  <c r="T92" i="9"/>
  <c r="T93" i="9"/>
  <c r="T71" i="9"/>
  <c r="T82" i="9"/>
  <c r="T13" i="9"/>
  <c r="R19" i="8"/>
  <c r="R13" i="8"/>
  <c r="Q94" i="8"/>
  <c r="Q86" i="8"/>
  <c r="R74" i="8"/>
  <c r="R38" i="8"/>
  <c r="Q7" i="8"/>
  <c r="Q23" i="8"/>
  <c r="Q39" i="8"/>
  <c r="Q55" i="8"/>
  <c r="Q71" i="8"/>
  <c r="Q87" i="8"/>
  <c r="R7" i="8"/>
  <c r="R23" i="8"/>
  <c r="R39" i="8"/>
  <c r="R55" i="8"/>
  <c r="R71" i="8"/>
  <c r="R87" i="8"/>
  <c r="Q16" i="8"/>
  <c r="Q26" i="8"/>
  <c r="Q42" i="8"/>
  <c r="Q58" i="8"/>
  <c r="Q74" i="8"/>
  <c r="Q90" i="8"/>
  <c r="R22" i="8"/>
  <c r="Q54" i="8"/>
  <c r="Q70" i="8"/>
  <c r="R16" i="8"/>
  <c r="R58" i="8"/>
  <c r="R90" i="8"/>
  <c r="Q43" i="8"/>
  <c r="R59" i="8"/>
  <c r="Q19" i="8"/>
  <c r="R46" i="8"/>
  <c r="R62" i="8"/>
  <c r="R78" i="8"/>
  <c r="R94" i="8"/>
  <c r="Q10" i="8"/>
  <c r="Q31" i="8"/>
  <c r="Q47" i="8"/>
  <c r="Q63" i="8"/>
  <c r="Q79" i="8"/>
  <c r="Q95" i="8"/>
  <c r="R54" i="8"/>
  <c r="R9" i="8"/>
  <c r="R10" i="8"/>
  <c r="R31" i="8"/>
  <c r="R47" i="8"/>
  <c r="R63" i="8"/>
  <c r="R79" i="8"/>
  <c r="R95" i="8"/>
  <c r="R86" i="8"/>
  <c r="Q75" i="8"/>
  <c r="S12" i="8"/>
  <c r="R5" i="8"/>
  <c r="R30" i="8"/>
  <c r="Q20" i="8"/>
  <c r="Q34" i="8"/>
  <c r="Q50" i="8"/>
  <c r="Q66" i="8"/>
  <c r="Q82" i="8"/>
  <c r="Q98" i="8"/>
  <c r="R70" i="8"/>
  <c r="Q27" i="8"/>
  <c r="Q59" i="8"/>
  <c r="Q91" i="8"/>
  <c r="R27" i="8"/>
  <c r="R43" i="8"/>
  <c r="R75" i="8"/>
  <c r="R91" i="8"/>
  <c r="Q5" i="8"/>
  <c r="Q30" i="8"/>
  <c r="S31" i="8"/>
  <c r="R20" i="8"/>
  <c r="R34" i="8"/>
  <c r="R50" i="8"/>
  <c r="R66" i="8"/>
  <c r="R82" i="8"/>
  <c r="R98" i="8"/>
  <c r="Q38" i="8"/>
  <c r="R26" i="8"/>
  <c r="R42" i="8"/>
  <c r="Q22" i="8"/>
  <c r="Q46" i="8"/>
  <c r="Q78" i="8"/>
  <c r="Q3" i="8"/>
  <c r="Q35" i="8"/>
  <c r="Q51" i="8"/>
  <c r="Q67" i="8"/>
  <c r="Q83" i="8"/>
  <c r="Q99" i="8"/>
  <c r="Q62" i="8"/>
  <c r="R3" i="8"/>
  <c r="Q13" i="8"/>
  <c r="R35" i="8"/>
  <c r="R51" i="8"/>
  <c r="R67" i="8"/>
  <c r="R83" i="8"/>
  <c r="R99" i="8"/>
  <c r="S26" i="8"/>
  <c r="S38" i="8"/>
  <c r="S46" i="8"/>
  <c r="S58" i="8"/>
  <c r="S62" i="8"/>
  <c r="S70" i="8"/>
  <c r="S74" i="8"/>
  <c r="T74" i="8" s="1"/>
  <c r="S78" i="8"/>
  <c r="S82" i="8"/>
  <c r="S90" i="8"/>
  <c r="S98" i="8"/>
  <c r="S3" i="8"/>
  <c r="S5" i="8"/>
  <c r="T5" i="8" s="1"/>
  <c r="S7" i="8"/>
  <c r="S16" i="8"/>
  <c r="S10" i="8"/>
  <c r="S27" i="8"/>
  <c r="S39" i="8"/>
  <c r="S51" i="8"/>
  <c r="S59" i="8"/>
  <c r="S67" i="8"/>
  <c r="S75" i="8"/>
  <c r="S83" i="8"/>
  <c r="S91" i="8"/>
  <c r="S99" i="8"/>
  <c r="T99" i="8" s="1"/>
  <c r="S17" i="8"/>
  <c r="Q32" i="8"/>
  <c r="Q48" i="8"/>
  <c r="Q60" i="8"/>
  <c r="Q72" i="8"/>
  <c r="Q80" i="8"/>
  <c r="Q84" i="8"/>
  <c r="Q100" i="8"/>
  <c r="Q6" i="8"/>
  <c r="S28" i="8"/>
  <c r="S36" i="8"/>
  <c r="S44" i="8"/>
  <c r="S52" i="8"/>
  <c r="S60" i="8"/>
  <c r="S68" i="8"/>
  <c r="S76" i="8"/>
  <c r="S84" i="8"/>
  <c r="S96" i="8"/>
  <c r="S4" i="8"/>
  <c r="S6" i="8"/>
  <c r="S8" i="8"/>
  <c r="Q18" i="8"/>
  <c r="R21" i="8"/>
  <c r="Q17" i="8"/>
  <c r="R14" i="8"/>
  <c r="Q28" i="8"/>
  <c r="Q40" i="8"/>
  <c r="Q52" i="8"/>
  <c r="Q68" i="8"/>
  <c r="Q76" i="8"/>
  <c r="Q96" i="8"/>
  <c r="Q4" i="8"/>
  <c r="Q8" i="8"/>
  <c r="R11" i="8"/>
  <c r="S14" i="8"/>
  <c r="R24" i="8"/>
  <c r="R28" i="8"/>
  <c r="R32" i="8"/>
  <c r="R36" i="8"/>
  <c r="R40" i="8"/>
  <c r="R44" i="8"/>
  <c r="R48" i="8"/>
  <c r="R52" i="8"/>
  <c r="R56" i="8"/>
  <c r="R60" i="8"/>
  <c r="R64" i="8"/>
  <c r="R68" i="8"/>
  <c r="R72" i="8"/>
  <c r="R76" i="8"/>
  <c r="R80" i="8"/>
  <c r="R84" i="8"/>
  <c r="R88" i="8"/>
  <c r="R92" i="8"/>
  <c r="R96" i="8"/>
  <c r="R100" i="8"/>
  <c r="R2" i="8"/>
  <c r="R4" i="8"/>
  <c r="R6" i="8"/>
  <c r="R8" i="8"/>
  <c r="S11" i="8"/>
  <c r="Q21" i="8"/>
  <c r="S24" i="8"/>
  <c r="S32" i="8"/>
  <c r="S40" i="8"/>
  <c r="S48" i="8"/>
  <c r="S56" i="8"/>
  <c r="S64" i="8"/>
  <c r="S72" i="8"/>
  <c r="S80" i="8"/>
  <c r="S88" i="8"/>
  <c r="S92" i="8"/>
  <c r="S100" i="8"/>
  <c r="S2" i="8"/>
  <c r="Q15" i="8"/>
  <c r="R18" i="8"/>
  <c r="S21" i="8"/>
  <c r="Q25" i="8"/>
  <c r="Q29" i="8"/>
  <c r="Q33" i="8"/>
  <c r="Q37" i="8"/>
  <c r="Q41" i="8"/>
  <c r="Q45" i="8"/>
  <c r="Q49" i="8"/>
  <c r="Q53" i="8"/>
  <c r="Q57" i="8"/>
  <c r="Q61" i="8"/>
  <c r="Q65" i="8"/>
  <c r="Q69" i="8"/>
  <c r="Q73" i="8"/>
  <c r="Q77" i="8"/>
  <c r="Q81" i="8"/>
  <c r="Q85" i="8"/>
  <c r="Q89" i="8"/>
  <c r="Q93" i="8"/>
  <c r="Q97" i="8"/>
  <c r="Q101" i="8"/>
  <c r="S9" i="8"/>
  <c r="S22" i="8"/>
  <c r="S19" i="8"/>
  <c r="S50" i="8"/>
  <c r="S94" i="8"/>
  <c r="S43" i="8"/>
  <c r="S87" i="8"/>
  <c r="Q36" i="8"/>
  <c r="Q56" i="8"/>
  <c r="Q88" i="8"/>
  <c r="Q2" i="8"/>
  <c r="T2" i="8" s="1"/>
  <c r="Q12" i="8"/>
  <c r="R15" i="8"/>
  <c r="S18" i="8"/>
  <c r="R25" i="8"/>
  <c r="R29" i="8"/>
  <c r="R33" i="8"/>
  <c r="R37" i="8"/>
  <c r="R41" i="8"/>
  <c r="R45" i="8"/>
  <c r="R49" i="8"/>
  <c r="R53" i="8"/>
  <c r="R57" i="8"/>
  <c r="R61" i="8"/>
  <c r="R65" i="8"/>
  <c r="R69" i="8"/>
  <c r="R73" i="8"/>
  <c r="R77" i="8"/>
  <c r="R81" i="8"/>
  <c r="R85" i="8"/>
  <c r="R89" i="8"/>
  <c r="R93" i="8"/>
  <c r="R97" i="8"/>
  <c r="R101" i="8"/>
  <c r="S34" i="8"/>
  <c r="S42" i="8"/>
  <c r="S54" i="8"/>
  <c r="S86" i="8"/>
  <c r="S23" i="8"/>
  <c r="S35" i="8"/>
  <c r="S47" i="8"/>
  <c r="S55" i="8"/>
  <c r="S63" i="8"/>
  <c r="S71" i="8"/>
  <c r="S79" i="8"/>
  <c r="S95" i="8"/>
  <c r="Q14" i="8"/>
  <c r="R17" i="8"/>
  <c r="S20" i="8"/>
  <c r="Q9" i="8"/>
  <c r="R12" i="8"/>
  <c r="S15" i="8"/>
  <c r="S25" i="8"/>
  <c r="S29" i="8"/>
  <c r="S33" i="8"/>
  <c r="S37" i="8"/>
  <c r="S41" i="8"/>
  <c r="S45" i="8"/>
  <c r="S49" i="8"/>
  <c r="S53" i="8"/>
  <c r="S57" i="8"/>
  <c r="S61" i="8"/>
  <c r="S65" i="8"/>
  <c r="S69" i="8"/>
  <c r="S73" i="8"/>
  <c r="S77" i="8"/>
  <c r="S81" i="8"/>
  <c r="S85" i="8"/>
  <c r="S89" i="8"/>
  <c r="S93" i="8"/>
  <c r="S97" i="8"/>
  <c r="S101" i="8"/>
  <c r="S30" i="8"/>
  <c r="S66" i="8"/>
  <c r="S13" i="8"/>
  <c r="Q11" i="8"/>
  <c r="Q24" i="8"/>
  <c r="Q44" i="8"/>
  <c r="Q64" i="8"/>
  <c r="Q92" i="8"/>
  <c r="R2" i="5"/>
  <c r="R26" i="5"/>
  <c r="Q83" i="5"/>
  <c r="R77" i="5"/>
  <c r="R79" i="5"/>
  <c r="R99" i="5"/>
  <c r="R3" i="5"/>
  <c r="R4" i="5"/>
  <c r="R25" i="5"/>
  <c r="R27" i="5"/>
  <c r="R76" i="5"/>
  <c r="R78" i="5"/>
  <c r="R98" i="5"/>
  <c r="R5" i="5"/>
  <c r="R24" i="5"/>
  <c r="R91" i="5"/>
  <c r="Q35" i="5"/>
  <c r="Q101" i="5"/>
  <c r="Q99" i="5"/>
  <c r="Q3" i="5"/>
  <c r="Q52" i="5"/>
  <c r="Q4" i="5"/>
  <c r="Q53" i="5"/>
  <c r="Q36" i="5"/>
  <c r="Q100" i="5"/>
  <c r="Q67" i="5"/>
  <c r="Q85" i="5"/>
  <c r="Q51" i="5"/>
  <c r="Q68" i="5"/>
  <c r="Q84" i="5"/>
  <c r="Q18" i="5"/>
  <c r="Q19" i="5"/>
  <c r="Q20" i="5"/>
  <c r="Q21" i="5"/>
  <c r="Q82" i="5"/>
  <c r="Q98" i="5"/>
  <c r="Q50" i="5"/>
  <c r="R34" i="5"/>
  <c r="R100" i="5"/>
  <c r="R81" i="5"/>
  <c r="R14" i="5"/>
  <c r="R35" i="5"/>
  <c r="R56" i="5"/>
  <c r="R101" i="5"/>
  <c r="R80" i="5"/>
  <c r="R13" i="5"/>
  <c r="R55" i="5"/>
  <c r="R15" i="5"/>
  <c r="R57" i="5"/>
  <c r="R58" i="5"/>
  <c r="R86" i="5"/>
  <c r="R46" i="5"/>
  <c r="R67" i="5"/>
  <c r="R88" i="5"/>
  <c r="R16" i="5"/>
  <c r="R66" i="5"/>
  <c r="R87" i="5"/>
  <c r="R47" i="5"/>
  <c r="R89" i="5"/>
  <c r="R54" i="5"/>
  <c r="R37" i="5"/>
  <c r="R44" i="5"/>
  <c r="R45" i="5"/>
  <c r="R22" i="5"/>
  <c r="R48" i="5"/>
  <c r="R68" i="5"/>
  <c r="R90" i="5"/>
  <c r="R97" i="5"/>
  <c r="R12" i="5"/>
  <c r="R36" i="5"/>
  <c r="R17" i="5"/>
  <c r="R59" i="5"/>
  <c r="R23" i="5"/>
  <c r="R49" i="5"/>
  <c r="R69" i="5"/>
  <c r="Q69" i="5"/>
  <c r="Q44" i="5"/>
  <c r="Q42" i="5"/>
  <c r="Q11" i="5"/>
  <c r="Q58" i="5"/>
  <c r="Q13" i="5"/>
  <c r="Q27" i="5"/>
  <c r="Q45" i="5"/>
  <c r="Q59" i="5"/>
  <c r="Q77" i="5"/>
  <c r="Q91" i="5"/>
  <c r="Q5" i="5"/>
  <c r="Q10" i="5"/>
  <c r="Q76" i="5"/>
  <c r="Q43" i="5"/>
  <c r="Q90" i="5"/>
  <c r="Q28" i="5"/>
  <c r="Q60" i="5"/>
  <c r="Q92" i="5"/>
  <c r="Q74" i="5"/>
  <c r="Q26" i="5"/>
  <c r="Q29" i="5"/>
  <c r="Q61" i="5"/>
  <c r="Q93" i="5"/>
  <c r="Q97" i="5"/>
  <c r="Q37" i="5"/>
  <c r="Q75" i="5"/>
  <c r="Q12" i="5"/>
  <c r="Q2" i="5"/>
  <c r="Q34" i="5"/>
  <c r="Q66" i="5"/>
  <c r="R60" i="5"/>
  <c r="R28" i="5"/>
  <c r="R92" i="5"/>
  <c r="R9" i="5"/>
  <c r="R19" i="5"/>
  <c r="R29" i="5"/>
  <c r="R41" i="5"/>
  <c r="R51" i="5"/>
  <c r="R61" i="5"/>
  <c r="R73" i="5"/>
  <c r="R83" i="5"/>
  <c r="R93" i="5"/>
  <c r="R70" i="5"/>
  <c r="R7" i="5"/>
  <c r="R39" i="5"/>
  <c r="R30" i="5"/>
  <c r="R62" i="5"/>
  <c r="R94" i="5"/>
  <c r="R38" i="5"/>
  <c r="R18" i="5"/>
  <c r="R82" i="5"/>
  <c r="R40" i="5"/>
  <c r="R10" i="5"/>
  <c r="R20" i="5"/>
  <c r="R31" i="5"/>
  <c r="R42" i="5"/>
  <c r="R52" i="5"/>
  <c r="R63" i="5"/>
  <c r="R74" i="5"/>
  <c r="R84" i="5"/>
  <c r="R95" i="5"/>
  <c r="R6" i="5"/>
  <c r="R50" i="5"/>
  <c r="R72" i="5"/>
  <c r="R32" i="5"/>
  <c r="R64" i="5"/>
  <c r="R96" i="5"/>
  <c r="R71" i="5"/>
  <c r="R8" i="5"/>
  <c r="R11" i="5"/>
  <c r="R21" i="5"/>
  <c r="R33" i="5"/>
  <c r="R43" i="5"/>
  <c r="R53" i="5"/>
  <c r="R65" i="5"/>
  <c r="R75" i="5"/>
  <c r="R85" i="5"/>
  <c r="Q6" i="5"/>
  <c r="Q14" i="5"/>
  <c r="Q22" i="5"/>
  <c r="Q30" i="5"/>
  <c r="Q38" i="5"/>
  <c r="Q46" i="5"/>
  <c r="Q54" i="5"/>
  <c r="Q62" i="5"/>
  <c r="Q70" i="5"/>
  <c r="Q78" i="5"/>
  <c r="Q86" i="5"/>
  <c r="Q94" i="5"/>
  <c r="Q23" i="5"/>
  <c r="Q39" i="5"/>
  <c r="Q47" i="5"/>
  <c r="Q63" i="5"/>
  <c r="Q87" i="5"/>
  <c r="Q95" i="5"/>
  <c r="Q31" i="5"/>
  <c r="Q79" i="5"/>
  <c r="Q8" i="5"/>
  <c r="Q16" i="5"/>
  <c r="Q24" i="5"/>
  <c r="Q32" i="5"/>
  <c r="Q40" i="5"/>
  <c r="Q56" i="5"/>
  <c r="Q64" i="5"/>
  <c r="Q72" i="5"/>
  <c r="Q80" i="5"/>
  <c r="Q88" i="5"/>
  <c r="Q96" i="5"/>
  <c r="Q7" i="5"/>
  <c r="Q55" i="5"/>
  <c r="Q48" i="5"/>
  <c r="Q15" i="5"/>
  <c r="Q71" i="5"/>
  <c r="Q9" i="5"/>
  <c r="Q17" i="5"/>
  <c r="Q25" i="5"/>
  <c r="Q33" i="5"/>
  <c r="Q41" i="5"/>
  <c r="Q49" i="5"/>
  <c r="Q57" i="5"/>
  <c r="Q65" i="5"/>
  <c r="Q73" i="5"/>
  <c r="Q81" i="5"/>
  <c r="Q89" i="5"/>
  <c r="P91" i="5"/>
  <c r="P17" i="5"/>
  <c r="P81" i="5"/>
  <c r="P92" i="5"/>
  <c r="P71" i="5"/>
  <c r="P8" i="5"/>
  <c r="P18" i="5"/>
  <c r="P50" i="5"/>
  <c r="P82" i="5"/>
  <c r="P98" i="5"/>
  <c r="P3" i="5"/>
  <c r="P29" i="5"/>
  <c r="P45" i="5"/>
  <c r="P61" i="5"/>
  <c r="P77" i="5"/>
  <c r="P24" i="5"/>
  <c r="P40" i="5"/>
  <c r="P56" i="5"/>
  <c r="P72" i="5"/>
  <c r="P88" i="5"/>
  <c r="P76" i="5"/>
  <c r="P13" i="5"/>
  <c r="P34" i="5"/>
  <c r="P66" i="5"/>
  <c r="P93" i="5"/>
  <c r="P9" i="5"/>
  <c r="P19" i="5"/>
  <c r="P35" i="5"/>
  <c r="P51" i="5"/>
  <c r="P67" i="5"/>
  <c r="P83" i="5"/>
  <c r="P99" i="5"/>
  <c r="P70" i="5"/>
  <c r="P23" i="5"/>
  <c r="P73" i="5"/>
  <c r="P20" i="5"/>
  <c r="P47" i="5"/>
  <c r="P79" i="5"/>
  <c r="P95" i="5"/>
  <c r="P12" i="5"/>
  <c r="P86" i="5"/>
  <c r="P7" i="5"/>
  <c r="P97" i="5"/>
  <c r="P87" i="5"/>
  <c r="P30" i="5"/>
  <c r="P57" i="5"/>
  <c r="P52" i="5"/>
  <c r="P5" i="5"/>
  <c r="P63" i="5"/>
  <c r="P26" i="5"/>
  <c r="P42" i="5"/>
  <c r="P58" i="5"/>
  <c r="P74" i="5"/>
  <c r="P90" i="5"/>
  <c r="P38" i="5"/>
  <c r="P33" i="5"/>
  <c r="P2" i="5"/>
  <c r="P44" i="5"/>
  <c r="P39" i="5"/>
  <c r="P14" i="5"/>
  <c r="P62" i="5"/>
  <c r="P89" i="5"/>
  <c r="P10" i="5"/>
  <c r="P84" i="5"/>
  <c r="P31" i="5"/>
  <c r="P11" i="5"/>
  <c r="P21" i="5"/>
  <c r="P37" i="5"/>
  <c r="P53" i="5"/>
  <c r="P69" i="5"/>
  <c r="S69" i="5" s="1"/>
  <c r="P85" i="5"/>
  <c r="P101" i="5"/>
  <c r="P54" i="5"/>
  <c r="P65" i="5"/>
  <c r="P60" i="5"/>
  <c r="P55" i="5"/>
  <c r="P46" i="5"/>
  <c r="P78" i="5"/>
  <c r="P25" i="5"/>
  <c r="P41" i="5"/>
  <c r="P68" i="5"/>
  <c r="P100" i="5"/>
  <c r="P6" i="5"/>
  <c r="P16" i="5"/>
  <c r="P32" i="5"/>
  <c r="P48" i="5"/>
  <c r="P64" i="5"/>
  <c r="P80" i="5"/>
  <c r="P96" i="5"/>
  <c r="P22" i="5"/>
  <c r="P49" i="5"/>
  <c r="P28" i="5"/>
  <c r="P4" i="5"/>
  <c r="P94" i="5"/>
  <c r="P36" i="5"/>
  <c r="P15" i="5"/>
  <c r="P27" i="5"/>
  <c r="P43" i="5"/>
  <c r="P59" i="5"/>
  <c r="P75" i="5"/>
  <c r="U89" i="9" l="1"/>
  <c r="U11" i="9"/>
  <c r="U19" i="9"/>
  <c r="U66" i="9"/>
  <c r="U58" i="9"/>
  <c r="U82" i="9"/>
  <c r="U91" i="9"/>
  <c r="U60" i="9"/>
  <c r="U37" i="9"/>
  <c r="U4" i="9"/>
  <c r="U69" i="9"/>
  <c r="U56" i="9"/>
  <c r="U41" i="9"/>
  <c r="U78" i="9"/>
  <c r="U79" i="9"/>
  <c r="U42" i="9"/>
  <c r="U26" i="9"/>
  <c r="U44" i="9"/>
  <c r="U39" i="9"/>
  <c r="U2" i="9"/>
  <c r="U24" i="9"/>
  <c r="U92" i="9"/>
  <c r="U57" i="9"/>
  <c r="U93" i="9"/>
  <c r="U31" i="9"/>
  <c r="U9" i="9"/>
  <c r="U7" i="9"/>
  <c r="U25" i="9"/>
  <c r="U8" i="9"/>
  <c r="U36" i="9"/>
  <c r="U88" i="9"/>
  <c r="U68" i="9"/>
  <c r="U34" i="9"/>
  <c r="U59" i="9"/>
  <c r="U67" i="9"/>
  <c r="U15" i="9"/>
  <c r="U20" i="9"/>
  <c r="U10" i="9"/>
  <c r="U96" i="9"/>
  <c r="U6" i="9"/>
  <c r="U3" i="9"/>
  <c r="U70" i="9"/>
  <c r="U71" i="9"/>
  <c r="U14" i="9"/>
  <c r="U17" i="9"/>
  <c r="U72" i="9"/>
  <c r="U38" i="9"/>
  <c r="U32" i="9"/>
  <c r="U86" i="9"/>
  <c r="U101" i="9"/>
  <c r="U13" i="9"/>
  <c r="U74" i="9"/>
  <c r="U45" i="9"/>
  <c r="U21" i="9"/>
  <c r="U29" i="9"/>
  <c r="U97" i="9"/>
  <c r="U40" i="9"/>
  <c r="U53" i="9"/>
  <c r="U85" i="9"/>
  <c r="U100" i="9"/>
  <c r="U64" i="9"/>
  <c r="U52" i="9"/>
  <c r="U50" i="9"/>
  <c r="U65" i="9"/>
  <c r="U35" i="9"/>
  <c r="U16" i="9"/>
  <c r="U80" i="9"/>
  <c r="U47" i="9"/>
  <c r="U43" i="9"/>
  <c r="U61" i="9"/>
  <c r="U98" i="9"/>
  <c r="U76" i="9"/>
  <c r="U75" i="9"/>
  <c r="U5" i="9"/>
  <c r="U22" i="9"/>
  <c r="U27" i="9"/>
  <c r="U62" i="9"/>
  <c r="U63" i="9"/>
  <c r="U81" i="9"/>
  <c r="U94" i="9"/>
  <c r="U90" i="9"/>
  <c r="U84" i="9"/>
  <c r="U49" i="9"/>
  <c r="U30" i="9"/>
  <c r="U54" i="9"/>
  <c r="U12" i="9"/>
  <c r="U28" i="9"/>
  <c r="U23" i="9"/>
  <c r="U55" i="9"/>
  <c r="U87" i="9"/>
  <c r="U46" i="9"/>
  <c r="U95" i="9"/>
  <c r="U73" i="9"/>
  <c r="U83" i="9"/>
  <c r="U51" i="9"/>
  <c r="U48" i="9"/>
  <c r="U33" i="9"/>
  <c r="U18" i="9"/>
  <c r="T38" i="8"/>
  <c r="T47" i="8"/>
  <c r="T59" i="8"/>
  <c r="T55" i="8"/>
  <c r="T70" i="8"/>
  <c r="T31" i="8"/>
  <c r="T13" i="8"/>
  <c r="T44" i="8"/>
  <c r="T30" i="8"/>
  <c r="T91" i="8"/>
  <c r="T82" i="8"/>
  <c r="T66" i="8"/>
  <c r="T58" i="8"/>
  <c r="T7" i="8"/>
  <c r="T94" i="8"/>
  <c r="T46" i="8"/>
  <c r="T26" i="8"/>
  <c r="T34" i="8"/>
  <c r="T27" i="8"/>
  <c r="T95" i="8"/>
  <c r="T62" i="8"/>
  <c r="T22" i="8"/>
  <c r="T79" i="8"/>
  <c r="T98" i="8"/>
  <c r="T9" i="8"/>
  <c r="T20" i="8"/>
  <c r="T90" i="8"/>
  <c r="T63" i="8"/>
  <c r="T71" i="8"/>
  <c r="T78" i="8"/>
  <c r="T51" i="8"/>
  <c r="T35" i="8"/>
  <c r="T23" i="8"/>
  <c r="T87" i="8"/>
  <c r="T65" i="8"/>
  <c r="T84" i="8"/>
  <c r="T10" i="8"/>
  <c r="T83" i="8"/>
  <c r="T86" i="8"/>
  <c r="T43" i="8"/>
  <c r="T61" i="8"/>
  <c r="T18" i="8"/>
  <c r="T80" i="8"/>
  <c r="T16" i="8"/>
  <c r="T75" i="8"/>
  <c r="T54" i="8"/>
  <c r="T72" i="8"/>
  <c r="T67" i="8"/>
  <c r="T39" i="8"/>
  <c r="T42" i="8"/>
  <c r="T50" i="8"/>
  <c r="T60" i="8"/>
  <c r="T19" i="8"/>
  <c r="T48" i="8"/>
  <c r="T3" i="8"/>
  <c r="T57" i="8"/>
  <c r="T49" i="8"/>
  <c r="T45" i="8"/>
  <c r="T32" i="8"/>
  <c r="T41" i="8"/>
  <c r="T8" i="8"/>
  <c r="T101" i="8"/>
  <c r="T4" i="8"/>
  <c r="T14" i="8"/>
  <c r="T33" i="8"/>
  <c r="T96" i="8"/>
  <c r="T21" i="8"/>
  <c r="T85" i="8"/>
  <c r="T52" i="8"/>
  <c r="T81" i="8"/>
  <c r="T40" i="8"/>
  <c r="T53" i="8"/>
  <c r="T64" i="8"/>
  <c r="T97" i="8"/>
  <c r="T93" i="8"/>
  <c r="T76" i="8"/>
  <c r="T89" i="8"/>
  <c r="T68" i="8"/>
  <c r="T88" i="8"/>
  <c r="T77" i="8"/>
  <c r="T15" i="8"/>
  <c r="T28" i="8"/>
  <c r="T92" i="8"/>
  <c r="T29" i="8"/>
  <c r="T24" i="8"/>
  <c r="T12" i="8"/>
  <c r="T56" i="8"/>
  <c r="T73" i="8"/>
  <c r="T6" i="8"/>
  <c r="T37" i="8"/>
  <c r="T25" i="8"/>
  <c r="T11" i="8"/>
  <c r="T36" i="8"/>
  <c r="T69" i="8"/>
  <c r="T17" i="8"/>
  <c r="T100" i="8"/>
  <c r="S16" i="5"/>
  <c r="S18" i="5"/>
  <c r="S50" i="5"/>
  <c r="S99" i="5"/>
  <c r="S52" i="5"/>
  <c r="S83" i="5"/>
  <c r="S77" i="5"/>
  <c r="S36" i="5"/>
  <c r="S100" i="5"/>
  <c r="S3" i="5"/>
  <c r="S98" i="5"/>
  <c r="S54" i="5"/>
  <c r="S82" i="5"/>
  <c r="S13" i="5"/>
  <c r="S84" i="5"/>
  <c r="S101" i="5"/>
  <c r="S26" i="5"/>
  <c r="S9" i="5"/>
  <c r="S5" i="5"/>
  <c r="S91" i="5"/>
  <c r="S24" i="5"/>
  <c r="S78" i="5"/>
  <c r="S4" i="5"/>
  <c r="S35" i="5"/>
  <c r="S29" i="5"/>
  <c r="S44" i="5"/>
  <c r="S79" i="5"/>
  <c r="S15" i="5"/>
  <c r="S22" i="5"/>
  <c r="S8" i="5"/>
  <c r="S19" i="5"/>
  <c r="S38" i="5"/>
  <c r="S37" i="5"/>
  <c r="S58" i="5"/>
  <c r="S10" i="5"/>
  <c r="S94" i="5"/>
  <c r="S57" i="5"/>
  <c r="S71" i="5"/>
  <c r="S68" i="5"/>
  <c r="S67" i="5"/>
  <c r="S62" i="5"/>
  <c r="S28" i="5"/>
  <c r="S51" i="5"/>
  <c r="S61" i="5"/>
  <c r="S92" i="5"/>
  <c r="S46" i="5"/>
  <c r="S49" i="5"/>
  <c r="S60" i="5"/>
  <c r="S55" i="5"/>
  <c r="S14" i="5"/>
  <c r="S87" i="5"/>
  <c r="S45" i="5"/>
  <c r="S12" i="5"/>
  <c r="S66" i="5"/>
  <c r="S90" i="5"/>
  <c r="S34" i="5"/>
  <c r="S48" i="5"/>
  <c r="S97" i="5"/>
  <c r="S2" i="5"/>
  <c r="S76" i="5"/>
  <c r="S59" i="5"/>
  <c r="S27" i="5"/>
  <c r="S85" i="5"/>
  <c r="S33" i="5"/>
  <c r="S53" i="5"/>
  <c r="S95" i="5"/>
  <c r="S74" i="5"/>
  <c r="S75" i="5"/>
  <c r="S6" i="5"/>
  <c r="S21" i="5"/>
  <c r="S30" i="5"/>
  <c r="S43" i="5"/>
  <c r="S20" i="5"/>
  <c r="S93" i="5"/>
  <c r="S42" i="5"/>
  <c r="S11" i="5"/>
  <c r="S31" i="5"/>
  <c r="S89" i="5"/>
  <c r="S96" i="5"/>
  <c r="S65" i="5"/>
  <c r="S64" i="5"/>
  <c r="S88" i="5"/>
  <c r="S80" i="5"/>
  <c r="S86" i="5"/>
  <c r="S73" i="5"/>
  <c r="S72" i="5"/>
  <c r="S39" i="5"/>
  <c r="S32" i="5"/>
  <c r="S47" i="5"/>
  <c r="S41" i="5"/>
  <c r="S63" i="5"/>
  <c r="S23" i="5"/>
  <c r="S56" i="5"/>
  <c r="S81" i="5"/>
  <c r="S7" i="5"/>
  <c r="S25" i="5"/>
  <c r="S70" i="5"/>
  <c r="S40" i="5"/>
  <c r="S17" i="5"/>
</calcChain>
</file>

<file path=xl/sharedStrings.xml><?xml version="1.0" encoding="utf-8"?>
<sst xmlns="http://schemas.openxmlformats.org/spreadsheetml/2006/main" count="726" uniqueCount="169">
  <si>
    <t>Lâm Hồ Thiên Tống</t>
  </si>
  <si>
    <t>Nam</t>
  </si>
  <si>
    <t>Miền Nam</t>
  </si>
  <si>
    <t>Vũ Vương Vinh</t>
  </si>
  <si>
    <t>Nguyễn Kiều Nhã Linh</t>
  </si>
  <si>
    <t>Nữ</t>
  </si>
  <si>
    <t>Đinh Như Ý</t>
  </si>
  <si>
    <t>Lương Công Tiến</t>
  </si>
  <si>
    <t>Vũ Tường Nguyên</t>
  </si>
  <si>
    <t>Nguyễn Sỉ Nguyên</t>
  </si>
  <si>
    <t>Doãn Thị Cẩm Hường</t>
  </si>
  <si>
    <t>Vương Triều Lê</t>
  </si>
  <si>
    <t>Lê Thị Kim Giang</t>
  </si>
  <si>
    <t>Miền Bắc</t>
  </si>
  <si>
    <t>Trần Văn Trường</t>
  </si>
  <si>
    <t>To Khánh Huyền</t>
  </si>
  <si>
    <t>Bùi Hồng Điệp</t>
  </si>
  <si>
    <t>Võ Thành Thế</t>
  </si>
  <si>
    <t>Nguyễn Kim Thủy</t>
  </si>
  <si>
    <t>Nguyễn Ngọc Hoàng Duyên</t>
  </si>
  <si>
    <t>Doãn Thị Đài Trang</t>
  </si>
  <si>
    <t>Nguyễn Phùng Vân Anh</t>
  </si>
  <si>
    <t>Nguyễn Thị Kim Kiều</t>
  </si>
  <si>
    <t>Dương Thị Bích Muội</t>
  </si>
  <si>
    <t>Miền Trung</t>
  </si>
  <si>
    <t>Nguyễn Thùy Trang</t>
  </si>
  <si>
    <t>Nguyễn Ngọc Ánh</t>
  </si>
  <si>
    <t>Nguyễn Lâm Gia Thịnh</t>
  </si>
  <si>
    <t>Hồ Lâm Duy Khang</t>
  </si>
  <si>
    <t>Nguyễn Thị Phúc</t>
  </si>
  <si>
    <t>Hồ Lâm Gia Mỹ</t>
  </si>
  <si>
    <t>Trần Kim Tuyết</t>
  </si>
  <si>
    <t>Lý Huỳnh My</t>
  </si>
  <si>
    <t>Đào Nga My</t>
  </si>
  <si>
    <t>Nguyễn Thanh Nhân</t>
  </si>
  <si>
    <t>Trần Ngọc Như Hoa</t>
  </si>
  <si>
    <t>Đinh Thị Xuân Hoa</t>
  </si>
  <si>
    <t>Trần Thị Như Ý</t>
  </si>
  <si>
    <t>Nguyễn Cẩm Vy</t>
  </si>
  <si>
    <t>Thới Việt Trà</t>
  </si>
  <si>
    <t>Lê Thị Anh Thư</t>
  </si>
  <si>
    <t>Nguyễn Duy Khánh</t>
  </si>
  <si>
    <t>Trần Ý Vy</t>
  </si>
  <si>
    <t>Trần Thị Uyển Vy</t>
  </si>
  <si>
    <t>Huỳnh Thị Mơ Muội</t>
  </si>
  <si>
    <t>Vũ Đức Lộc</t>
  </si>
  <si>
    <t>Đỗ Kiều Duy</t>
  </si>
  <si>
    <t>Tô Văn Duy Đang</t>
  </si>
  <si>
    <t>Nguyễn Trí Hào</t>
  </si>
  <si>
    <t>Lê Hoài Thương</t>
  </si>
  <si>
    <t>Đoàn Thị Kim Anh</t>
  </si>
  <si>
    <t>Nguyễn Nhật Linh</t>
  </si>
  <si>
    <t>Tô Khánh Văn</t>
  </si>
  <si>
    <t>Doãn Chí Bình</t>
  </si>
  <si>
    <t>Trần Hữu Lộc</t>
  </si>
  <si>
    <t>Lâm Nhất Đức Duy</t>
  </si>
  <si>
    <t>Trần Bích Ngọc</t>
  </si>
  <si>
    <t>Nguyễn Vũ Luân</t>
  </si>
  <si>
    <t>Nguyễn Hoàng Tuấn</t>
  </si>
  <si>
    <t>Lâm Vĩnh Long</t>
  </si>
  <si>
    <t>Dương Minh Nhí</t>
  </si>
  <si>
    <t>Hồ Phương Anh</t>
  </si>
  <si>
    <t>Nguyễn Thị Ngọc Yến</t>
  </si>
  <si>
    <t>Trần Kim Như</t>
  </si>
  <si>
    <t>Nguyễn Thảo Nguyên</t>
  </si>
  <si>
    <t>Lâm Bích Du</t>
  </si>
  <si>
    <t>Nguyễn Thúy Vi</t>
  </si>
  <si>
    <t>Hoàng Văn Hoài</t>
  </si>
  <si>
    <t>Hoàng Triệu Vy</t>
  </si>
  <si>
    <t>Lâm Mẫn Vy</t>
  </si>
  <si>
    <t>Hồ Khánh Vân</t>
  </si>
  <si>
    <t>Trần Kim Chi</t>
  </si>
  <si>
    <t>Trần Thanh Tâm</t>
  </si>
  <si>
    <t>Trần Gia Khang</t>
  </si>
  <si>
    <t>Đặng Văn Bi</t>
  </si>
  <si>
    <t>Ngô Khánh Thái</t>
  </si>
  <si>
    <t>Trần Hoàn Hảo</t>
  </si>
  <si>
    <t>Trương Định</t>
  </si>
  <si>
    <t>Lâm Nhất</t>
  </si>
  <si>
    <t>Nguyễn Ngọc Bích</t>
  </si>
  <si>
    <t>Nguyễn Trí Hữu</t>
  </si>
  <si>
    <t>Nguyễn Ngọc Hòa</t>
  </si>
  <si>
    <t>Lâm Nhất Thiên</t>
  </si>
  <si>
    <t>Trần Công Bằng</t>
  </si>
  <si>
    <t>Lương Chí Hải</t>
  </si>
  <si>
    <t>Tạ Công Bằng</t>
  </si>
  <si>
    <t>Lâm Chí Khanh</t>
  </si>
  <si>
    <t>Đặng Văn Lâm</t>
  </si>
  <si>
    <t>Đặng Thùy Trâm</t>
  </si>
  <si>
    <t>Trần Minh Khánh</t>
  </si>
  <si>
    <t>Đặng Văn Hòa</t>
  </si>
  <si>
    <t>Đinh Minh Khang</t>
  </si>
  <si>
    <t>Vũ Khánh Nguyên</t>
  </si>
  <si>
    <t>Doãn Ninh Bình</t>
  </si>
  <si>
    <t>Đoàn Ngọc Hải</t>
  </si>
  <si>
    <t>Trần Thị Mỹ Ái</t>
  </si>
  <si>
    <t>Hoàng Tiểu Bảo</t>
  </si>
  <si>
    <t>Trần Quốc Khánh</t>
  </si>
  <si>
    <t>Trần Quốc Tuấn</t>
  </si>
  <si>
    <t>Đinh Minh Hoàng</t>
  </si>
  <si>
    <t>Đoàn Khánh Quốc</t>
  </si>
  <si>
    <t>Đoàn Ngọc Khánh Linh</t>
  </si>
  <si>
    <t>Nguyễn Khánh Hà</t>
  </si>
  <si>
    <t>Lưu Bảo Hà</t>
  </si>
  <si>
    <t>Giới tính</t>
  </si>
  <si>
    <t>Họ tên</t>
  </si>
  <si>
    <t>Tần suất mua hàng (tháng)</t>
  </si>
  <si>
    <t>Số lượng sản phẩm mỗi đơn</t>
  </si>
  <si>
    <t>Tối</t>
  </si>
  <si>
    <t>Sáng</t>
  </si>
  <si>
    <t>Chiều</t>
  </si>
  <si>
    <t>Trưa</t>
  </si>
  <si>
    <t>Khu vực</t>
  </si>
  <si>
    <t>Thời gian</t>
  </si>
  <si>
    <t>Giá trị mỗi đơn (Nghìn)</t>
  </si>
  <si>
    <t>Loại sản phẩm quan tâm</t>
  </si>
  <si>
    <t>Gia dụng</t>
  </si>
  <si>
    <t>Thời trang</t>
  </si>
  <si>
    <t>Nhà cửa &amp; Đời sống</t>
  </si>
  <si>
    <t>Mỹ phẩm</t>
  </si>
  <si>
    <t>Sức khỏe</t>
  </si>
  <si>
    <t>Chăm sóc nhà cửa</t>
  </si>
  <si>
    <t>Nam = 1</t>
  </si>
  <si>
    <t>Nữ =2</t>
  </si>
  <si>
    <t>Miền Bắc = 1</t>
  </si>
  <si>
    <t xml:space="preserve"> Miền Trung = 2</t>
  </si>
  <si>
    <t>Miền Nam = 3</t>
  </si>
  <si>
    <t>Sáng = 1</t>
  </si>
  <si>
    <t>Tối = 4</t>
  </si>
  <si>
    <t xml:space="preserve"> Chiều = 3</t>
  </si>
  <si>
    <t>Trưa = 2</t>
  </si>
  <si>
    <t>Thời trang = 1</t>
  </si>
  <si>
    <t>Nhà cửa &amp; Đời sống = 2</t>
  </si>
  <si>
    <t>Gia dụng = 3</t>
  </si>
  <si>
    <t>Mỹ phẩm = 4</t>
  </si>
  <si>
    <t>Sức khỏe = 5</t>
  </si>
  <si>
    <t>Chăm sóc nhà cửa = 6</t>
  </si>
  <si>
    <t xml:space="preserve">Trang sức và phụ kiện </t>
  </si>
  <si>
    <t xml:space="preserve">Trang sức và phụ kiện = 7 </t>
  </si>
  <si>
    <t>Số lượng</t>
  </si>
  <si>
    <t>Tần suất</t>
  </si>
  <si>
    <t>Loại sản phẩm</t>
  </si>
  <si>
    <t>Giá trị</t>
  </si>
  <si>
    <t>Quan sát</t>
  </si>
  <si>
    <t>Tâm</t>
  </si>
  <si>
    <t>Tâm 1</t>
  </si>
  <si>
    <t>Tâm 2</t>
  </si>
  <si>
    <t>Tâm 3</t>
  </si>
  <si>
    <t>Cụm</t>
  </si>
  <si>
    <t>Euclidean dist(x,y),(a,b) = sqrt((x-a)^2+(y-b)^2)</t>
  </si>
  <si>
    <t>Cụm lần 1</t>
  </si>
  <si>
    <t>Cụm lần 2</t>
  </si>
  <si>
    <t>Lần khởi tạo</t>
  </si>
  <si>
    <t>Lặp lần 1</t>
  </si>
  <si>
    <t>Tâm cụm 1</t>
  </si>
  <si>
    <t>Tâm cụm 2</t>
  </si>
  <si>
    <t>Tâm cụm 3</t>
  </si>
  <si>
    <t>Lặp lần 2</t>
  </si>
  <si>
    <t>Lặp lần 3</t>
  </si>
  <si>
    <t>Lặp lần 4</t>
  </si>
  <si>
    <t>Cụm lần 3</t>
  </si>
  <si>
    <t xml:space="preserve">Không lặp lại thuật toán nữa </t>
  </si>
  <si>
    <t>Lần lặp 2 và lần lặp này đã có các tâm cụm giống với nhau</t>
  </si>
  <si>
    <t>Công thức khoảng cách Euclidean</t>
  </si>
  <si>
    <t>Giá trị đơn hàng</t>
  </si>
  <si>
    <t xml:space="preserve"> </t>
  </si>
  <si>
    <t>Giá trị mỗi đơn (Trăm Nghìn)</t>
  </si>
  <si>
    <t>Tên Cụm</t>
  </si>
  <si>
    <t>Số lượng trong cụm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</si>
</sst>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/>
    <xf numFmtId="0" fontId="5" fillId="2" borderId="1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5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B96E06-C6FD-4A27-AF0C-A37279357726}" name="Table2" displayName="Table2" ref="A1:G101" totalsRowShown="0" headerRowDxfId="74" dataDxfId="72" headerRowBorderDxfId="73" tableBorderDxfId="71" totalsRowBorderDxfId="70">
  <autoFilter ref="A1:G101" xr:uid="{92B96E06-C6FD-4A27-AF0C-A37279357726}"/>
  <tableColumns count="7">
    <tableColumn id="2" xr3:uid="{8CBAE528-2812-442F-A7AF-090C007EC8DE}" name="Giới tính" dataDxfId="69"/>
    <tableColumn id="3" xr3:uid="{E4A94E63-CDD4-476B-8EF2-D5B61AEC154E}" name="Khu vực" dataDxfId="68"/>
    <tableColumn id="4" xr3:uid="{1A172535-8603-4FD4-B88C-093872E3DD7F}" name="Tần suất mua hàng (tháng)" dataDxfId="67"/>
    <tableColumn id="5" xr3:uid="{0DEC84E0-A2EE-40C5-BDDD-E8810DB1D364}" name="Số lượng sản phẩm mỗi đơn" dataDxfId="66"/>
    <tableColumn id="6" xr3:uid="{31A16377-DE73-4F69-99A5-C96A756446FC}" name="Loại sản phẩm quan tâm" dataDxfId="65"/>
    <tableColumn id="7" xr3:uid="{F6059812-1885-4674-BF91-555CD860E7D1}" name="Giá trị mỗi đơn (Trăm Nghìn)" dataDxfId="64"/>
    <tableColumn id="8" xr3:uid="{A10A694C-F46A-4E28-BAF9-7A5C3CFAE39A}" name="Thời gian" dataDxfId="6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F07A85-13BE-4C2A-86DA-CFCD5E914B5E}" name="Table24" displayName="Table24" ref="A1:G101" totalsRowShown="0" headerRowDxfId="62" dataDxfId="60" headerRowBorderDxfId="61" tableBorderDxfId="59" totalsRowBorderDxfId="58">
  <autoFilter ref="A1:G101" xr:uid="{FDF07A85-13BE-4C2A-86DA-CFCD5E914B5E}"/>
  <sortState xmlns:xlrd2="http://schemas.microsoft.com/office/spreadsheetml/2017/richdata2" ref="A2:G101">
    <sortCondition ref="B1:B101"/>
  </sortState>
  <tableColumns count="7">
    <tableColumn id="2" xr3:uid="{EE3A8A1D-EE7B-42D8-88E1-E684C7030E04}" name="Giới tính" dataDxfId="57"/>
    <tableColumn id="3" xr3:uid="{11DCB69A-9FA9-46AA-878F-193BF0C27A64}" name="Khu vực" dataDxfId="56"/>
    <tableColumn id="4" xr3:uid="{C9832E1F-6F92-4B06-882E-86E0C14D0D63}" name="Tần suất mua hàng (tháng)" dataDxfId="55"/>
    <tableColumn id="5" xr3:uid="{70091988-D369-4597-8A33-1E336309811E}" name="Số lượng sản phẩm mỗi đơn" dataDxfId="54"/>
    <tableColumn id="6" xr3:uid="{E2F15040-74BB-45CB-9CD1-3276FDDF5271}" name="Loại sản phẩm quan tâm" dataDxfId="53"/>
    <tableColumn id="7" xr3:uid="{A429AA51-5C4F-438E-AB4D-BCFF67D0994C}" name="Giá trị mỗi đơn (Nghìn)" dataDxfId="52"/>
    <tableColumn id="8" xr3:uid="{02A7D1CB-5349-4603-A30B-492A1391D126}" name="Thời gian" dataDxfId="5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1A195C-073C-48A6-962D-7FD2C6273D0A}" name="Table245" displayName="Table245" ref="A1:H101" totalsRowShown="0" headerRowDxfId="50" dataDxfId="48" headerRowBorderDxfId="49" tableBorderDxfId="47" totalsRowBorderDxfId="46">
  <autoFilter ref="A1:H101" xr:uid="{FDF07A85-13BE-4C2A-86DA-CFCD5E914B5E}"/>
  <sortState xmlns:xlrd2="http://schemas.microsoft.com/office/spreadsheetml/2017/richdata2" ref="A2:G101">
    <sortCondition ref="B1:B101"/>
  </sortState>
  <tableColumns count="8">
    <tableColumn id="2" xr3:uid="{A4A76771-2775-4636-A895-1E1694472E2C}" name="Giới tính" dataDxfId="45"/>
    <tableColumn id="3" xr3:uid="{B290C806-4A6A-4E15-ABB2-9C0307FE1AD8}" name="Khu vực" dataDxfId="44"/>
    <tableColumn id="4" xr3:uid="{EAA486E9-A22B-4F28-BC9A-A3D54CF9E6D7}" name="Tần suất mua hàng (tháng)" dataDxfId="43"/>
    <tableColumn id="5" xr3:uid="{77F61DAD-B6F6-48FF-9923-7983D1603E37}" name="Số lượng sản phẩm mỗi đơn" dataDxfId="42"/>
    <tableColumn id="6" xr3:uid="{ADE8D0D2-0002-485B-BF72-CA8D60470A22}" name="Loại sản phẩm quan tâm" dataDxfId="41"/>
    <tableColumn id="7" xr3:uid="{AF416DE7-E313-4EF4-AB14-654BF1005EE1}" name="Giá trị mỗi đơn (Nghìn)" dataDxfId="40"/>
    <tableColumn id="8" xr3:uid="{C5205ED1-8CCE-432A-B27B-1C65A3306F98}" name="Thời gian" dataDxfId="39"/>
    <tableColumn id="10" xr3:uid="{F2129320-6136-4403-8DC1-13038A995363}" name="Cụm lần 1" dataDxfId="38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1B9D1D-199B-4456-9FFF-2ACF50688054}" name="Table2456" displayName="Table2456" ref="A1:I101" totalsRowShown="0" headerRowDxfId="37" dataDxfId="35" headerRowBorderDxfId="36" tableBorderDxfId="34" totalsRowBorderDxfId="33">
  <autoFilter ref="A1:I101" xr:uid="{FDF07A85-13BE-4C2A-86DA-CFCD5E914B5E}"/>
  <sortState xmlns:xlrd2="http://schemas.microsoft.com/office/spreadsheetml/2017/richdata2" ref="A2:G101">
    <sortCondition ref="B1:B101"/>
  </sortState>
  <tableColumns count="9">
    <tableColumn id="2" xr3:uid="{B4EE9074-1BF5-4292-9AE4-E5E5F2FBAD37}" name="Giới tính" dataDxfId="32"/>
    <tableColumn id="3" xr3:uid="{992B76D7-E348-498D-9B03-92E8EF87E253}" name="Khu vực" dataDxfId="31"/>
    <tableColumn id="4" xr3:uid="{A94E577D-8D10-4B1D-B375-3ED26A9AFECD}" name="Tần suất mua hàng (tháng)" dataDxfId="30"/>
    <tableColumn id="5" xr3:uid="{77F81EDA-3B83-4592-B9F1-11E5B2158D0E}" name="Số lượng sản phẩm mỗi đơn" dataDxfId="29"/>
    <tableColumn id="6" xr3:uid="{8C2AEA09-6842-426C-BDD5-EC0D47604EE8}" name="Loại sản phẩm quan tâm" dataDxfId="28"/>
    <tableColumn id="7" xr3:uid="{EDE90BE7-D863-4912-9715-34F06690AE35}" name="Giá trị mỗi đơn (Nghìn)" dataDxfId="27"/>
    <tableColumn id="8" xr3:uid="{94104AFC-307C-404D-AA42-603D5301EED4}" name="Thời gian" dataDxfId="26"/>
    <tableColumn id="10" xr3:uid="{C0D62529-2E33-4AD9-9C49-61E621BA0CA1}" name="Cụm lần 1" dataDxfId="25"/>
    <tableColumn id="9" xr3:uid="{F0EA5530-F265-407F-833E-44BD1EDF04D8}" name="Cụm lần 2" dataDxfId="24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F01B0C-7E3A-4E07-BDDE-912962A5318D}" name="Table24567" displayName="Table24567" ref="A1:J101" totalsRowShown="0" headerRowDxfId="23" dataDxfId="21" headerRowBorderDxfId="22" tableBorderDxfId="20" totalsRowBorderDxfId="19">
  <autoFilter ref="A1:J101" xr:uid="{FDF07A85-13BE-4C2A-86DA-CFCD5E914B5E}"/>
  <sortState xmlns:xlrd2="http://schemas.microsoft.com/office/spreadsheetml/2017/richdata2" ref="A2:G101">
    <sortCondition ref="B1:B101"/>
  </sortState>
  <tableColumns count="10">
    <tableColumn id="2" xr3:uid="{59BCE9D7-D94A-46BF-8A54-FE2E5D9A7704}" name="Giới tính" dataDxfId="18"/>
    <tableColumn id="3" xr3:uid="{AE1F603C-3612-4D67-99B5-6EC82DB4EAEF}" name="Khu vực" dataDxfId="17"/>
    <tableColumn id="4" xr3:uid="{53BABC9B-C6A2-480E-831B-456D657729FA}" name="Tần suất mua hàng (tháng)" dataDxfId="16"/>
    <tableColumn id="5" xr3:uid="{5E25F15E-5358-4848-9E81-30408170FA20}" name="Số lượng sản phẩm mỗi đơn" dataDxfId="15"/>
    <tableColumn id="6" xr3:uid="{A93A8D5F-75C3-4648-97FF-8D8B2932EF03}" name="Loại sản phẩm quan tâm" dataDxfId="14"/>
    <tableColumn id="7" xr3:uid="{59DB2BC9-FB3F-4A53-B592-B0265705920B}" name="Giá trị mỗi đơn (Nghìn)" dataDxfId="13"/>
    <tableColumn id="8" xr3:uid="{F537A697-B78F-438E-B590-6244FB0B6844}" name="Thời gian" dataDxfId="12"/>
    <tableColumn id="10" xr3:uid="{B3D031EE-CC90-402E-9515-2C462732F80C}" name="Cụm lần 1" dataDxfId="11"/>
    <tableColumn id="9" xr3:uid="{CB8C9DF6-3AD8-4665-813F-18ED347EA8D4}" name="Cụm lần 2" dataDxfId="10"/>
    <tableColumn id="11" xr3:uid="{44A5FFF9-2C31-4AEF-871F-A4382C4C6929}" name="Cụm lần 3" dataDxfId="9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925638-8C70-4BC3-BAE0-88B6621EFC35}" name="Table7" displayName="Table7" ref="Q1:U101" totalsRowShown="0" headerRowDxfId="8" headerRowBorderDxfId="7" tableBorderDxfId="6" totalsRowBorderDxfId="5">
  <autoFilter ref="Q1:U101" xr:uid="{98925638-8C70-4BC3-BAE0-88B6621EFC35}"/>
  <tableColumns count="5">
    <tableColumn id="1" xr3:uid="{B41910ED-85CC-4946-BB6D-9EEFEF125372}" name="Quan sát" dataDxfId="4"/>
    <tableColumn id="2" xr3:uid="{57A85734-C363-49EF-9E4D-7D46BB32B165}" name="Tâm 1" dataDxfId="3">
      <calculatedColumnFormula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calculatedColumnFormula>
    </tableColumn>
    <tableColumn id="3" xr3:uid="{C40B9315-1E9C-477A-995F-5FE0311E4E84}" name="Tâm 2" dataDxfId="2">
      <calculatedColumnFormula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calculatedColumnFormula>
    </tableColumn>
    <tableColumn id="4" xr3:uid="{2E21EDE8-3474-4AFE-9AB2-382DCDB3E94A}" name="Tâm 3" dataDxfId="1">
      <calculatedColumnFormula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calculatedColumnFormula>
    </tableColumn>
    <tableColumn id="5" xr3:uid="{997DBE75-9391-494A-8B2E-8DAB67252712}" name="Cụm" dataDxfId="0">
      <calculatedColumnFormula>IF(MIN(R2,S2,T2) = R2, 1, IF(MIN(R2,S2,T2) = S2, 2,3))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03DD-D142-45DE-98BA-CC8769C0BB99}">
  <dimension ref="A1:H102"/>
  <sheetViews>
    <sheetView zoomScale="90" zoomScaleNormal="90" workbookViewId="0">
      <selection sqref="A1:A1048576"/>
    </sheetView>
  </sheetViews>
  <sheetFormatPr defaultRowHeight="14.4" x14ac:dyDescent="0.3"/>
  <cols>
    <col min="1" max="1" width="24" style="1" bestFit="1" customWidth="1"/>
    <col min="2" max="2" width="8.109375" style="1" bestFit="1" customWidth="1"/>
    <col min="3" max="3" width="10.109375" style="1" bestFit="1" customWidth="1"/>
    <col min="4" max="4" width="8.109375" style="1" bestFit="1" customWidth="1"/>
    <col min="5" max="5" width="8.6640625" style="1" bestFit="1" customWidth="1"/>
    <col min="6" max="6" width="22" style="1" bestFit="1" customWidth="1"/>
    <col min="7" max="7" width="14.5546875" style="1" bestFit="1" customWidth="1"/>
    <col min="8" max="8" width="10.109375" style="1" customWidth="1"/>
    <col min="9" max="16384" width="8.88671875" style="1"/>
  </cols>
  <sheetData>
    <row r="1" spans="1:8" x14ac:dyDescent="0.3">
      <c r="A1" s="29" t="s">
        <v>105</v>
      </c>
      <c r="B1" s="30" t="s">
        <v>104</v>
      </c>
      <c r="C1" s="30" t="s">
        <v>112</v>
      </c>
      <c r="D1" s="30" t="s">
        <v>140</v>
      </c>
      <c r="E1" s="30" t="s">
        <v>139</v>
      </c>
      <c r="F1" s="30" t="s">
        <v>115</v>
      </c>
      <c r="G1" s="30" t="s">
        <v>164</v>
      </c>
      <c r="H1" s="30" t="s">
        <v>113</v>
      </c>
    </row>
    <row r="2" spans="1:8" x14ac:dyDescent="0.3">
      <c r="A2" s="3" t="s">
        <v>0</v>
      </c>
      <c r="B2" s="3" t="s">
        <v>1</v>
      </c>
      <c r="C2" s="3" t="s">
        <v>2</v>
      </c>
      <c r="D2" s="3">
        <v>5</v>
      </c>
      <c r="E2" s="30">
        <v>3</v>
      </c>
      <c r="F2" s="4" t="s">
        <v>117</v>
      </c>
      <c r="G2" s="3">
        <v>500000</v>
      </c>
      <c r="H2" s="3" t="s">
        <v>108</v>
      </c>
    </row>
    <row r="3" spans="1:8" x14ac:dyDescent="0.3">
      <c r="A3" s="3" t="s">
        <v>3</v>
      </c>
      <c r="B3" s="3" t="s">
        <v>1</v>
      </c>
      <c r="C3" s="3" t="s">
        <v>2</v>
      </c>
      <c r="D3" s="3">
        <v>10</v>
      </c>
      <c r="E3" s="3">
        <v>5</v>
      </c>
      <c r="F3" s="4" t="s">
        <v>117</v>
      </c>
      <c r="G3" s="3">
        <v>1000000</v>
      </c>
      <c r="H3" s="3" t="s">
        <v>108</v>
      </c>
    </row>
    <row r="4" spans="1:8" x14ac:dyDescent="0.3">
      <c r="A4" s="3" t="s">
        <v>4</v>
      </c>
      <c r="B4" s="3" t="s">
        <v>5</v>
      </c>
      <c r="C4" s="3" t="s">
        <v>2</v>
      </c>
      <c r="D4" s="3">
        <v>10</v>
      </c>
      <c r="E4" s="3">
        <v>2</v>
      </c>
      <c r="F4" s="4" t="s">
        <v>117</v>
      </c>
      <c r="G4" s="3">
        <v>300000</v>
      </c>
      <c r="H4" s="3" t="s">
        <v>108</v>
      </c>
    </row>
    <row r="5" spans="1:8" x14ac:dyDescent="0.3">
      <c r="A5" s="3" t="s">
        <v>6</v>
      </c>
      <c r="B5" s="3" t="s">
        <v>5</v>
      </c>
      <c r="C5" s="3" t="s">
        <v>2</v>
      </c>
      <c r="D5" s="3">
        <v>2</v>
      </c>
      <c r="E5" s="3">
        <v>1</v>
      </c>
      <c r="F5" s="4" t="s">
        <v>117</v>
      </c>
      <c r="G5" s="3">
        <v>100000</v>
      </c>
      <c r="H5" s="3" t="s">
        <v>108</v>
      </c>
    </row>
    <row r="6" spans="1:8" x14ac:dyDescent="0.3">
      <c r="A6" s="3" t="s">
        <v>7</v>
      </c>
      <c r="B6" s="3" t="s">
        <v>1</v>
      </c>
      <c r="C6" s="3" t="s">
        <v>2</v>
      </c>
      <c r="D6" s="3">
        <v>6</v>
      </c>
      <c r="E6" s="3">
        <v>5</v>
      </c>
      <c r="F6" s="4" t="s">
        <v>117</v>
      </c>
      <c r="G6" s="3">
        <v>900000</v>
      </c>
      <c r="H6" s="3" t="s">
        <v>108</v>
      </c>
    </row>
    <row r="7" spans="1:8" x14ac:dyDescent="0.3">
      <c r="A7" s="3" t="s">
        <v>8</v>
      </c>
      <c r="B7" s="3" t="s">
        <v>1</v>
      </c>
      <c r="C7" s="3" t="s">
        <v>2</v>
      </c>
      <c r="D7" s="3">
        <v>1</v>
      </c>
      <c r="E7" s="3">
        <v>1</v>
      </c>
      <c r="F7" s="4" t="s">
        <v>117</v>
      </c>
      <c r="G7" s="3">
        <v>400000</v>
      </c>
      <c r="H7" s="3" t="s">
        <v>108</v>
      </c>
    </row>
    <row r="8" spans="1:8" x14ac:dyDescent="0.3">
      <c r="A8" s="3" t="s">
        <v>9</v>
      </c>
      <c r="B8" s="3" t="s">
        <v>1</v>
      </c>
      <c r="C8" s="3" t="s">
        <v>2</v>
      </c>
      <c r="D8" s="3">
        <v>1</v>
      </c>
      <c r="E8" s="3">
        <v>1</v>
      </c>
      <c r="F8" s="4" t="s">
        <v>117</v>
      </c>
      <c r="G8" s="3">
        <v>600000</v>
      </c>
      <c r="H8" s="3" t="s">
        <v>109</v>
      </c>
    </row>
    <row r="9" spans="1:8" x14ac:dyDescent="0.3">
      <c r="A9" s="3" t="s">
        <v>10</v>
      </c>
      <c r="B9" s="3" t="s">
        <v>5</v>
      </c>
      <c r="C9" s="3" t="s">
        <v>2</v>
      </c>
      <c r="D9" s="3">
        <v>7</v>
      </c>
      <c r="E9" s="3">
        <v>2</v>
      </c>
      <c r="F9" s="4" t="s">
        <v>117</v>
      </c>
      <c r="G9" s="3">
        <v>500000</v>
      </c>
      <c r="H9" s="3" t="s">
        <v>110</v>
      </c>
    </row>
    <row r="10" spans="1:8" x14ac:dyDescent="0.3">
      <c r="A10" s="3" t="s">
        <v>11</v>
      </c>
      <c r="B10" s="3" t="s">
        <v>1</v>
      </c>
      <c r="C10" s="3" t="s">
        <v>2</v>
      </c>
      <c r="D10" s="3">
        <v>1</v>
      </c>
      <c r="E10" s="3">
        <v>1</v>
      </c>
      <c r="F10" s="4" t="s">
        <v>117</v>
      </c>
      <c r="G10" s="3">
        <v>700000</v>
      </c>
      <c r="H10" s="3" t="s">
        <v>109</v>
      </c>
    </row>
    <row r="11" spans="1:8" x14ac:dyDescent="0.3">
      <c r="A11" s="3" t="s">
        <v>12</v>
      </c>
      <c r="B11" s="3" t="s">
        <v>5</v>
      </c>
      <c r="C11" s="3" t="s">
        <v>13</v>
      </c>
      <c r="D11" s="3">
        <v>1</v>
      </c>
      <c r="E11" s="3">
        <v>1</v>
      </c>
      <c r="F11" s="4" t="s">
        <v>118</v>
      </c>
      <c r="G11" s="3">
        <v>600000</v>
      </c>
      <c r="H11" s="3" t="s">
        <v>108</v>
      </c>
    </row>
    <row r="12" spans="1:8" x14ac:dyDescent="0.3">
      <c r="A12" s="3" t="s">
        <v>14</v>
      </c>
      <c r="B12" s="3" t="s">
        <v>1</v>
      </c>
      <c r="C12" s="3" t="s">
        <v>13</v>
      </c>
      <c r="D12" s="3">
        <v>1</v>
      </c>
      <c r="E12" s="3">
        <v>1</v>
      </c>
      <c r="F12" s="4" t="s">
        <v>118</v>
      </c>
      <c r="G12" s="3">
        <v>200000</v>
      </c>
      <c r="H12" s="3" t="s">
        <v>109</v>
      </c>
    </row>
    <row r="13" spans="1:8" x14ac:dyDescent="0.3">
      <c r="A13" s="3" t="s">
        <v>15</v>
      </c>
      <c r="B13" s="3" t="s">
        <v>5</v>
      </c>
      <c r="C13" s="3" t="s">
        <v>13</v>
      </c>
      <c r="D13" s="3">
        <v>15</v>
      </c>
      <c r="E13" s="3">
        <v>1</v>
      </c>
      <c r="F13" s="4" t="s">
        <v>118</v>
      </c>
      <c r="G13" s="3">
        <v>200000</v>
      </c>
      <c r="H13" s="3" t="s">
        <v>108</v>
      </c>
    </row>
    <row r="14" spans="1:8" x14ac:dyDescent="0.3">
      <c r="A14" s="3" t="s">
        <v>16</v>
      </c>
      <c r="B14" s="3" t="s">
        <v>5</v>
      </c>
      <c r="C14" s="3" t="s">
        <v>13</v>
      </c>
      <c r="D14" s="3">
        <v>2</v>
      </c>
      <c r="E14" s="3">
        <v>2</v>
      </c>
      <c r="F14" s="4" t="s">
        <v>116</v>
      </c>
      <c r="G14" s="3">
        <v>500000</v>
      </c>
      <c r="H14" s="3" t="s">
        <v>109</v>
      </c>
    </row>
    <row r="15" spans="1:8" x14ac:dyDescent="0.3">
      <c r="A15" s="3" t="s">
        <v>17</v>
      </c>
      <c r="B15" s="3" t="s">
        <v>1</v>
      </c>
      <c r="C15" s="3" t="s">
        <v>13</v>
      </c>
      <c r="D15" s="3">
        <v>3</v>
      </c>
      <c r="E15" s="3">
        <v>1</v>
      </c>
      <c r="F15" s="4" t="s">
        <v>116</v>
      </c>
      <c r="G15" s="3">
        <v>800000</v>
      </c>
      <c r="H15" s="3" t="s">
        <v>108</v>
      </c>
    </row>
    <row r="16" spans="1:8" x14ac:dyDescent="0.3">
      <c r="A16" s="3" t="s">
        <v>18</v>
      </c>
      <c r="B16" s="3" t="s">
        <v>5</v>
      </c>
      <c r="C16" s="3" t="s">
        <v>13</v>
      </c>
      <c r="D16" s="3">
        <v>1</v>
      </c>
      <c r="E16" s="3">
        <v>1</v>
      </c>
      <c r="F16" s="4" t="s">
        <v>116</v>
      </c>
      <c r="G16" s="3">
        <v>700000</v>
      </c>
      <c r="H16" s="3" t="s">
        <v>111</v>
      </c>
    </row>
    <row r="17" spans="1:8" x14ac:dyDescent="0.3">
      <c r="A17" s="3" t="s">
        <v>19</v>
      </c>
      <c r="B17" s="3" t="s">
        <v>1</v>
      </c>
      <c r="C17" s="3" t="s">
        <v>13</v>
      </c>
      <c r="D17" s="3">
        <v>1</v>
      </c>
      <c r="E17" s="3">
        <v>1</v>
      </c>
      <c r="F17" s="4" t="s">
        <v>116</v>
      </c>
      <c r="G17" s="3">
        <v>500000</v>
      </c>
      <c r="H17" s="3" t="s">
        <v>108</v>
      </c>
    </row>
    <row r="18" spans="1:8" x14ac:dyDescent="0.3">
      <c r="A18" s="3" t="s">
        <v>20</v>
      </c>
      <c r="B18" s="3" t="s">
        <v>5</v>
      </c>
      <c r="C18" s="3" t="s">
        <v>13</v>
      </c>
      <c r="D18" s="3">
        <v>5</v>
      </c>
      <c r="E18" s="3">
        <v>1</v>
      </c>
      <c r="F18" s="4" t="s">
        <v>118</v>
      </c>
      <c r="G18" s="3">
        <v>200000</v>
      </c>
      <c r="H18" s="3" t="s">
        <v>108</v>
      </c>
    </row>
    <row r="19" spans="1:8" x14ac:dyDescent="0.3">
      <c r="A19" s="3" t="s">
        <v>21</v>
      </c>
      <c r="B19" s="3" t="s">
        <v>5</v>
      </c>
      <c r="C19" s="3" t="s">
        <v>13</v>
      </c>
      <c r="D19" s="3">
        <v>1</v>
      </c>
      <c r="E19" s="3">
        <v>3</v>
      </c>
      <c r="F19" s="4" t="s">
        <v>118</v>
      </c>
      <c r="G19" s="3">
        <v>100000</v>
      </c>
      <c r="H19" s="3" t="s">
        <v>108</v>
      </c>
    </row>
    <row r="20" spans="1:8" x14ac:dyDescent="0.3">
      <c r="A20" s="3" t="s">
        <v>22</v>
      </c>
      <c r="B20" s="3" t="s">
        <v>5</v>
      </c>
      <c r="C20" s="3" t="s">
        <v>13</v>
      </c>
      <c r="D20" s="3">
        <v>8</v>
      </c>
      <c r="E20" s="3">
        <v>1</v>
      </c>
      <c r="F20" s="4" t="s">
        <v>118</v>
      </c>
      <c r="G20" s="3">
        <v>600000</v>
      </c>
      <c r="H20" s="3" t="s">
        <v>108</v>
      </c>
    </row>
    <row r="21" spans="1:8" x14ac:dyDescent="0.3">
      <c r="A21" s="3" t="s">
        <v>23</v>
      </c>
      <c r="B21" s="3" t="s">
        <v>5</v>
      </c>
      <c r="C21" s="3" t="s">
        <v>24</v>
      </c>
      <c r="D21" s="3">
        <v>3</v>
      </c>
      <c r="E21" s="3">
        <v>4</v>
      </c>
      <c r="F21" s="4" t="s">
        <v>117</v>
      </c>
      <c r="G21" s="3">
        <v>500000</v>
      </c>
      <c r="H21" s="3" t="s">
        <v>111</v>
      </c>
    </row>
    <row r="22" spans="1:8" x14ac:dyDescent="0.3">
      <c r="A22" s="3" t="s">
        <v>25</v>
      </c>
      <c r="B22" s="3" t="s">
        <v>5</v>
      </c>
      <c r="C22" s="3" t="s">
        <v>2</v>
      </c>
      <c r="D22" s="3">
        <v>10</v>
      </c>
      <c r="E22" s="3">
        <v>1</v>
      </c>
      <c r="F22" s="4" t="s">
        <v>117</v>
      </c>
      <c r="G22" s="3">
        <v>100000</v>
      </c>
      <c r="H22" s="3" t="s">
        <v>108</v>
      </c>
    </row>
    <row r="23" spans="1:8" x14ac:dyDescent="0.3">
      <c r="A23" s="3" t="s">
        <v>26</v>
      </c>
      <c r="B23" s="3" t="s">
        <v>5</v>
      </c>
      <c r="C23" s="3" t="s">
        <v>2</v>
      </c>
      <c r="D23" s="3">
        <v>1</v>
      </c>
      <c r="E23" s="3">
        <v>1</v>
      </c>
      <c r="F23" s="4" t="s">
        <v>117</v>
      </c>
      <c r="G23" s="3">
        <v>200000</v>
      </c>
      <c r="H23" s="3" t="s">
        <v>108</v>
      </c>
    </row>
    <row r="24" spans="1:8" x14ac:dyDescent="0.3">
      <c r="A24" s="3" t="s">
        <v>27</v>
      </c>
      <c r="B24" s="3" t="s">
        <v>1</v>
      </c>
      <c r="C24" s="3" t="s">
        <v>13</v>
      </c>
      <c r="D24" s="3">
        <v>3</v>
      </c>
      <c r="E24" s="3">
        <v>1</v>
      </c>
      <c r="F24" s="4" t="s">
        <v>117</v>
      </c>
      <c r="G24" s="3">
        <v>100000</v>
      </c>
      <c r="H24" s="3" t="s">
        <v>108</v>
      </c>
    </row>
    <row r="25" spans="1:8" x14ac:dyDescent="0.3">
      <c r="A25" s="3" t="s">
        <v>28</v>
      </c>
      <c r="B25" s="3" t="s">
        <v>1</v>
      </c>
      <c r="C25" s="3" t="s">
        <v>2</v>
      </c>
      <c r="D25" s="3">
        <v>10</v>
      </c>
      <c r="E25" s="3">
        <v>4</v>
      </c>
      <c r="F25" s="4" t="s">
        <v>117</v>
      </c>
      <c r="G25" s="3">
        <v>300000</v>
      </c>
      <c r="H25" s="3" t="s">
        <v>108</v>
      </c>
    </row>
    <row r="26" spans="1:8" x14ac:dyDescent="0.3">
      <c r="A26" s="3" t="s">
        <v>29</v>
      </c>
      <c r="B26" s="3" t="s">
        <v>5</v>
      </c>
      <c r="C26" s="3" t="s">
        <v>2</v>
      </c>
      <c r="D26" s="3">
        <v>8</v>
      </c>
      <c r="E26" s="3">
        <v>1</v>
      </c>
      <c r="F26" s="4" t="s">
        <v>117</v>
      </c>
      <c r="G26" s="3">
        <v>900000</v>
      </c>
      <c r="H26" s="3" t="s">
        <v>108</v>
      </c>
    </row>
    <row r="27" spans="1:8" x14ac:dyDescent="0.3">
      <c r="A27" s="3" t="s">
        <v>30</v>
      </c>
      <c r="B27" s="3" t="s">
        <v>5</v>
      </c>
      <c r="C27" s="3" t="s">
        <v>13</v>
      </c>
      <c r="D27" s="3">
        <v>1</v>
      </c>
      <c r="E27" s="3">
        <v>1</v>
      </c>
      <c r="F27" s="4" t="s">
        <v>117</v>
      </c>
      <c r="G27" s="3">
        <v>400000</v>
      </c>
      <c r="H27" s="3" t="s">
        <v>108</v>
      </c>
    </row>
    <row r="28" spans="1:8" x14ac:dyDescent="0.3">
      <c r="A28" s="3" t="s">
        <v>31</v>
      </c>
      <c r="B28" s="3" t="s">
        <v>5</v>
      </c>
      <c r="C28" s="3" t="s">
        <v>2</v>
      </c>
      <c r="D28" s="3">
        <v>3</v>
      </c>
      <c r="E28" s="3">
        <v>5</v>
      </c>
      <c r="F28" s="4" t="s">
        <v>117</v>
      </c>
      <c r="G28" s="3">
        <v>1000000</v>
      </c>
      <c r="H28" s="3" t="s">
        <v>108</v>
      </c>
    </row>
    <row r="29" spans="1:8" x14ac:dyDescent="0.3">
      <c r="A29" s="3" t="s">
        <v>32</v>
      </c>
      <c r="B29" s="3" t="s">
        <v>5</v>
      </c>
      <c r="C29" s="3" t="s">
        <v>13</v>
      </c>
      <c r="D29" s="3">
        <v>4</v>
      </c>
      <c r="E29" s="3">
        <v>1</v>
      </c>
      <c r="F29" s="4" t="s">
        <v>116</v>
      </c>
      <c r="G29" s="3">
        <v>600000</v>
      </c>
      <c r="H29" s="3" t="s">
        <v>110</v>
      </c>
    </row>
    <row r="30" spans="1:8" x14ac:dyDescent="0.3">
      <c r="A30" s="3" t="s">
        <v>33</v>
      </c>
      <c r="B30" s="3" t="s">
        <v>5</v>
      </c>
      <c r="C30" s="3" t="s">
        <v>13</v>
      </c>
      <c r="D30" s="3">
        <v>1</v>
      </c>
      <c r="E30" s="3">
        <v>4</v>
      </c>
      <c r="F30" s="4" t="s">
        <v>116</v>
      </c>
      <c r="G30" s="3">
        <v>500000</v>
      </c>
      <c r="H30" s="3" t="s">
        <v>110</v>
      </c>
    </row>
    <row r="31" spans="1:8" x14ac:dyDescent="0.3">
      <c r="A31" s="3" t="s">
        <v>34</v>
      </c>
      <c r="B31" s="3" t="s">
        <v>1</v>
      </c>
      <c r="C31" s="3" t="s">
        <v>13</v>
      </c>
      <c r="D31" s="3">
        <v>10</v>
      </c>
      <c r="E31" s="3">
        <v>5</v>
      </c>
      <c r="F31" s="4" t="s">
        <v>116</v>
      </c>
      <c r="G31" s="3">
        <v>1000000</v>
      </c>
      <c r="H31" s="3" t="s">
        <v>108</v>
      </c>
    </row>
    <row r="32" spans="1:8" x14ac:dyDescent="0.3">
      <c r="A32" s="3" t="s">
        <v>35</v>
      </c>
      <c r="B32" s="3" t="s">
        <v>5</v>
      </c>
      <c r="C32" s="3" t="s">
        <v>13</v>
      </c>
      <c r="D32" s="3">
        <v>1</v>
      </c>
      <c r="E32" s="3">
        <v>1</v>
      </c>
      <c r="F32" s="4" t="s">
        <v>116</v>
      </c>
      <c r="G32" s="3">
        <v>200000</v>
      </c>
      <c r="H32" s="3" t="s">
        <v>108</v>
      </c>
    </row>
    <row r="33" spans="1:8" x14ac:dyDescent="0.3">
      <c r="A33" s="3" t="s">
        <v>36</v>
      </c>
      <c r="B33" s="3" t="s">
        <v>5</v>
      </c>
      <c r="C33" s="3" t="s">
        <v>13</v>
      </c>
      <c r="D33" s="3">
        <v>4</v>
      </c>
      <c r="E33" s="3">
        <v>1</v>
      </c>
      <c r="F33" s="4" t="s">
        <v>116</v>
      </c>
      <c r="G33" s="3">
        <v>200000</v>
      </c>
      <c r="H33" s="3" t="s">
        <v>108</v>
      </c>
    </row>
    <row r="34" spans="1:8" x14ac:dyDescent="0.3">
      <c r="A34" s="3" t="s">
        <v>37</v>
      </c>
      <c r="B34" s="3" t="s">
        <v>5</v>
      </c>
      <c r="C34" s="3" t="s">
        <v>13</v>
      </c>
      <c r="D34" s="3">
        <v>4</v>
      </c>
      <c r="E34" s="3">
        <v>1</v>
      </c>
      <c r="F34" s="4" t="s">
        <v>118</v>
      </c>
      <c r="G34" s="3">
        <v>200000</v>
      </c>
      <c r="H34" s="3" t="s">
        <v>108</v>
      </c>
    </row>
    <row r="35" spans="1:8" x14ac:dyDescent="0.3">
      <c r="A35" s="3" t="s">
        <v>38</v>
      </c>
      <c r="B35" s="3" t="s">
        <v>5</v>
      </c>
      <c r="C35" s="3" t="s">
        <v>13</v>
      </c>
      <c r="D35" s="3">
        <v>8</v>
      </c>
      <c r="E35" s="3">
        <v>2</v>
      </c>
      <c r="F35" s="4" t="s">
        <v>118</v>
      </c>
      <c r="G35" s="3">
        <v>400000</v>
      </c>
      <c r="H35" s="3" t="s">
        <v>108</v>
      </c>
    </row>
    <row r="36" spans="1:8" x14ac:dyDescent="0.3">
      <c r="A36" s="3" t="s">
        <v>39</v>
      </c>
      <c r="B36" s="3" t="s">
        <v>5</v>
      </c>
      <c r="C36" s="3" t="s">
        <v>13</v>
      </c>
      <c r="D36" s="3">
        <v>6</v>
      </c>
      <c r="E36" s="3">
        <v>1</v>
      </c>
      <c r="F36" s="4" t="s">
        <v>118</v>
      </c>
      <c r="G36" s="3">
        <v>200000</v>
      </c>
      <c r="H36" s="3" t="s">
        <v>108</v>
      </c>
    </row>
    <row r="37" spans="1:8" x14ac:dyDescent="0.3">
      <c r="A37" s="3" t="s">
        <v>40</v>
      </c>
      <c r="B37" s="3" t="s">
        <v>5</v>
      </c>
      <c r="C37" s="3" t="s">
        <v>13</v>
      </c>
      <c r="D37" s="3">
        <v>4</v>
      </c>
      <c r="E37" s="3">
        <v>3</v>
      </c>
      <c r="F37" s="4" t="s">
        <v>117</v>
      </c>
      <c r="G37" s="3">
        <v>800000</v>
      </c>
      <c r="H37" s="3" t="s">
        <v>108</v>
      </c>
    </row>
    <row r="38" spans="1:8" x14ac:dyDescent="0.3">
      <c r="A38" s="3" t="s">
        <v>41</v>
      </c>
      <c r="B38" s="3" t="s">
        <v>1</v>
      </c>
      <c r="C38" s="3" t="s">
        <v>13</v>
      </c>
      <c r="D38" s="3">
        <v>1</v>
      </c>
      <c r="E38" s="3">
        <v>1</v>
      </c>
      <c r="F38" s="4" t="s">
        <v>117</v>
      </c>
      <c r="G38" s="3">
        <v>300000</v>
      </c>
      <c r="H38" s="3" t="s">
        <v>108</v>
      </c>
    </row>
    <row r="39" spans="1:8" x14ac:dyDescent="0.3">
      <c r="A39" s="3" t="s">
        <v>42</v>
      </c>
      <c r="B39" s="3" t="s">
        <v>5</v>
      </c>
      <c r="C39" s="3" t="s">
        <v>2</v>
      </c>
      <c r="D39" s="3">
        <v>1</v>
      </c>
      <c r="E39" s="3">
        <v>4</v>
      </c>
      <c r="F39" s="4" t="s">
        <v>117</v>
      </c>
      <c r="G39" s="3">
        <v>500000</v>
      </c>
      <c r="H39" s="3" t="s">
        <v>110</v>
      </c>
    </row>
    <row r="40" spans="1:8" x14ac:dyDescent="0.3">
      <c r="A40" s="3" t="s">
        <v>43</v>
      </c>
      <c r="B40" s="3" t="s">
        <v>5</v>
      </c>
      <c r="C40" s="3" t="s">
        <v>24</v>
      </c>
      <c r="D40" s="3">
        <v>8</v>
      </c>
      <c r="E40" s="3">
        <v>2</v>
      </c>
      <c r="F40" s="4" t="s">
        <v>117</v>
      </c>
      <c r="G40" s="3">
        <v>900000</v>
      </c>
      <c r="H40" s="3" t="s">
        <v>111</v>
      </c>
    </row>
    <row r="41" spans="1:8" x14ac:dyDescent="0.3">
      <c r="A41" s="3" t="s">
        <v>44</v>
      </c>
      <c r="B41" s="3" t="s">
        <v>5</v>
      </c>
      <c r="C41" s="3" t="s">
        <v>24</v>
      </c>
      <c r="D41" s="3">
        <v>8</v>
      </c>
      <c r="E41" s="3">
        <v>4</v>
      </c>
      <c r="F41" s="4" t="s">
        <v>117</v>
      </c>
      <c r="G41" s="3">
        <v>300000</v>
      </c>
      <c r="H41" s="3" t="s">
        <v>108</v>
      </c>
    </row>
    <row r="42" spans="1:8" x14ac:dyDescent="0.3">
      <c r="A42" s="3" t="s">
        <v>45</v>
      </c>
      <c r="B42" s="3" t="s">
        <v>1</v>
      </c>
      <c r="C42" s="3" t="s">
        <v>2</v>
      </c>
      <c r="D42" s="3">
        <v>7</v>
      </c>
      <c r="E42" s="3">
        <v>4</v>
      </c>
      <c r="F42" s="4" t="s">
        <v>117</v>
      </c>
      <c r="G42" s="3">
        <v>400000</v>
      </c>
      <c r="H42" s="3" t="s">
        <v>108</v>
      </c>
    </row>
    <row r="43" spans="1:8" x14ac:dyDescent="0.3">
      <c r="A43" s="3" t="s">
        <v>46</v>
      </c>
      <c r="B43" s="3" t="s">
        <v>5</v>
      </c>
      <c r="C43" s="3" t="s">
        <v>2</v>
      </c>
      <c r="D43" s="3">
        <v>8</v>
      </c>
      <c r="E43" s="3">
        <v>2</v>
      </c>
      <c r="F43" s="4" t="s">
        <v>117</v>
      </c>
      <c r="G43" s="3">
        <v>300000</v>
      </c>
      <c r="H43" s="3" t="s">
        <v>108</v>
      </c>
    </row>
    <row r="44" spans="1:8" x14ac:dyDescent="0.3">
      <c r="A44" s="3" t="s">
        <v>47</v>
      </c>
      <c r="B44" s="3" t="s">
        <v>1</v>
      </c>
      <c r="C44" s="3" t="s">
        <v>2</v>
      </c>
      <c r="D44" s="3">
        <v>4</v>
      </c>
      <c r="E44" s="3">
        <v>2</v>
      </c>
      <c r="F44" s="4" t="s">
        <v>117</v>
      </c>
      <c r="G44" s="3">
        <v>400000</v>
      </c>
      <c r="H44" s="3" t="s">
        <v>108</v>
      </c>
    </row>
    <row r="45" spans="1:8" x14ac:dyDescent="0.3">
      <c r="A45" s="3" t="s">
        <v>48</v>
      </c>
      <c r="B45" s="3" t="s">
        <v>1</v>
      </c>
      <c r="C45" s="3" t="s">
        <v>13</v>
      </c>
      <c r="D45" s="3">
        <v>4</v>
      </c>
      <c r="E45" s="3">
        <v>1</v>
      </c>
      <c r="F45" s="4" t="s">
        <v>117</v>
      </c>
      <c r="G45" s="3">
        <v>600000</v>
      </c>
      <c r="H45" s="3" t="s">
        <v>109</v>
      </c>
    </row>
    <row r="46" spans="1:8" x14ac:dyDescent="0.3">
      <c r="A46" s="3" t="s">
        <v>49</v>
      </c>
      <c r="B46" s="3" t="s">
        <v>1</v>
      </c>
      <c r="C46" s="3" t="s">
        <v>2</v>
      </c>
      <c r="D46" s="3">
        <v>9</v>
      </c>
      <c r="E46" s="3">
        <v>1</v>
      </c>
      <c r="F46" s="4" t="s">
        <v>119</v>
      </c>
      <c r="G46" s="3">
        <v>400000</v>
      </c>
      <c r="H46" s="3" t="s">
        <v>109</v>
      </c>
    </row>
    <row r="47" spans="1:8" x14ac:dyDescent="0.3">
      <c r="A47" s="3" t="s">
        <v>50</v>
      </c>
      <c r="B47" s="3" t="s">
        <v>5</v>
      </c>
      <c r="C47" s="3" t="s">
        <v>2</v>
      </c>
      <c r="D47" s="3">
        <v>10</v>
      </c>
      <c r="E47" s="3">
        <v>3</v>
      </c>
      <c r="F47" s="4" t="s">
        <v>119</v>
      </c>
      <c r="G47" s="3">
        <v>400000</v>
      </c>
      <c r="H47" s="3" t="s">
        <v>111</v>
      </c>
    </row>
    <row r="48" spans="1:8" x14ac:dyDescent="0.3">
      <c r="A48" s="3" t="s">
        <v>51</v>
      </c>
      <c r="B48" s="3" t="s">
        <v>5</v>
      </c>
      <c r="C48" s="3" t="s">
        <v>2</v>
      </c>
      <c r="D48" s="3">
        <v>3</v>
      </c>
      <c r="E48" s="3">
        <v>1</v>
      </c>
      <c r="F48" s="4" t="s">
        <v>117</v>
      </c>
      <c r="G48" s="3">
        <v>300000</v>
      </c>
      <c r="H48" s="3" t="s">
        <v>111</v>
      </c>
    </row>
    <row r="49" spans="1:8" x14ac:dyDescent="0.3">
      <c r="A49" s="3" t="s">
        <v>52</v>
      </c>
      <c r="B49" s="3" t="s">
        <v>1</v>
      </c>
      <c r="C49" s="3" t="s">
        <v>2</v>
      </c>
      <c r="D49" s="3">
        <v>4</v>
      </c>
      <c r="E49" s="3">
        <v>1</v>
      </c>
      <c r="F49" s="4" t="s">
        <v>117</v>
      </c>
      <c r="G49" s="3">
        <v>100000</v>
      </c>
      <c r="H49" s="3" t="s">
        <v>110</v>
      </c>
    </row>
    <row r="50" spans="1:8" x14ac:dyDescent="0.3">
      <c r="A50" s="3" t="s">
        <v>53</v>
      </c>
      <c r="B50" s="3" t="s">
        <v>1</v>
      </c>
      <c r="C50" s="3" t="s">
        <v>2</v>
      </c>
      <c r="D50" s="3">
        <v>7</v>
      </c>
      <c r="E50" s="3">
        <v>2</v>
      </c>
      <c r="F50" s="4" t="s">
        <v>117</v>
      </c>
      <c r="G50" s="3">
        <v>400000</v>
      </c>
      <c r="H50" s="3" t="s">
        <v>111</v>
      </c>
    </row>
    <row r="51" spans="1:8" x14ac:dyDescent="0.3">
      <c r="A51" s="3" t="s">
        <v>54</v>
      </c>
      <c r="B51" s="3" t="s">
        <v>1</v>
      </c>
      <c r="C51" s="3" t="s">
        <v>2</v>
      </c>
      <c r="D51" s="3">
        <v>8</v>
      </c>
      <c r="E51" s="3">
        <v>1</v>
      </c>
      <c r="F51" s="4" t="s">
        <v>117</v>
      </c>
      <c r="G51" s="3">
        <v>300000</v>
      </c>
      <c r="H51" s="3" t="s">
        <v>111</v>
      </c>
    </row>
    <row r="52" spans="1:8" x14ac:dyDescent="0.3">
      <c r="A52" s="3" t="s">
        <v>55</v>
      </c>
      <c r="B52" s="3" t="s">
        <v>1</v>
      </c>
      <c r="C52" s="3" t="s">
        <v>2</v>
      </c>
      <c r="D52" s="3">
        <v>1</v>
      </c>
      <c r="E52" s="3">
        <v>1</v>
      </c>
      <c r="F52" s="4" t="s">
        <v>117</v>
      </c>
      <c r="G52" s="3">
        <v>200000</v>
      </c>
      <c r="H52" s="3" t="s">
        <v>109</v>
      </c>
    </row>
    <row r="53" spans="1:8" x14ac:dyDescent="0.3">
      <c r="A53" s="3" t="s">
        <v>56</v>
      </c>
      <c r="B53" s="3" t="s">
        <v>5</v>
      </c>
      <c r="C53" s="3" t="s">
        <v>2</v>
      </c>
      <c r="D53" s="3">
        <v>8</v>
      </c>
      <c r="E53" s="3">
        <v>4</v>
      </c>
      <c r="F53" s="4" t="s">
        <v>119</v>
      </c>
      <c r="G53" s="3">
        <v>800000</v>
      </c>
      <c r="H53" s="3" t="s">
        <v>110</v>
      </c>
    </row>
    <row r="54" spans="1:8" x14ac:dyDescent="0.3">
      <c r="A54" s="3" t="s">
        <v>57</v>
      </c>
      <c r="B54" s="3" t="s">
        <v>1</v>
      </c>
      <c r="C54" s="3" t="s">
        <v>2</v>
      </c>
      <c r="D54" s="3">
        <v>4</v>
      </c>
      <c r="E54" s="3">
        <v>1</v>
      </c>
      <c r="F54" s="4" t="s">
        <v>119</v>
      </c>
      <c r="G54" s="3">
        <v>200000</v>
      </c>
      <c r="H54" s="3" t="s">
        <v>108</v>
      </c>
    </row>
    <row r="55" spans="1:8" x14ac:dyDescent="0.3">
      <c r="A55" s="3" t="s">
        <v>58</v>
      </c>
      <c r="B55" s="3" t="s">
        <v>1</v>
      </c>
      <c r="C55" s="3" t="s">
        <v>2</v>
      </c>
      <c r="D55" s="3">
        <v>4</v>
      </c>
      <c r="E55" s="3">
        <v>1</v>
      </c>
      <c r="F55" s="4" t="s">
        <v>117</v>
      </c>
      <c r="G55" s="3">
        <v>100000</v>
      </c>
      <c r="H55" s="3" t="s">
        <v>108</v>
      </c>
    </row>
    <row r="56" spans="1:8" x14ac:dyDescent="0.3">
      <c r="A56" s="3" t="s">
        <v>59</v>
      </c>
      <c r="B56" s="3" t="s">
        <v>1</v>
      </c>
      <c r="C56" s="3" t="s">
        <v>2</v>
      </c>
      <c r="D56" s="3">
        <v>3</v>
      </c>
      <c r="E56" s="3">
        <v>4</v>
      </c>
      <c r="F56" s="4" t="s">
        <v>117</v>
      </c>
      <c r="G56" s="3">
        <v>300000</v>
      </c>
      <c r="H56" s="3" t="s">
        <v>108</v>
      </c>
    </row>
    <row r="57" spans="1:8" x14ac:dyDescent="0.3">
      <c r="A57" s="3" t="s">
        <v>60</v>
      </c>
      <c r="B57" s="3" t="s">
        <v>1</v>
      </c>
      <c r="C57" s="3" t="s">
        <v>2</v>
      </c>
      <c r="D57" s="3">
        <v>2</v>
      </c>
      <c r="E57" s="3">
        <v>4</v>
      </c>
      <c r="F57" s="4" t="s">
        <v>119</v>
      </c>
      <c r="G57" s="3">
        <v>400000</v>
      </c>
      <c r="H57" s="3" t="s">
        <v>110</v>
      </c>
    </row>
    <row r="58" spans="1:8" x14ac:dyDescent="0.3">
      <c r="A58" s="3" t="s">
        <v>61</v>
      </c>
      <c r="B58" s="3" t="s">
        <v>5</v>
      </c>
      <c r="C58" s="3" t="s">
        <v>24</v>
      </c>
      <c r="D58" s="3">
        <v>10</v>
      </c>
      <c r="E58" s="3">
        <v>5</v>
      </c>
      <c r="F58" s="4" t="s">
        <v>120</v>
      </c>
      <c r="G58" s="3">
        <v>800000</v>
      </c>
      <c r="H58" s="3" t="s">
        <v>111</v>
      </c>
    </row>
    <row r="59" spans="1:8" x14ac:dyDescent="0.3">
      <c r="A59" s="3" t="s">
        <v>62</v>
      </c>
      <c r="B59" s="3" t="s">
        <v>5</v>
      </c>
      <c r="C59" s="3" t="s">
        <v>24</v>
      </c>
      <c r="D59" s="3">
        <v>1</v>
      </c>
      <c r="E59" s="3">
        <v>1</v>
      </c>
      <c r="F59" s="4" t="s">
        <v>120</v>
      </c>
      <c r="G59" s="3">
        <v>600000</v>
      </c>
      <c r="H59" s="3" t="s">
        <v>109</v>
      </c>
    </row>
    <row r="60" spans="1:8" x14ac:dyDescent="0.3">
      <c r="A60" s="3" t="s">
        <v>63</v>
      </c>
      <c r="B60" s="3" t="s">
        <v>5</v>
      </c>
      <c r="C60" s="3" t="s">
        <v>2</v>
      </c>
      <c r="D60" s="3">
        <v>2</v>
      </c>
      <c r="E60" s="3">
        <v>1</v>
      </c>
      <c r="F60" s="4" t="s">
        <v>117</v>
      </c>
      <c r="G60" s="3">
        <v>700000</v>
      </c>
      <c r="H60" s="3" t="s">
        <v>108</v>
      </c>
    </row>
    <row r="61" spans="1:8" x14ac:dyDescent="0.3">
      <c r="A61" s="3" t="s">
        <v>64</v>
      </c>
      <c r="B61" s="3" t="s">
        <v>5</v>
      </c>
      <c r="C61" s="3" t="s">
        <v>2</v>
      </c>
      <c r="D61" s="3">
        <v>6</v>
      </c>
      <c r="E61" s="3">
        <v>4</v>
      </c>
      <c r="F61" s="4" t="s">
        <v>119</v>
      </c>
      <c r="G61" s="3">
        <v>100000</v>
      </c>
      <c r="H61" s="3" t="s">
        <v>108</v>
      </c>
    </row>
    <row r="62" spans="1:8" x14ac:dyDescent="0.3">
      <c r="A62" s="3" t="s">
        <v>65</v>
      </c>
      <c r="B62" s="3" t="s">
        <v>5</v>
      </c>
      <c r="C62" s="3" t="s">
        <v>2</v>
      </c>
      <c r="D62" s="3">
        <v>8</v>
      </c>
      <c r="E62" s="3">
        <v>3</v>
      </c>
      <c r="F62" s="4" t="s">
        <v>119</v>
      </c>
      <c r="G62" s="3">
        <v>800000</v>
      </c>
      <c r="H62" s="3" t="s">
        <v>108</v>
      </c>
    </row>
    <row r="63" spans="1:8" x14ac:dyDescent="0.3">
      <c r="A63" s="3" t="s">
        <v>66</v>
      </c>
      <c r="B63" s="3" t="s">
        <v>5</v>
      </c>
      <c r="C63" s="3" t="s">
        <v>2</v>
      </c>
      <c r="D63" s="3">
        <v>4</v>
      </c>
      <c r="E63" s="3">
        <v>3</v>
      </c>
      <c r="F63" s="4" t="s">
        <v>119</v>
      </c>
      <c r="G63" s="3">
        <v>300000</v>
      </c>
      <c r="H63" s="3" t="s">
        <v>110</v>
      </c>
    </row>
    <row r="64" spans="1:8" x14ac:dyDescent="0.3">
      <c r="A64" s="3" t="s">
        <v>67</v>
      </c>
      <c r="B64" s="3" t="s">
        <v>1</v>
      </c>
      <c r="C64" s="3" t="s">
        <v>24</v>
      </c>
      <c r="D64" s="3">
        <v>3</v>
      </c>
      <c r="E64" s="3">
        <v>3</v>
      </c>
      <c r="F64" s="4" t="s">
        <v>120</v>
      </c>
      <c r="G64" s="3">
        <v>500000</v>
      </c>
      <c r="H64" s="3" t="s">
        <v>111</v>
      </c>
    </row>
    <row r="65" spans="1:8" x14ac:dyDescent="0.3">
      <c r="A65" s="3" t="s">
        <v>68</v>
      </c>
      <c r="B65" s="3" t="s">
        <v>5</v>
      </c>
      <c r="C65" s="3" t="s">
        <v>2</v>
      </c>
      <c r="D65" s="3">
        <v>6</v>
      </c>
      <c r="E65" s="3">
        <v>2</v>
      </c>
      <c r="F65" s="4" t="s">
        <v>137</v>
      </c>
      <c r="G65" s="3">
        <v>300000</v>
      </c>
      <c r="H65" s="3" t="s">
        <v>109</v>
      </c>
    </row>
    <row r="66" spans="1:8" x14ac:dyDescent="0.3">
      <c r="A66" s="3" t="s">
        <v>69</v>
      </c>
      <c r="B66" s="3" t="s">
        <v>5</v>
      </c>
      <c r="C66" s="3" t="s">
        <v>2</v>
      </c>
      <c r="D66" s="3">
        <v>3</v>
      </c>
      <c r="E66" s="3">
        <v>2</v>
      </c>
      <c r="F66" s="4" t="s">
        <v>137</v>
      </c>
      <c r="G66" s="3">
        <v>400000</v>
      </c>
      <c r="H66" s="3" t="s">
        <v>109</v>
      </c>
    </row>
    <row r="67" spans="1:8" x14ac:dyDescent="0.3">
      <c r="A67" s="3" t="s">
        <v>70</v>
      </c>
      <c r="B67" s="3" t="s">
        <v>5</v>
      </c>
      <c r="C67" s="3" t="s">
        <v>24</v>
      </c>
      <c r="D67" s="3">
        <v>3</v>
      </c>
      <c r="E67" s="3">
        <v>1</v>
      </c>
      <c r="F67" s="4" t="s">
        <v>120</v>
      </c>
      <c r="G67" s="3">
        <v>200000</v>
      </c>
      <c r="H67" s="3" t="s">
        <v>110</v>
      </c>
    </row>
    <row r="68" spans="1:8" x14ac:dyDescent="0.3">
      <c r="A68" s="3" t="s">
        <v>71</v>
      </c>
      <c r="B68" s="3" t="s">
        <v>5</v>
      </c>
      <c r="C68" s="3" t="s">
        <v>24</v>
      </c>
      <c r="D68" s="3">
        <v>4</v>
      </c>
      <c r="E68" s="3">
        <v>4</v>
      </c>
      <c r="F68" s="4" t="s">
        <v>120</v>
      </c>
      <c r="G68" s="3">
        <v>500000</v>
      </c>
      <c r="H68" s="3" t="s">
        <v>111</v>
      </c>
    </row>
    <row r="69" spans="1:8" x14ac:dyDescent="0.3">
      <c r="A69" s="3" t="s">
        <v>72</v>
      </c>
      <c r="B69" s="3" t="s">
        <v>5</v>
      </c>
      <c r="C69" s="3" t="s">
        <v>24</v>
      </c>
      <c r="D69" s="3">
        <v>8</v>
      </c>
      <c r="E69" s="3">
        <v>2</v>
      </c>
      <c r="F69" s="4" t="s">
        <v>120</v>
      </c>
      <c r="G69" s="3">
        <v>200000</v>
      </c>
      <c r="H69" s="3" t="s">
        <v>108</v>
      </c>
    </row>
    <row r="70" spans="1:8" x14ac:dyDescent="0.3">
      <c r="A70" s="3" t="s">
        <v>73</v>
      </c>
      <c r="B70" s="3" t="s">
        <v>1</v>
      </c>
      <c r="C70" s="3" t="s">
        <v>24</v>
      </c>
      <c r="D70" s="3">
        <v>3</v>
      </c>
      <c r="E70" s="3">
        <v>3</v>
      </c>
      <c r="F70" s="4" t="s">
        <v>120</v>
      </c>
      <c r="G70" s="3">
        <v>400000</v>
      </c>
      <c r="H70" s="3" t="s">
        <v>108</v>
      </c>
    </row>
    <row r="71" spans="1:8" x14ac:dyDescent="0.3">
      <c r="A71" s="3" t="s">
        <v>74</v>
      </c>
      <c r="B71" s="3" t="s">
        <v>1</v>
      </c>
      <c r="C71" s="3" t="s">
        <v>24</v>
      </c>
      <c r="D71" s="3">
        <v>5</v>
      </c>
      <c r="E71" s="3">
        <v>5</v>
      </c>
      <c r="F71" s="4" t="s">
        <v>120</v>
      </c>
      <c r="G71" s="3">
        <v>500000</v>
      </c>
      <c r="H71" s="3" t="s">
        <v>110</v>
      </c>
    </row>
    <row r="72" spans="1:8" x14ac:dyDescent="0.3">
      <c r="A72" s="3" t="s">
        <v>75</v>
      </c>
      <c r="B72" s="3" t="s">
        <v>1</v>
      </c>
      <c r="C72" s="3" t="s">
        <v>24</v>
      </c>
      <c r="D72" s="3">
        <v>3</v>
      </c>
      <c r="E72" s="3">
        <v>4</v>
      </c>
      <c r="F72" s="4" t="s">
        <v>120</v>
      </c>
      <c r="G72" s="3">
        <v>500000</v>
      </c>
      <c r="H72" s="3" t="s">
        <v>108</v>
      </c>
    </row>
    <row r="73" spans="1:8" x14ac:dyDescent="0.3">
      <c r="A73" s="3" t="s">
        <v>76</v>
      </c>
      <c r="B73" s="3" t="s">
        <v>1</v>
      </c>
      <c r="C73" s="3" t="s">
        <v>2</v>
      </c>
      <c r="D73" s="3">
        <v>1</v>
      </c>
      <c r="E73" s="3">
        <v>1</v>
      </c>
      <c r="F73" s="4" t="s">
        <v>137</v>
      </c>
      <c r="G73" s="3">
        <v>100000</v>
      </c>
      <c r="H73" s="3" t="s">
        <v>109</v>
      </c>
    </row>
    <row r="74" spans="1:8" x14ac:dyDescent="0.3">
      <c r="A74" s="3" t="s">
        <v>77</v>
      </c>
      <c r="B74" s="3" t="s">
        <v>1</v>
      </c>
      <c r="C74" s="3" t="s">
        <v>2</v>
      </c>
      <c r="D74" s="3">
        <v>3</v>
      </c>
      <c r="E74" s="3">
        <v>1</v>
      </c>
      <c r="F74" s="4" t="s">
        <v>137</v>
      </c>
      <c r="G74" s="3">
        <v>200000</v>
      </c>
      <c r="H74" s="3" t="s">
        <v>110</v>
      </c>
    </row>
    <row r="75" spans="1:8" x14ac:dyDescent="0.3">
      <c r="A75" s="3" t="s">
        <v>78</v>
      </c>
      <c r="B75" s="3" t="s">
        <v>1</v>
      </c>
      <c r="C75" s="3" t="s">
        <v>24</v>
      </c>
      <c r="D75" s="3">
        <v>5</v>
      </c>
      <c r="E75" s="3">
        <v>3</v>
      </c>
      <c r="F75" s="4" t="s">
        <v>120</v>
      </c>
      <c r="G75" s="3">
        <v>300000</v>
      </c>
      <c r="H75" s="3" t="s">
        <v>110</v>
      </c>
    </row>
    <row r="76" spans="1:8" x14ac:dyDescent="0.3">
      <c r="A76" s="3" t="s">
        <v>79</v>
      </c>
      <c r="B76" s="3" t="s">
        <v>5</v>
      </c>
      <c r="C76" s="3" t="s">
        <v>2</v>
      </c>
      <c r="D76" s="3">
        <v>1</v>
      </c>
      <c r="E76" s="3">
        <v>2</v>
      </c>
      <c r="F76" s="4" t="s">
        <v>137</v>
      </c>
      <c r="G76" s="3">
        <v>200000</v>
      </c>
      <c r="H76" s="3" t="s">
        <v>111</v>
      </c>
    </row>
    <row r="77" spans="1:8" x14ac:dyDescent="0.3">
      <c r="A77" s="3" t="s">
        <v>56</v>
      </c>
      <c r="B77" s="3" t="s">
        <v>5</v>
      </c>
      <c r="C77" s="3" t="s">
        <v>2</v>
      </c>
      <c r="D77" s="3">
        <v>2</v>
      </c>
      <c r="E77" s="3">
        <v>2</v>
      </c>
      <c r="F77" s="4" t="s">
        <v>137</v>
      </c>
      <c r="G77" s="3">
        <v>300000</v>
      </c>
      <c r="H77" s="3" t="s">
        <v>108</v>
      </c>
    </row>
    <row r="78" spans="1:8" x14ac:dyDescent="0.3">
      <c r="A78" s="3" t="s">
        <v>80</v>
      </c>
      <c r="B78" s="3" t="s">
        <v>1</v>
      </c>
      <c r="C78" s="3" t="s">
        <v>24</v>
      </c>
      <c r="D78" s="3">
        <v>2</v>
      </c>
      <c r="E78" s="3">
        <v>4</v>
      </c>
      <c r="F78" s="4" t="s">
        <v>120</v>
      </c>
      <c r="G78" s="3">
        <v>400000</v>
      </c>
      <c r="H78" s="3" t="s">
        <v>110</v>
      </c>
    </row>
    <row r="79" spans="1:8" x14ac:dyDescent="0.3">
      <c r="A79" s="3" t="s">
        <v>81</v>
      </c>
      <c r="B79" s="3" t="s">
        <v>1</v>
      </c>
      <c r="C79" s="3" t="s">
        <v>13</v>
      </c>
      <c r="D79" s="3">
        <v>4</v>
      </c>
      <c r="E79" s="3">
        <v>4</v>
      </c>
      <c r="F79" s="4" t="s">
        <v>118</v>
      </c>
      <c r="G79" s="3">
        <v>400000</v>
      </c>
      <c r="H79" s="3" t="s">
        <v>108</v>
      </c>
    </row>
    <row r="80" spans="1:8" x14ac:dyDescent="0.3">
      <c r="A80" s="3" t="s">
        <v>82</v>
      </c>
      <c r="B80" s="3" t="s">
        <v>1</v>
      </c>
      <c r="C80" s="3" t="s">
        <v>13</v>
      </c>
      <c r="D80" s="3">
        <v>4</v>
      </c>
      <c r="E80" s="3">
        <v>2</v>
      </c>
      <c r="F80" s="4" t="s">
        <v>116</v>
      </c>
      <c r="G80" s="3">
        <v>300000</v>
      </c>
      <c r="H80" s="3" t="s">
        <v>111</v>
      </c>
    </row>
    <row r="81" spans="1:8" x14ac:dyDescent="0.3">
      <c r="A81" s="3" t="s">
        <v>83</v>
      </c>
      <c r="B81" s="3" t="s">
        <v>1</v>
      </c>
      <c r="C81" s="3" t="s">
        <v>24</v>
      </c>
      <c r="D81" s="3">
        <v>3</v>
      </c>
      <c r="E81" s="3">
        <v>4</v>
      </c>
      <c r="F81" s="4" t="s">
        <v>120</v>
      </c>
      <c r="G81" s="3">
        <v>300000</v>
      </c>
      <c r="H81" s="3" t="s">
        <v>108</v>
      </c>
    </row>
    <row r="82" spans="1:8" x14ac:dyDescent="0.3">
      <c r="A82" s="3" t="s">
        <v>84</v>
      </c>
      <c r="B82" s="3" t="s">
        <v>1</v>
      </c>
      <c r="C82" s="3" t="s">
        <v>24</v>
      </c>
      <c r="D82" s="3">
        <v>2</v>
      </c>
      <c r="E82" s="3">
        <v>3</v>
      </c>
      <c r="F82" s="4" t="s">
        <v>120</v>
      </c>
      <c r="G82" s="3">
        <v>400000</v>
      </c>
      <c r="H82" s="3" t="s">
        <v>109</v>
      </c>
    </row>
    <row r="83" spans="1:8" x14ac:dyDescent="0.3">
      <c r="A83" s="3" t="s">
        <v>85</v>
      </c>
      <c r="B83" s="3" t="s">
        <v>1</v>
      </c>
      <c r="C83" s="3" t="s">
        <v>24</v>
      </c>
      <c r="D83" s="3">
        <v>2</v>
      </c>
      <c r="E83" s="3">
        <v>2</v>
      </c>
      <c r="F83" s="4" t="s">
        <v>120</v>
      </c>
      <c r="G83" s="3">
        <v>400000</v>
      </c>
      <c r="H83" s="3" t="s">
        <v>111</v>
      </c>
    </row>
    <row r="84" spans="1:8" x14ac:dyDescent="0.3">
      <c r="A84" s="3" t="s">
        <v>86</v>
      </c>
      <c r="B84" s="3" t="s">
        <v>1</v>
      </c>
      <c r="C84" s="3" t="s">
        <v>24</v>
      </c>
      <c r="D84" s="3">
        <v>8</v>
      </c>
      <c r="E84" s="3">
        <v>2</v>
      </c>
      <c r="F84" s="4" t="s">
        <v>120</v>
      </c>
      <c r="G84" s="3">
        <v>200000</v>
      </c>
      <c r="H84" s="3" t="s">
        <v>110</v>
      </c>
    </row>
    <row r="85" spans="1:8" x14ac:dyDescent="0.3">
      <c r="A85" s="3" t="s">
        <v>87</v>
      </c>
      <c r="B85" s="3" t="s">
        <v>1</v>
      </c>
      <c r="C85" s="3" t="s">
        <v>24</v>
      </c>
      <c r="D85" s="3">
        <v>4</v>
      </c>
      <c r="E85" s="3">
        <v>5</v>
      </c>
      <c r="F85" s="4" t="s">
        <v>120</v>
      </c>
      <c r="G85" s="3">
        <v>700000</v>
      </c>
      <c r="H85" s="3" t="s">
        <v>108</v>
      </c>
    </row>
    <row r="86" spans="1:8" x14ac:dyDescent="0.3">
      <c r="A86" s="3" t="s">
        <v>88</v>
      </c>
      <c r="B86" s="3" t="s">
        <v>5</v>
      </c>
      <c r="C86" s="3" t="s">
        <v>24</v>
      </c>
      <c r="D86" s="3">
        <v>10</v>
      </c>
      <c r="E86" s="3">
        <v>5</v>
      </c>
      <c r="F86" s="4" t="s">
        <v>120</v>
      </c>
      <c r="G86" s="3">
        <v>1000000</v>
      </c>
      <c r="H86" s="3" t="s">
        <v>108</v>
      </c>
    </row>
    <row r="87" spans="1:8" x14ac:dyDescent="0.3">
      <c r="A87" s="3" t="s">
        <v>89</v>
      </c>
      <c r="B87" s="3" t="s">
        <v>1</v>
      </c>
      <c r="C87" s="3" t="s">
        <v>24</v>
      </c>
      <c r="D87" s="3">
        <v>8</v>
      </c>
      <c r="E87" s="3">
        <v>4</v>
      </c>
      <c r="F87" s="4" t="s">
        <v>120</v>
      </c>
      <c r="G87" s="3">
        <v>800000</v>
      </c>
      <c r="H87" s="3" t="s">
        <v>109</v>
      </c>
    </row>
    <row r="88" spans="1:8" x14ac:dyDescent="0.3">
      <c r="A88" s="3" t="s">
        <v>90</v>
      </c>
      <c r="B88" s="3" t="s">
        <v>1</v>
      </c>
      <c r="C88" s="3" t="s">
        <v>24</v>
      </c>
      <c r="D88" s="3">
        <v>7</v>
      </c>
      <c r="E88" s="3">
        <v>2</v>
      </c>
      <c r="F88" s="4" t="s">
        <v>120</v>
      </c>
      <c r="G88" s="3">
        <v>300000</v>
      </c>
      <c r="H88" s="3" t="s">
        <v>111</v>
      </c>
    </row>
    <row r="89" spans="1:8" x14ac:dyDescent="0.3">
      <c r="A89" s="3" t="s">
        <v>91</v>
      </c>
      <c r="B89" s="3" t="s">
        <v>1</v>
      </c>
      <c r="C89" s="3" t="s">
        <v>24</v>
      </c>
      <c r="D89" s="3">
        <v>4</v>
      </c>
      <c r="E89" s="3">
        <v>2</v>
      </c>
      <c r="F89" s="4" t="s">
        <v>120</v>
      </c>
      <c r="G89" s="3">
        <v>200000</v>
      </c>
      <c r="H89" s="3" t="s">
        <v>108</v>
      </c>
    </row>
    <row r="90" spans="1:8" x14ac:dyDescent="0.3">
      <c r="A90" s="3" t="s">
        <v>92</v>
      </c>
      <c r="B90" s="3" t="s">
        <v>1</v>
      </c>
      <c r="C90" s="3" t="s">
        <v>13</v>
      </c>
      <c r="D90" s="3">
        <v>4</v>
      </c>
      <c r="E90" s="3">
        <v>4</v>
      </c>
      <c r="F90" s="4" t="s">
        <v>116</v>
      </c>
      <c r="G90" s="3">
        <v>400000</v>
      </c>
      <c r="H90" s="3" t="s">
        <v>110</v>
      </c>
    </row>
    <row r="91" spans="1:8" x14ac:dyDescent="0.3">
      <c r="A91" s="3" t="s">
        <v>93</v>
      </c>
      <c r="B91" s="3" t="s">
        <v>1</v>
      </c>
      <c r="C91" s="3" t="s">
        <v>13</v>
      </c>
      <c r="D91" s="3">
        <v>3</v>
      </c>
      <c r="E91" s="3">
        <v>3</v>
      </c>
      <c r="F91" s="4" t="s">
        <v>121</v>
      </c>
      <c r="G91" s="3">
        <v>400000</v>
      </c>
      <c r="H91" s="3" t="s">
        <v>108</v>
      </c>
    </row>
    <row r="92" spans="1:8" x14ac:dyDescent="0.3">
      <c r="A92" s="3" t="s">
        <v>94</v>
      </c>
      <c r="B92" s="3" t="s">
        <v>1</v>
      </c>
      <c r="C92" s="3" t="s">
        <v>13</v>
      </c>
      <c r="D92" s="3">
        <v>5</v>
      </c>
      <c r="E92" s="3">
        <v>2</v>
      </c>
      <c r="F92" s="4" t="s">
        <v>121</v>
      </c>
      <c r="G92" s="3">
        <v>400000</v>
      </c>
      <c r="H92" s="3" t="s">
        <v>111</v>
      </c>
    </row>
    <row r="93" spans="1:8" x14ac:dyDescent="0.3">
      <c r="A93" s="3" t="s">
        <v>95</v>
      </c>
      <c r="B93" s="3" t="s">
        <v>5</v>
      </c>
      <c r="C93" s="3" t="s">
        <v>24</v>
      </c>
      <c r="D93" s="3">
        <v>4</v>
      </c>
      <c r="E93" s="3">
        <v>5</v>
      </c>
      <c r="F93" s="4" t="s">
        <v>121</v>
      </c>
      <c r="G93" s="3">
        <v>700000</v>
      </c>
      <c r="H93" s="3" t="s">
        <v>110</v>
      </c>
    </row>
    <row r="94" spans="1:8" x14ac:dyDescent="0.3">
      <c r="A94" s="3" t="s">
        <v>96</v>
      </c>
      <c r="B94" s="3" t="s">
        <v>1</v>
      </c>
      <c r="C94" s="3" t="s">
        <v>24</v>
      </c>
      <c r="D94" s="3">
        <v>4</v>
      </c>
      <c r="E94" s="3">
        <v>3</v>
      </c>
      <c r="F94" s="4" t="s">
        <v>121</v>
      </c>
      <c r="G94" s="3">
        <v>400000</v>
      </c>
      <c r="H94" s="3" t="s">
        <v>108</v>
      </c>
    </row>
    <row r="95" spans="1:8" x14ac:dyDescent="0.3">
      <c r="A95" s="3" t="s">
        <v>97</v>
      </c>
      <c r="B95" s="3" t="s">
        <v>1</v>
      </c>
      <c r="C95" s="3" t="s">
        <v>24</v>
      </c>
      <c r="D95" s="3">
        <v>2</v>
      </c>
      <c r="E95" s="3">
        <v>2</v>
      </c>
      <c r="F95" s="4" t="s">
        <v>121</v>
      </c>
      <c r="G95" s="3">
        <v>300000</v>
      </c>
      <c r="H95" s="3" t="s">
        <v>109</v>
      </c>
    </row>
    <row r="96" spans="1:8" x14ac:dyDescent="0.3">
      <c r="A96" s="3" t="s">
        <v>98</v>
      </c>
      <c r="B96" s="3" t="s">
        <v>1</v>
      </c>
      <c r="C96" s="3" t="s">
        <v>13</v>
      </c>
      <c r="D96" s="3">
        <v>3</v>
      </c>
      <c r="E96" s="3">
        <v>3</v>
      </c>
      <c r="F96" s="4" t="s">
        <v>121</v>
      </c>
      <c r="G96" s="3">
        <v>300000</v>
      </c>
      <c r="H96" s="3" t="s">
        <v>109</v>
      </c>
    </row>
    <row r="97" spans="1:8" x14ac:dyDescent="0.3">
      <c r="A97" s="3" t="s">
        <v>99</v>
      </c>
      <c r="B97" s="3" t="s">
        <v>1</v>
      </c>
      <c r="C97" s="3" t="s">
        <v>13</v>
      </c>
      <c r="D97" s="3">
        <v>7</v>
      </c>
      <c r="E97" s="3">
        <v>4</v>
      </c>
      <c r="F97" s="4" t="s">
        <v>121</v>
      </c>
      <c r="G97" s="3">
        <v>400000</v>
      </c>
      <c r="H97" s="3" t="s">
        <v>110</v>
      </c>
    </row>
    <row r="98" spans="1:8" x14ac:dyDescent="0.3">
      <c r="A98" s="3" t="s">
        <v>100</v>
      </c>
      <c r="B98" s="3" t="s">
        <v>1</v>
      </c>
      <c r="C98" s="3" t="s">
        <v>13</v>
      </c>
      <c r="D98" s="3">
        <v>4</v>
      </c>
      <c r="E98" s="3">
        <v>2</v>
      </c>
      <c r="F98" s="4" t="s">
        <v>117</v>
      </c>
      <c r="G98" s="3">
        <v>300000</v>
      </c>
      <c r="H98" s="3" t="s">
        <v>111</v>
      </c>
    </row>
    <row r="99" spans="1:8" x14ac:dyDescent="0.3">
      <c r="A99" s="3" t="s">
        <v>101</v>
      </c>
      <c r="B99" s="3" t="s">
        <v>5</v>
      </c>
      <c r="C99" s="3" t="s">
        <v>13</v>
      </c>
      <c r="D99" s="3">
        <v>3</v>
      </c>
      <c r="E99" s="3">
        <v>3</v>
      </c>
      <c r="F99" s="4" t="s">
        <v>116</v>
      </c>
      <c r="G99" s="3">
        <v>500000</v>
      </c>
      <c r="H99" s="3" t="s">
        <v>111</v>
      </c>
    </row>
    <row r="100" spans="1:8" x14ac:dyDescent="0.3">
      <c r="A100" s="3" t="s">
        <v>102</v>
      </c>
      <c r="B100" s="3" t="s">
        <v>5</v>
      </c>
      <c r="C100" s="3" t="s">
        <v>24</v>
      </c>
      <c r="D100" s="3">
        <v>4</v>
      </c>
      <c r="E100" s="3">
        <v>3</v>
      </c>
      <c r="F100" s="4" t="s">
        <v>120</v>
      </c>
      <c r="G100" s="3">
        <v>400000</v>
      </c>
      <c r="H100" s="3" t="s">
        <v>108</v>
      </c>
    </row>
    <row r="101" spans="1:8" x14ac:dyDescent="0.3">
      <c r="A101" s="3" t="s">
        <v>103</v>
      </c>
      <c r="B101" s="3" t="s">
        <v>5</v>
      </c>
      <c r="C101" s="3" t="s">
        <v>13</v>
      </c>
      <c r="D101" s="3">
        <v>9</v>
      </c>
      <c r="E101" s="3">
        <v>2</v>
      </c>
      <c r="F101" s="4" t="s">
        <v>117</v>
      </c>
      <c r="G101" s="3">
        <v>300000</v>
      </c>
      <c r="H101" s="3" t="s">
        <v>108</v>
      </c>
    </row>
    <row r="102" spans="1:8" x14ac:dyDescent="0.3">
      <c r="E10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87A3-20BF-482B-82A1-9CE69DA155DF}">
  <dimension ref="A1:O282"/>
  <sheetViews>
    <sheetView workbookViewId="0">
      <selection activeCell="G101" sqref="C1:G101"/>
    </sheetView>
  </sheetViews>
  <sheetFormatPr defaultRowHeight="14.4" x14ac:dyDescent="0.3"/>
  <cols>
    <col min="1" max="1" width="12.5546875" style="1" bestFit="1" customWidth="1"/>
    <col min="2" max="2" width="12.44140625" style="1" bestFit="1" customWidth="1"/>
    <col min="3" max="3" width="28.44140625" style="1" bestFit="1" customWidth="1"/>
    <col min="4" max="4" width="29.6640625" style="1" bestFit="1" customWidth="1"/>
    <col min="5" max="5" width="26.44140625" style="1" bestFit="1" customWidth="1"/>
    <col min="6" max="6" width="29.88671875" style="1" bestFit="1" customWidth="1"/>
    <col min="7" max="7" width="13.21875" style="1" bestFit="1" customWidth="1"/>
    <col min="8" max="16384" width="8.88671875" style="1"/>
  </cols>
  <sheetData>
    <row r="1" spans="1:15" x14ac:dyDescent="0.3">
      <c r="A1" s="7" t="s">
        <v>104</v>
      </c>
      <c r="B1" s="7" t="s">
        <v>112</v>
      </c>
      <c r="C1" s="7" t="s">
        <v>106</v>
      </c>
      <c r="D1" s="7" t="s">
        <v>107</v>
      </c>
      <c r="E1" s="7" t="s">
        <v>115</v>
      </c>
      <c r="F1" s="7" t="s">
        <v>166</v>
      </c>
      <c r="G1" s="8" t="s">
        <v>113</v>
      </c>
    </row>
    <row r="2" spans="1:15" x14ac:dyDescent="0.3">
      <c r="A2" s="3">
        <v>1</v>
      </c>
      <c r="B2" s="3">
        <v>3</v>
      </c>
      <c r="C2" s="3">
        <v>5</v>
      </c>
      <c r="D2" s="3">
        <v>3</v>
      </c>
      <c r="E2" s="4">
        <v>1</v>
      </c>
      <c r="F2" s="3">
        <v>5</v>
      </c>
      <c r="G2" s="6">
        <v>4</v>
      </c>
      <c r="I2" s="2"/>
      <c r="J2" s="2"/>
      <c r="K2" s="2"/>
      <c r="L2" s="2"/>
      <c r="M2" s="2"/>
      <c r="N2" s="2"/>
      <c r="O2" s="2"/>
    </row>
    <row r="3" spans="1:15" x14ac:dyDescent="0.3">
      <c r="A3" s="3">
        <v>1</v>
      </c>
      <c r="B3" s="3">
        <v>3</v>
      </c>
      <c r="C3" s="3">
        <v>10</v>
      </c>
      <c r="D3" s="3">
        <v>5</v>
      </c>
      <c r="E3" s="4">
        <v>1</v>
      </c>
      <c r="F3" s="3">
        <v>10</v>
      </c>
      <c r="G3" s="6">
        <v>4</v>
      </c>
      <c r="I3" s="32" t="s">
        <v>104</v>
      </c>
      <c r="J3" s="32"/>
      <c r="K3" s="32"/>
      <c r="L3" s="32"/>
      <c r="M3" s="32"/>
      <c r="N3" s="32"/>
      <c r="O3" s="2"/>
    </row>
    <row r="4" spans="1:15" x14ac:dyDescent="0.3">
      <c r="A4" s="3">
        <v>2</v>
      </c>
      <c r="B4" s="3">
        <v>3</v>
      </c>
      <c r="C4" s="3">
        <v>10</v>
      </c>
      <c r="D4" s="3">
        <v>2</v>
      </c>
      <c r="E4" s="4">
        <v>1</v>
      </c>
      <c r="F4" s="3">
        <v>3</v>
      </c>
      <c r="G4" s="6">
        <v>4</v>
      </c>
      <c r="I4" s="31" t="s">
        <v>122</v>
      </c>
      <c r="J4" s="31"/>
      <c r="K4" s="31"/>
      <c r="L4" s="31" t="s">
        <v>123</v>
      </c>
      <c r="M4" s="31"/>
      <c r="N4" s="31"/>
      <c r="O4" s="2"/>
    </row>
    <row r="5" spans="1:15" x14ac:dyDescent="0.3">
      <c r="A5" s="3">
        <v>2</v>
      </c>
      <c r="B5" s="3">
        <v>3</v>
      </c>
      <c r="C5" s="3">
        <v>2</v>
      </c>
      <c r="D5" s="3">
        <v>1</v>
      </c>
      <c r="E5" s="4">
        <v>1</v>
      </c>
      <c r="F5" s="3">
        <v>1</v>
      </c>
      <c r="G5" s="6">
        <v>4</v>
      </c>
      <c r="H5" s="2"/>
      <c r="I5" s="32" t="s">
        <v>112</v>
      </c>
      <c r="J5" s="32"/>
      <c r="K5" s="32"/>
      <c r="L5" s="32"/>
      <c r="M5" s="32"/>
      <c r="N5" s="32"/>
      <c r="O5" s="2"/>
    </row>
    <row r="6" spans="1:15" x14ac:dyDescent="0.3">
      <c r="A6" s="3">
        <v>1</v>
      </c>
      <c r="B6" s="3">
        <v>3</v>
      </c>
      <c r="C6" s="3">
        <v>6</v>
      </c>
      <c r="D6" s="3">
        <v>5</v>
      </c>
      <c r="E6" s="4">
        <v>1</v>
      </c>
      <c r="F6" s="3">
        <v>9</v>
      </c>
      <c r="G6" s="6">
        <v>4</v>
      </c>
      <c r="H6" s="2"/>
      <c r="I6" s="31" t="s">
        <v>124</v>
      </c>
      <c r="J6" s="31"/>
      <c r="K6" s="31" t="s">
        <v>125</v>
      </c>
      <c r="L6" s="31"/>
      <c r="M6" s="31" t="s">
        <v>126</v>
      </c>
      <c r="N6" s="31"/>
      <c r="O6" s="2"/>
    </row>
    <row r="7" spans="1:15" x14ac:dyDescent="0.3">
      <c r="A7" s="3">
        <v>1</v>
      </c>
      <c r="B7" s="3">
        <v>3</v>
      </c>
      <c r="C7" s="3">
        <v>1</v>
      </c>
      <c r="D7" s="3">
        <v>1</v>
      </c>
      <c r="E7" s="4">
        <v>1</v>
      </c>
      <c r="F7" s="3">
        <v>4</v>
      </c>
      <c r="G7" s="6">
        <v>4</v>
      </c>
      <c r="H7" s="2"/>
      <c r="I7" s="32" t="s">
        <v>113</v>
      </c>
      <c r="J7" s="32"/>
      <c r="K7" s="32"/>
      <c r="L7" s="32"/>
      <c r="M7" s="32"/>
      <c r="N7" s="32"/>
      <c r="O7" s="2"/>
    </row>
    <row r="8" spans="1:15" x14ac:dyDescent="0.3">
      <c r="A8" s="3">
        <v>1</v>
      </c>
      <c r="B8" s="3">
        <v>3</v>
      </c>
      <c r="C8" s="3">
        <v>1</v>
      </c>
      <c r="D8" s="3">
        <v>1</v>
      </c>
      <c r="E8" s="4">
        <v>1</v>
      </c>
      <c r="F8" s="3">
        <v>6</v>
      </c>
      <c r="G8" s="6">
        <v>1</v>
      </c>
      <c r="H8" s="2"/>
      <c r="I8" s="31" t="s">
        <v>127</v>
      </c>
      <c r="J8" s="31"/>
      <c r="K8" s="31"/>
      <c r="L8" s="31" t="s">
        <v>130</v>
      </c>
      <c r="M8" s="31"/>
      <c r="N8" s="31"/>
      <c r="O8" s="2"/>
    </row>
    <row r="9" spans="1:15" x14ac:dyDescent="0.3">
      <c r="A9" s="3">
        <v>2</v>
      </c>
      <c r="B9" s="3">
        <v>3</v>
      </c>
      <c r="C9" s="3">
        <v>7</v>
      </c>
      <c r="D9" s="3">
        <v>2</v>
      </c>
      <c r="E9" s="4">
        <v>1</v>
      </c>
      <c r="F9" s="3">
        <v>5</v>
      </c>
      <c r="G9" s="6">
        <v>3</v>
      </c>
      <c r="H9" s="2"/>
      <c r="I9" s="31" t="s">
        <v>129</v>
      </c>
      <c r="J9" s="31"/>
      <c r="K9" s="31"/>
      <c r="L9" s="31" t="s">
        <v>128</v>
      </c>
      <c r="M9" s="31"/>
      <c r="N9" s="31"/>
      <c r="O9" s="2"/>
    </row>
    <row r="10" spans="1:15" x14ac:dyDescent="0.3">
      <c r="A10" s="3">
        <v>1</v>
      </c>
      <c r="B10" s="3">
        <v>3</v>
      </c>
      <c r="C10" s="3">
        <v>1</v>
      </c>
      <c r="D10" s="3">
        <v>1</v>
      </c>
      <c r="E10" s="4">
        <v>1</v>
      </c>
      <c r="F10" s="3">
        <v>7</v>
      </c>
      <c r="G10" s="6">
        <v>1</v>
      </c>
      <c r="H10" s="2"/>
      <c r="I10" s="32" t="s">
        <v>115</v>
      </c>
      <c r="J10" s="32"/>
      <c r="K10" s="32"/>
      <c r="L10" s="32"/>
      <c r="M10" s="32"/>
      <c r="N10" s="32"/>
      <c r="O10" s="2"/>
    </row>
    <row r="11" spans="1:15" x14ac:dyDescent="0.3">
      <c r="A11" s="3">
        <v>2</v>
      </c>
      <c r="B11" s="3">
        <v>1</v>
      </c>
      <c r="C11" s="3">
        <v>1</v>
      </c>
      <c r="D11" s="3">
        <v>1</v>
      </c>
      <c r="E11" s="4">
        <v>2</v>
      </c>
      <c r="F11" s="3">
        <v>6</v>
      </c>
      <c r="G11" s="6">
        <v>4</v>
      </c>
      <c r="H11" s="2"/>
      <c r="I11" s="33" t="s">
        <v>131</v>
      </c>
      <c r="J11" s="34"/>
      <c r="K11" s="35"/>
      <c r="L11" s="31" t="s">
        <v>132</v>
      </c>
      <c r="M11" s="31"/>
      <c r="N11" s="31"/>
      <c r="O11" s="2"/>
    </row>
    <row r="12" spans="1:15" x14ac:dyDescent="0.3">
      <c r="A12" s="3">
        <v>1</v>
      </c>
      <c r="B12" s="3">
        <v>1</v>
      </c>
      <c r="C12" s="3">
        <v>1</v>
      </c>
      <c r="D12" s="3">
        <v>1</v>
      </c>
      <c r="E12" s="4">
        <v>2</v>
      </c>
      <c r="F12" s="3">
        <v>2</v>
      </c>
      <c r="G12" s="6">
        <v>1</v>
      </c>
      <c r="H12" s="2"/>
      <c r="I12" s="31" t="s">
        <v>133</v>
      </c>
      <c r="J12" s="31"/>
      <c r="K12" s="31"/>
      <c r="L12" s="31" t="s">
        <v>134</v>
      </c>
      <c r="M12" s="31"/>
      <c r="N12" s="31"/>
      <c r="O12" s="2"/>
    </row>
    <row r="13" spans="1:15" x14ac:dyDescent="0.3">
      <c r="A13" s="3">
        <v>2</v>
      </c>
      <c r="B13" s="3">
        <v>1</v>
      </c>
      <c r="C13" s="3">
        <v>15</v>
      </c>
      <c r="D13" s="3">
        <v>1</v>
      </c>
      <c r="E13" s="4">
        <v>2</v>
      </c>
      <c r="F13" s="3">
        <v>2</v>
      </c>
      <c r="G13" s="6">
        <v>4</v>
      </c>
      <c r="H13" s="2"/>
      <c r="I13" s="31" t="s">
        <v>135</v>
      </c>
      <c r="J13" s="31"/>
      <c r="K13" s="31"/>
      <c r="L13" s="31" t="s">
        <v>136</v>
      </c>
      <c r="M13" s="31"/>
      <c r="N13" s="31"/>
      <c r="O13" s="2"/>
    </row>
    <row r="14" spans="1:15" x14ac:dyDescent="0.3">
      <c r="A14" s="3">
        <v>2</v>
      </c>
      <c r="B14" s="3">
        <v>1</v>
      </c>
      <c r="C14" s="3">
        <v>2</v>
      </c>
      <c r="D14" s="3">
        <v>2</v>
      </c>
      <c r="E14" s="4">
        <v>3</v>
      </c>
      <c r="F14" s="3">
        <v>5</v>
      </c>
      <c r="G14" s="6">
        <v>1</v>
      </c>
      <c r="I14" s="31" t="s">
        <v>138</v>
      </c>
      <c r="J14" s="31"/>
      <c r="K14" s="31"/>
      <c r="L14" s="31"/>
      <c r="M14" s="31"/>
      <c r="N14" s="31"/>
    </row>
    <row r="15" spans="1:15" x14ac:dyDescent="0.3">
      <c r="A15" s="3">
        <v>1</v>
      </c>
      <c r="B15" s="3">
        <v>1</v>
      </c>
      <c r="C15" s="3">
        <v>3</v>
      </c>
      <c r="D15" s="3">
        <v>1</v>
      </c>
      <c r="E15" s="4">
        <v>3</v>
      </c>
      <c r="F15" s="3">
        <v>8</v>
      </c>
      <c r="G15" s="6">
        <v>4</v>
      </c>
    </row>
    <row r="16" spans="1:15" x14ac:dyDescent="0.3">
      <c r="A16" s="3">
        <v>2</v>
      </c>
      <c r="B16" s="3">
        <v>1</v>
      </c>
      <c r="C16" s="3">
        <v>1</v>
      </c>
      <c r="D16" s="3">
        <v>1</v>
      </c>
      <c r="E16" s="4">
        <v>3</v>
      </c>
      <c r="F16" s="3">
        <v>7</v>
      </c>
      <c r="G16" s="6">
        <v>2</v>
      </c>
      <c r="J16" s="1" t="s">
        <v>165</v>
      </c>
    </row>
    <row r="17" spans="1:12" x14ac:dyDescent="0.3">
      <c r="A17" s="3">
        <v>1</v>
      </c>
      <c r="B17" s="3">
        <v>1</v>
      </c>
      <c r="C17" s="3">
        <v>1</v>
      </c>
      <c r="D17" s="3">
        <v>1</v>
      </c>
      <c r="E17" s="4">
        <v>3</v>
      </c>
      <c r="F17" s="3">
        <v>5</v>
      </c>
      <c r="G17" s="6">
        <v>4</v>
      </c>
    </row>
    <row r="18" spans="1:12" x14ac:dyDescent="0.3">
      <c r="A18" s="3">
        <v>2</v>
      </c>
      <c r="B18" s="3">
        <v>1</v>
      </c>
      <c r="C18" s="3">
        <v>5</v>
      </c>
      <c r="D18" s="3">
        <v>1</v>
      </c>
      <c r="E18" s="4">
        <v>2</v>
      </c>
      <c r="F18" s="3">
        <v>2</v>
      </c>
      <c r="G18" s="6">
        <v>4</v>
      </c>
      <c r="I18" s="2"/>
      <c r="J18" s="1" t="s">
        <v>165</v>
      </c>
    </row>
    <row r="19" spans="1:12" x14ac:dyDescent="0.3">
      <c r="A19" s="3">
        <v>2</v>
      </c>
      <c r="B19" s="3">
        <v>1</v>
      </c>
      <c r="C19" s="3">
        <v>1</v>
      </c>
      <c r="D19" s="3">
        <v>3</v>
      </c>
      <c r="E19" s="4">
        <v>2</v>
      </c>
      <c r="F19" s="3">
        <v>1</v>
      </c>
      <c r="G19" s="6">
        <v>4</v>
      </c>
      <c r="I19" s="2"/>
      <c r="L19" s="2"/>
    </row>
    <row r="20" spans="1:12" x14ac:dyDescent="0.3">
      <c r="A20" s="3">
        <v>2</v>
      </c>
      <c r="B20" s="3">
        <v>1</v>
      </c>
      <c r="C20" s="3">
        <v>8</v>
      </c>
      <c r="D20" s="3">
        <v>1</v>
      </c>
      <c r="E20" s="4">
        <v>2</v>
      </c>
      <c r="F20" s="3">
        <v>6</v>
      </c>
      <c r="G20" s="6">
        <v>4</v>
      </c>
      <c r="I20" s="2"/>
    </row>
    <row r="21" spans="1:12" x14ac:dyDescent="0.3">
      <c r="A21" s="3">
        <v>2</v>
      </c>
      <c r="B21" s="3">
        <v>2</v>
      </c>
      <c r="C21" s="3">
        <v>3</v>
      </c>
      <c r="D21" s="3">
        <v>4</v>
      </c>
      <c r="E21" s="4">
        <v>1</v>
      </c>
      <c r="F21" s="3">
        <v>5</v>
      </c>
      <c r="G21" s="6">
        <v>2</v>
      </c>
      <c r="I21" s="2"/>
      <c r="L21" s="2"/>
    </row>
    <row r="22" spans="1:12" x14ac:dyDescent="0.3">
      <c r="A22" s="3">
        <v>2</v>
      </c>
      <c r="B22" s="3">
        <v>3</v>
      </c>
      <c r="C22" s="3">
        <v>10</v>
      </c>
      <c r="D22" s="3">
        <v>1</v>
      </c>
      <c r="E22" s="4">
        <v>1</v>
      </c>
      <c r="F22" s="3">
        <v>1</v>
      </c>
      <c r="G22" s="6">
        <v>4</v>
      </c>
      <c r="I22" s="2"/>
      <c r="L22" s="2"/>
    </row>
    <row r="23" spans="1:12" x14ac:dyDescent="0.3">
      <c r="A23" s="3">
        <v>2</v>
      </c>
      <c r="B23" s="3">
        <v>3</v>
      </c>
      <c r="C23" s="3">
        <v>1</v>
      </c>
      <c r="D23" s="3">
        <v>1</v>
      </c>
      <c r="E23" s="4">
        <v>1</v>
      </c>
      <c r="F23" s="3">
        <v>2</v>
      </c>
      <c r="G23" s="6">
        <v>4</v>
      </c>
      <c r="I23" s="2"/>
      <c r="L23" s="2"/>
    </row>
    <row r="24" spans="1:12" x14ac:dyDescent="0.3">
      <c r="A24" s="3">
        <v>1</v>
      </c>
      <c r="B24" s="3">
        <v>1</v>
      </c>
      <c r="C24" s="3">
        <v>3</v>
      </c>
      <c r="D24" s="3">
        <v>1</v>
      </c>
      <c r="E24" s="4">
        <v>1</v>
      </c>
      <c r="F24" s="3">
        <v>1</v>
      </c>
      <c r="G24" s="6">
        <v>4</v>
      </c>
      <c r="I24" s="2"/>
      <c r="L24" s="2"/>
    </row>
    <row r="25" spans="1:12" x14ac:dyDescent="0.3">
      <c r="A25" s="3">
        <v>1</v>
      </c>
      <c r="B25" s="3">
        <v>3</v>
      </c>
      <c r="C25" s="3">
        <v>10</v>
      </c>
      <c r="D25" s="3">
        <v>4</v>
      </c>
      <c r="E25" s="4">
        <v>1</v>
      </c>
      <c r="F25" s="3">
        <v>3</v>
      </c>
      <c r="G25" s="6">
        <v>4</v>
      </c>
      <c r="I25" s="2"/>
      <c r="L25" s="2"/>
    </row>
    <row r="26" spans="1:12" x14ac:dyDescent="0.3">
      <c r="A26" s="3">
        <v>2</v>
      </c>
      <c r="B26" s="3">
        <v>3</v>
      </c>
      <c r="C26" s="3">
        <v>8</v>
      </c>
      <c r="D26" s="3">
        <v>1</v>
      </c>
      <c r="E26" s="4">
        <v>1</v>
      </c>
      <c r="F26" s="3">
        <v>9</v>
      </c>
      <c r="G26" s="6">
        <v>4</v>
      </c>
      <c r="I26" s="2"/>
    </row>
    <row r="27" spans="1:12" x14ac:dyDescent="0.3">
      <c r="A27" s="3">
        <v>2</v>
      </c>
      <c r="B27" s="3">
        <v>1</v>
      </c>
      <c r="C27" s="3">
        <v>1</v>
      </c>
      <c r="D27" s="3">
        <v>1</v>
      </c>
      <c r="E27" s="4">
        <v>1</v>
      </c>
      <c r="F27" s="3">
        <v>4</v>
      </c>
      <c r="G27" s="6">
        <v>4</v>
      </c>
      <c r="I27" s="2"/>
    </row>
    <row r="28" spans="1:12" x14ac:dyDescent="0.3">
      <c r="A28" s="3">
        <v>2</v>
      </c>
      <c r="B28" s="3">
        <v>3</v>
      </c>
      <c r="C28" s="3">
        <v>3</v>
      </c>
      <c r="D28" s="3">
        <v>5</v>
      </c>
      <c r="E28" s="4">
        <v>1</v>
      </c>
      <c r="F28" s="3">
        <v>10</v>
      </c>
      <c r="G28" s="6">
        <v>4</v>
      </c>
      <c r="I28" s="2"/>
    </row>
    <row r="29" spans="1:12" x14ac:dyDescent="0.3">
      <c r="A29" s="3">
        <v>2</v>
      </c>
      <c r="B29" s="3">
        <v>1</v>
      </c>
      <c r="C29" s="3">
        <v>4</v>
      </c>
      <c r="D29" s="3">
        <v>1</v>
      </c>
      <c r="E29" s="4">
        <v>3</v>
      </c>
      <c r="F29" s="3">
        <v>6</v>
      </c>
      <c r="G29" s="6">
        <v>3</v>
      </c>
      <c r="I29" s="2"/>
    </row>
    <row r="30" spans="1:12" x14ac:dyDescent="0.3">
      <c r="A30" s="3">
        <v>2</v>
      </c>
      <c r="B30" s="3">
        <v>1</v>
      </c>
      <c r="C30" s="3">
        <v>1</v>
      </c>
      <c r="D30" s="3">
        <v>4</v>
      </c>
      <c r="E30" s="4">
        <v>3</v>
      </c>
      <c r="F30" s="3">
        <v>5</v>
      </c>
      <c r="G30" s="6">
        <v>3</v>
      </c>
      <c r="I30" s="2"/>
    </row>
    <row r="31" spans="1:12" x14ac:dyDescent="0.3">
      <c r="A31" s="3">
        <v>1</v>
      </c>
      <c r="B31" s="3">
        <v>1</v>
      </c>
      <c r="C31" s="3">
        <v>10</v>
      </c>
      <c r="D31" s="3">
        <v>5</v>
      </c>
      <c r="E31" s="4">
        <v>3</v>
      </c>
      <c r="F31" s="3">
        <v>10</v>
      </c>
      <c r="G31" s="6">
        <v>4</v>
      </c>
      <c r="I31" s="2"/>
    </row>
    <row r="32" spans="1:12" x14ac:dyDescent="0.3">
      <c r="A32" s="3">
        <v>2</v>
      </c>
      <c r="B32" s="3">
        <v>1</v>
      </c>
      <c r="C32" s="3">
        <v>1</v>
      </c>
      <c r="D32" s="3">
        <v>1</v>
      </c>
      <c r="E32" s="4">
        <v>3</v>
      </c>
      <c r="F32" s="3">
        <v>2</v>
      </c>
      <c r="G32" s="6">
        <v>4</v>
      </c>
      <c r="I32" s="2"/>
    </row>
    <row r="33" spans="1:9" x14ac:dyDescent="0.3">
      <c r="A33" s="3">
        <v>2</v>
      </c>
      <c r="B33" s="3">
        <v>1</v>
      </c>
      <c r="C33" s="3">
        <v>4</v>
      </c>
      <c r="D33" s="3">
        <v>1</v>
      </c>
      <c r="E33" s="4">
        <v>3</v>
      </c>
      <c r="F33" s="3">
        <v>2</v>
      </c>
      <c r="G33" s="6">
        <v>4</v>
      </c>
      <c r="I33" s="2"/>
    </row>
    <row r="34" spans="1:9" x14ac:dyDescent="0.3">
      <c r="A34" s="3">
        <v>2</v>
      </c>
      <c r="B34" s="3">
        <v>1</v>
      </c>
      <c r="C34" s="3">
        <v>4</v>
      </c>
      <c r="D34" s="3">
        <v>1</v>
      </c>
      <c r="E34" s="4">
        <v>2</v>
      </c>
      <c r="F34" s="3">
        <v>2</v>
      </c>
      <c r="G34" s="6">
        <v>4</v>
      </c>
      <c r="I34" s="2"/>
    </row>
    <row r="35" spans="1:9" x14ac:dyDescent="0.3">
      <c r="A35" s="3">
        <v>2</v>
      </c>
      <c r="B35" s="3">
        <v>1</v>
      </c>
      <c r="C35" s="3">
        <v>8</v>
      </c>
      <c r="D35" s="3">
        <v>2</v>
      </c>
      <c r="E35" s="4">
        <v>2</v>
      </c>
      <c r="F35" s="3">
        <v>4</v>
      </c>
      <c r="G35" s="6">
        <v>4</v>
      </c>
      <c r="I35" s="2"/>
    </row>
    <row r="36" spans="1:9" x14ac:dyDescent="0.3">
      <c r="A36" s="3">
        <v>2</v>
      </c>
      <c r="B36" s="3">
        <v>1</v>
      </c>
      <c r="C36" s="3">
        <v>6</v>
      </c>
      <c r="D36" s="3">
        <v>1</v>
      </c>
      <c r="E36" s="4">
        <v>2</v>
      </c>
      <c r="F36" s="3">
        <v>2</v>
      </c>
      <c r="G36" s="6">
        <v>4</v>
      </c>
      <c r="I36" s="2"/>
    </row>
    <row r="37" spans="1:9" x14ac:dyDescent="0.3">
      <c r="A37" s="3">
        <v>2</v>
      </c>
      <c r="B37" s="3">
        <v>1</v>
      </c>
      <c r="C37" s="3">
        <v>4</v>
      </c>
      <c r="D37" s="3">
        <v>3</v>
      </c>
      <c r="E37" s="4">
        <v>1</v>
      </c>
      <c r="F37" s="3">
        <v>8</v>
      </c>
      <c r="G37" s="6">
        <v>4</v>
      </c>
      <c r="I37" s="2"/>
    </row>
    <row r="38" spans="1:9" x14ac:dyDescent="0.3">
      <c r="A38" s="3">
        <v>1</v>
      </c>
      <c r="B38" s="3">
        <v>1</v>
      </c>
      <c r="C38" s="3">
        <v>1</v>
      </c>
      <c r="D38" s="3">
        <v>1</v>
      </c>
      <c r="E38" s="4">
        <v>1</v>
      </c>
      <c r="F38" s="3">
        <v>3</v>
      </c>
      <c r="G38" s="6">
        <v>4</v>
      </c>
      <c r="I38" s="2"/>
    </row>
    <row r="39" spans="1:9" x14ac:dyDescent="0.3">
      <c r="A39" s="3">
        <v>2</v>
      </c>
      <c r="B39" s="3">
        <v>3</v>
      </c>
      <c r="C39" s="3">
        <v>1</v>
      </c>
      <c r="D39" s="3">
        <v>4</v>
      </c>
      <c r="E39" s="4">
        <v>1</v>
      </c>
      <c r="F39" s="3">
        <v>5</v>
      </c>
      <c r="G39" s="6">
        <v>3</v>
      </c>
      <c r="I39" s="2"/>
    </row>
    <row r="40" spans="1:9" x14ac:dyDescent="0.3">
      <c r="A40" s="3">
        <v>2</v>
      </c>
      <c r="B40" s="3">
        <v>2</v>
      </c>
      <c r="C40" s="3">
        <v>8</v>
      </c>
      <c r="D40" s="3">
        <v>2</v>
      </c>
      <c r="E40" s="4">
        <v>1</v>
      </c>
      <c r="F40" s="3">
        <v>9</v>
      </c>
      <c r="G40" s="6">
        <v>2</v>
      </c>
      <c r="I40" s="2"/>
    </row>
    <row r="41" spans="1:9" x14ac:dyDescent="0.3">
      <c r="A41" s="3">
        <v>2</v>
      </c>
      <c r="B41" s="3">
        <v>2</v>
      </c>
      <c r="C41" s="3">
        <v>8</v>
      </c>
      <c r="D41" s="3">
        <v>4</v>
      </c>
      <c r="E41" s="4">
        <v>1</v>
      </c>
      <c r="F41" s="3">
        <v>3</v>
      </c>
      <c r="G41" s="6">
        <v>4</v>
      </c>
      <c r="I41" s="2"/>
    </row>
    <row r="42" spans="1:9" x14ac:dyDescent="0.3">
      <c r="A42" s="3">
        <v>1</v>
      </c>
      <c r="B42" s="3">
        <v>3</v>
      </c>
      <c r="C42" s="3">
        <v>7</v>
      </c>
      <c r="D42" s="3">
        <v>4</v>
      </c>
      <c r="E42" s="4">
        <v>1</v>
      </c>
      <c r="F42" s="3">
        <v>4</v>
      </c>
      <c r="G42" s="6">
        <v>4</v>
      </c>
      <c r="I42" s="2"/>
    </row>
    <row r="43" spans="1:9" x14ac:dyDescent="0.3">
      <c r="A43" s="3">
        <v>2</v>
      </c>
      <c r="B43" s="3">
        <v>3</v>
      </c>
      <c r="C43" s="3">
        <v>8</v>
      </c>
      <c r="D43" s="3">
        <v>2</v>
      </c>
      <c r="E43" s="4">
        <v>1</v>
      </c>
      <c r="F43" s="3">
        <v>3</v>
      </c>
      <c r="G43" s="6">
        <v>4</v>
      </c>
      <c r="I43" s="2"/>
    </row>
    <row r="44" spans="1:9" x14ac:dyDescent="0.3">
      <c r="A44" s="3">
        <v>1</v>
      </c>
      <c r="B44" s="3">
        <v>3</v>
      </c>
      <c r="C44" s="3">
        <v>4</v>
      </c>
      <c r="D44" s="3">
        <v>2</v>
      </c>
      <c r="E44" s="4">
        <v>1</v>
      </c>
      <c r="F44" s="3">
        <v>4</v>
      </c>
      <c r="G44" s="6">
        <v>4</v>
      </c>
      <c r="I44" s="2"/>
    </row>
    <row r="45" spans="1:9" x14ac:dyDescent="0.3">
      <c r="A45" s="3">
        <v>1</v>
      </c>
      <c r="B45" s="3">
        <v>1</v>
      </c>
      <c r="C45" s="3">
        <v>4</v>
      </c>
      <c r="D45" s="3">
        <v>1</v>
      </c>
      <c r="E45" s="4">
        <v>1</v>
      </c>
      <c r="F45" s="3">
        <v>6</v>
      </c>
      <c r="G45" s="6">
        <v>1</v>
      </c>
      <c r="I45" s="2"/>
    </row>
    <row r="46" spans="1:9" x14ac:dyDescent="0.3">
      <c r="A46" s="3">
        <v>1</v>
      </c>
      <c r="B46" s="3">
        <v>3</v>
      </c>
      <c r="C46" s="3">
        <v>9</v>
      </c>
      <c r="D46" s="3">
        <v>1</v>
      </c>
      <c r="E46" s="4">
        <v>4</v>
      </c>
      <c r="F46" s="3">
        <v>4</v>
      </c>
      <c r="G46" s="6">
        <v>1</v>
      </c>
      <c r="I46" s="2"/>
    </row>
    <row r="47" spans="1:9" x14ac:dyDescent="0.3">
      <c r="A47" s="3">
        <v>2</v>
      </c>
      <c r="B47" s="3">
        <v>3</v>
      </c>
      <c r="C47" s="3">
        <v>10</v>
      </c>
      <c r="D47" s="3">
        <v>3</v>
      </c>
      <c r="E47" s="4">
        <v>4</v>
      </c>
      <c r="F47" s="3">
        <v>4</v>
      </c>
      <c r="G47" s="6">
        <v>2</v>
      </c>
      <c r="I47" s="2"/>
    </row>
    <row r="48" spans="1:9" x14ac:dyDescent="0.3">
      <c r="A48" s="3">
        <v>2</v>
      </c>
      <c r="B48" s="3">
        <v>3</v>
      </c>
      <c r="C48" s="3">
        <v>3</v>
      </c>
      <c r="D48" s="3">
        <v>1</v>
      </c>
      <c r="E48" s="4">
        <v>1</v>
      </c>
      <c r="F48" s="3">
        <v>3</v>
      </c>
      <c r="G48" s="6">
        <v>2</v>
      </c>
      <c r="I48" s="2"/>
    </row>
    <row r="49" spans="1:9" x14ac:dyDescent="0.3">
      <c r="A49" s="3">
        <v>1</v>
      </c>
      <c r="B49" s="3">
        <v>3</v>
      </c>
      <c r="C49" s="3">
        <v>4</v>
      </c>
      <c r="D49" s="3">
        <v>1</v>
      </c>
      <c r="E49" s="4">
        <v>1</v>
      </c>
      <c r="F49" s="3">
        <v>1</v>
      </c>
      <c r="G49" s="6">
        <v>3</v>
      </c>
      <c r="I49" s="2"/>
    </row>
    <row r="50" spans="1:9" x14ac:dyDescent="0.3">
      <c r="A50" s="3">
        <v>1</v>
      </c>
      <c r="B50" s="3">
        <v>3</v>
      </c>
      <c r="C50" s="3">
        <v>7</v>
      </c>
      <c r="D50" s="3">
        <v>2</v>
      </c>
      <c r="E50" s="4">
        <v>1</v>
      </c>
      <c r="F50" s="3">
        <v>4</v>
      </c>
      <c r="G50" s="6">
        <v>2</v>
      </c>
      <c r="I50" s="2"/>
    </row>
    <row r="51" spans="1:9" x14ac:dyDescent="0.3">
      <c r="A51" s="3">
        <v>1</v>
      </c>
      <c r="B51" s="3">
        <v>3</v>
      </c>
      <c r="C51" s="3">
        <v>8</v>
      </c>
      <c r="D51" s="3">
        <v>1</v>
      </c>
      <c r="E51" s="4">
        <v>1</v>
      </c>
      <c r="F51" s="3">
        <v>3</v>
      </c>
      <c r="G51" s="6">
        <v>2</v>
      </c>
      <c r="I51" s="2"/>
    </row>
    <row r="52" spans="1:9" x14ac:dyDescent="0.3">
      <c r="A52" s="3">
        <v>1</v>
      </c>
      <c r="B52" s="3">
        <v>3</v>
      </c>
      <c r="C52" s="3">
        <v>1</v>
      </c>
      <c r="D52" s="3">
        <v>1</v>
      </c>
      <c r="E52" s="4">
        <v>1</v>
      </c>
      <c r="F52" s="3">
        <v>2</v>
      </c>
      <c r="G52" s="6">
        <v>1</v>
      </c>
      <c r="I52" s="2"/>
    </row>
    <row r="53" spans="1:9" x14ac:dyDescent="0.3">
      <c r="A53" s="3">
        <v>2</v>
      </c>
      <c r="B53" s="3">
        <v>3</v>
      </c>
      <c r="C53" s="3">
        <v>8</v>
      </c>
      <c r="D53" s="3">
        <v>4</v>
      </c>
      <c r="E53" s="4">
        <v>4</v>
      </c>
      <c r="F53" s="3">
        <v>8</v>
      </c>
      <c r="G53" s="6">
        <v>3</v>
      </c>
      <c r="I53" s="2"/>
    </row>
    <row r="54" spans="1:9" x14ac:dyDescent="0.3">
      <c r="A54" s="3">
        <v>1</v>
      </c>
      <c r="B54" s="3">
        <v>3</v>
      </c>
      <c r="C54" s="3">
        <v>4</v>
      </c>
      <c r="D54" s="3">
        <v>1</v>
      </c>
      <c r="E54" s="4">
        <v>4</v>
      </c>
      <c r="F54" s="3">
        <v>2</v>
      </c>
      <c r="G54" s="6">
        <v>4</v>
      </c>
      <c r="I54" s="2"/>
    </row>
    <row r="55" spans="1:9" x14ac:dyDescent="0.3">
      <c r="A55" s="3">
        <v>1</v>
      </c>
      <c r="B55" s="3">
        <v>3</v>
      </c>
      <c r="C55" s="3">
        <v>4</v>
      </c>
      <c r="D55" s="3">
        <v>1</v>
      </c>
      <c r="E55" s="4">
        <v>1</v>
      </c>
      <c r="F55" s="3">
        <v>1</v>
      </c>
      <c r="G55" s="6">
        <v>4</v>
      </c>
      <c r="I55" s="2"/>
    </row>
    <row r="56" spans="1:9" x14ac:dyDescent="0.3">
      <c r="A56" s="3">
        <v>1</v>
      </c>
      <c r="B56" s="3">
        <v>3</v>
      </c>
      <c r="C56" s="3">
        <v>3</v>
      </c>
      <c r="D56" s="3">
        <v>4</v>
      </c>
      <c r="E56" s="4">
        <v>1</v>
      </c>
      <c r="F56" s="3">
        <v>3</v>
      </c>
      <c r="G56" s="6">
        <v>4</v>
      </c>
      <c r="I56" s="2"/>
    </row>
    <row r="57" spans="1:9" x14ac:dyDescent="0.3">
      <c r="A57" s="3">
        <v>1</v>
      </c>
      <c r="B57" s="3">
        <v>3</v>
      </c>
      <c r="C57" s="3">
        <v>2</v>
      </c>
      <c r="D57" s="3">
        <v>4</v>
      </c>
      <c r="E57" s="4">
        <v>4</v>
      </c>
      <c r="F57" s="3">
        <v>4</v>
      </c>
      <c r="G57" s="6">
        <v>3</v>
      </c>
      <c r="I57" s="2"/>
    </row>
    <row r="58" spans="1:9" x14ac:dyDescent="0.3">
      <c r="A58" s="3">
        <v>2</v>
      </c>
      <c r="B58" s="3">
        <v>2</v>
      </c>
      <c r="C58" s="3">
        <v>10</v>
      </c>
      <c r="D58" s="3">
        <v>5</v>
      </c>
      <c r="E58" s="4">
        <v>5</v>
      </c>
      <c r="F58" s="3">
        <v>8</v>
      </c>
      <c r="G58" s="6">
        <v>2</v>
      </c>
      <c r="I58" s="2"/>
    </row>
    <row r="59" spans="1:9" x14ac:dyDescent="0.3">
      <c r="A59" s="3">
        <v>2</v>
      </c>
      <c r="B59" s="3">
        <v>2</v>
      </c>
      <c r="C59" s="3">
        <v>1</v>
      </c>
      <c r="D59" s="3">
        <v>1</v>
      </c>
      <c r="E59" s="4">
        <v>5</v>
      </c>
      <c r="F59" s="3">
        <v>6</v>
      </c>
      <c r="G59" s="6">
        <v>1</v>
      </c>
      <c r="I59" s="2"/>
    </row>
    <row r="60" spans="1:9" x14ac:dyDescent="0.3">
      <c r="A60" s="3">
        <v>2</v>
      </c>
      <c r="B60" s="3">
        <v>3</v>
      </c>
      <c r="C60" s="3">
        <v>2</v>
      </c>
      <c r="D60" s="3">
        <v>1</v>
      </c>
      <c r="E60" s="4">
        <v>1</v>
      </c>
      <c r="F60" s="3">
        <v>7</v>
      </c>
      <c r="G60" s="6">
        <v>4</v>
      </c>
      <c r="I60" s="2"/>
    </row>
    <row r="61" spans="1:9" x14ac:dyDescent="0.3">
      <c r="A61" s="3">
        <v>2</v>
      </c>
      <c r="B61" s="3">
        <v>3</v>
      </c>
      <c r="C61" s="3">
        <v>6</v>
      </c>
      <c r="D61" s="3">
        <v>4</v>
      </c>
      <c r="E61" s="4">
        <v>4</v>
      </c>
      <c r="F61" s="3">
        <v>1</v>
      </c>
      <c r="G61" s="6">
        <v>4</v>
      </c>
      <c r="I61" s="2"/>
    </row>
    <row r="62" spans="1:9" x14ac:dyDescent="0.3">
      <c r="A62" s="3">
        <v>2</v>
      </c>
      <c r="B62" s="3">
        <v>3</v>
      </c>
      <c r="C62" s="3">
        <v>8</v>
      </c>
      <c r="D62" s="3">
        <v>3</v>
      </c>
      <c r="E62" s="4">
        <v>4</v>
      </c>
      <c r="F62" s="3">
        <v>8</v>
      </c>
      <c r="G62" s="6">
        <v>4</v>
      </c>
      <c r="I62" s="2"/>
    </row>
    <row r="63" spans="1:9" x14ac:dyDescent="0.3">
      <c r="A63" s="3">
        <v>2</v>
      </c>
      <c r="B63" s="3">
        <v>3</v>
      </c>
      <c r="C63" s="3">
        <v>4</v>
      </c>
      <c r="D63" s="3">
        <v>3</v>
      </c>
      <c r="E63" s="4">
        <v>4</v>
      </c>
      <c r="F63" s="3">
        <v>3</v>
      </c>
      <c r="G63" s="6">
        <v>3</v>
      </c>
      <c r="I63" s="2"/>
    </row>
    <row r="64" spans="1:9" x14ac:dyDescent="0.3">
      <c r="A64" s="3">
        <v>1</v>
      </c>
      <c r="B64" s="3">
        <v>2</v>
      </c>
      <c r="C64" s="3">
        <v>3</v>
      </c>
      <c r="D64" s="3">
        <v>3</v>
      </c>
      <c r="E64" s="4">
        <v>5</v>
      </c>
      <c r="F64" s="3">
        <v>5</v>
      </c>
      <c r="G64" s="6">
        <v>2</v>
      </c>
      <c r="I64" s="2"/>
    </row>
    <row r="65" spans="1:9" x14ac:dyDescent="0.3">
      <c r="A65" s="3">
        <v>2</v>
      </c>
      <c r="B65" s="3">
        <v>3</v>
      </c>
      <c r="C65" s="3">
        <v>6</v>
      </c>
      <c r="D65" s="3">
        <v>2</v>
      </c>
      <c r="E65" s="4">
        <v>7</v>
      </c>
      <c r="F65" s="3">
        <v>3</v>
      </c>
      <c r="G65" s="6">
        <v>1</v>
      </c>
      <c r="I65" s="2"/>
    </row>
    <row r="66" spans="1:9" x14ac:dyDescent="0.3">
      <c r="A66" s="3">
        <v>2</v>
      </c>
      <c r="B66" s="3">
        <v>3</v>
      </c>
      <c r="C66" s="3">
        <v>3</v>
      </c>
      <c r="D66" s="3">
        <v>2</v>
      </c>
      <c r="E66" s="4">
        <v>7</v>
      </c>
      <c r="F66" s="3">
        <v>4</v>
      </c>
      <c r="G66" s="6">
        <v>1</v>
      </c>
      <c r="I66" s="2"/>
    </row>
    <row r="67" spans="1:9" x14ac:dyDescent="0.3">
      <c r="A67" s="3">
        <v>2</v>
      </c>
      <c r="B67" s="3">
        <v>2</v>
      </c>
      <c r="C67" s="3">
        <v>3</v>
      </c>
      <c r="D67" s="3">
        <v>1</v>
      </c>
      <c r="E67" s="4">
        <v>5</v>
      </c>
      <c r="F67" s="3">
        <v>2</v>
      </c>
      <c r="G67" s="6">
        <v>3</v>
      </c>
      <c r="I67" s="2"/>
    </row>
    <row r="68" spans="1:9" x14ac:dyDescent="0.3">
      <c r="A68" s="3">
        <v>2</v>
      </c>
      <c r="B68" s="3">
        <v>2</v>
      </c>
      <c r="C68" s="3">
        <v>4</v>
      </c>
      <c r="D68" s="3">
        <v>4</v>
      </c>
      <c r="E68" s="4">
        <v>5</v>
      </c>
      <c r="F68" s="3">
        <v>5</v>
      </c>
      <c r="G68" s="6">
        <v>2</v>
      </c>
      <c r="I68" s="2"/>
    </row>
    <row r="69" spans="1:9" x14ac:dyDescent="0.3">
      <c r="A69" s="3">
        <v>2</v>
      </c>
      <c r="B69" s="3">
        <v>2</v>
      </c>
      <c r="C69" s="3">
        <v>8</v>
      </c>
      <c r="D69" s="3">
        <v>2</v>
      </c>
      <c r="E69" s="4">
        <v>5</v>
      </c>
      <c r="F69" s="3">
        <v>2</v>
      </c>
      <c r="G69" s="6">
        <v>4</v>
      </c>
      <c r="I69" s="2"/>
    </row>
    <row r="70" spans="1:9" x14ac:dyDescent="0.3">
      <c r="A70" s="3">
        <v>1</v>
      </c>
      <c r="B70" s="3">
        <v>2</v>
      </c>
      <c r="C70" s="3">
        <v>3</v>
      </c>
      <c r="D70" s="3">
        <v>3</v>
      </c>
      <c r="E70" s="4">
        <v>5</v>
      </c>
      <c r="F70" s="3">
        <v>4</v>
      </c>
      <c r="G70" s="6">
        <v>4</v>
      </c>
      <c r="I70" s="2"/>
    </row>
    <row r="71" spans="1:9" x14ac:dyDescent="0.3">
      <c r="A71" s="3">
        <v>1</v>
      </c>
      <c r="B71" s="3">
        <v>2</v>
      </c>
      <c r="C71" s="3">
        <v>5</v>
      </c>
      <c r="D71" s="3">
        <v>5</v>
      </c>
      <c r="E71" s="4">
        <v>5</v>
      </c>
      <c r="F71" s="3">
        <v>5</v>
      </c>
      <c r="G71" s="6">
        <v>3</v>
      </c>
      <c r="I71" s="2"/>
    </row>
    <row r="72" spans="1:9" x14ac:dyDescent="0.3">
      <c r="A72" s="3">
        <v>1</v>
      </c>
      <c r="B72" s="3">
        <v>2</v>
      </c>
      <c r="C72" s="3">
        <v>3</v>
      </c>
      <c r="D72" s="3">
        <v>4</v>
      </c>
      <c r="E72" s="4">
        <v>5</v>
      </c>
      <c r="F72" s="3">
        <v>5</v>
      </c>
      <c r="G72" s="6">
        <v>4</v>
      </c>
      <c r="I72" s="2"/>
    </row>
    <row r="73" spans="1:9" x14ac:dyDescent="0.3">
      <c r="A73" s="3">
        <v>1</v>
      </c>
      <c r="B73" s="3">
        <v>3</v>
      </c>
      <c r="C73" s="3">
        <v>1</v>
      </c>
      <c r="D73" s="3">
        <v>1</v>
      </c>
      <c r="E73" s="4">
        <v>7</v>
      </c>
      <c r="F73" s="3">
        <v>1</v>
      </c>
      <c r="G73" s="6">
        <v>1</v>
      </c>
      <c r="I73" s="2"/>
    </row>
    <row r="74" spans="1:9" x14ac:dyDescent="0.3">
      <c r="A74" s="3">
        <v>1</v>
      </c>
      <c r="B74" s="3">
        <v>3</v>
      </c>
      <c r="C74" s="3">
        <v>3</v>
      </c>
      <c r="D74" s="3">
        <v>1</v>
      </c>
      <c r="E74" s="4">
        <v>7</v>
      </c>
      <c r="F74" s="3">
        <v>2</v>
      </c>
      <c r="G74" s="6">
        <v>3</v>
      </c>
      <c r="I74" s="2"/>
    </row>
    <row r="75" spans="1:9" x14ac:dyDescent="0.3">
      <c r="A75" s="3">
        <v>1</v>
      </c>
      <c r="B75" s="3">
        <v>2</v>
      </c>
      <c r="C75" s="3">
        <v>5</v>
      </c>
      <c r="D75" s="3">
        <v>3</v>
      </c>
      <c r="E75" s="4">
        <v>5</v>
      </c>
      <c r="F75" s="3">
        <v>3</v>
      </c>
      <c r="G75" s="6">
        <v>3</v>
      </c>
      <c r="I75" s="2"/>
    </row>
    <row r="76" spans="1:9" x14ac:dyDescent="0.3">
      <c r="A76" s="3">
        <v>2</v>
      </c>
      <c r="B76" s="3">
        <v>3</v>
      </c>
      <c r="C76" s="3">
        <v>1</v>
      </c>
      <c r="D76" s="3">
        <v>2</v>
      </c>
      <c r="E76" s="4">
        <v>7</v>
      </c>
      <c r="F76" s="3">
        <v>2</v>
      </c>
      <c r="G76" s="6">
        <v>2</v>
      </c>
      <c r="I76" s="2"/>
    </row>
    <row r="77" spans="1:9" x14ac:dyDescent="0.3">
      <c r="A77" s="3">
        <v>2</v>
      </c>
      <c r="B77" s="3">
        <v>3</v>
      </c>
      <c r="C77" s="3">
        <v>2</v>
      </c>
      <c r="D77" s="3">
        <v>2</v>
      </c>
      <c r="E77" s="4">
        <v>7</v>
      </c>
      <c r="F77" s="3">
        <v>3</v>
      </c>
      <c r="G77" s="6">
        <v>4</v>
      </c>
      <c r="I77" s="2"/>
    </row>
    <row r="78" spans="1:9" x14ac:dyDescent="0.3">
      <c r="A78" s="3">
        <v>1</v>
      </c>
      <c r="B78" s="3">
        <v>2</v>
      </c>
      <c r="C78" s="3">
        <v>2</v>
      </c>
      <c r="D78" s="3">
        <v>4</v>
      </c>
      <c r="E78" s="4">
        <v>5</v>
      </c>
      <c r="F78" s="3">
        <v>4</v>
      </c>
      <c r="G78" s="6">
        <v>3</v>
      </c>
      <c r="I78" s="2"/>
    </row>
    <row r="79" spans="1:9" x14ac:dyDescent="0.3">
      <c r="A79" s="3">
        <v>1</v>
      </c>
      <c r="B79" s="3">
        <v>1</v>
      </c>
      <c r="C79" s="3">
        <v>4</v>
      </c>
      <c r="D79" s="3">
        <v>4</v>
      </c>
      <c r="E79" s="4">
        <v>2</v>
      </c>
      <c r="F79" s="3">
        <v>4</v>
      </c>
      <c r="G79" s="6">
        <v>4</v>
      </c>
      <c r="I79" s="2"/>
    </row>
    <row r="80" spans="1:9" x14ac:dyDescent="0.3">
      <c r="A80" s="3">
        <v>1</v>
      </c>
      <c r="B80" s="3">
        <v>1</v>
      </c>
      <c r="C80" s="3">
        <v>4</v>
      </c>
      <c r="D80" s="3">
        <v>2</v>
      </c>
      <c r="E80" s="4">
        <v>3</v>
      </c>
      <c r="F80" s="3">
        <v>3</v>
      </c>
      <c r="G80" s="6">
        <v>2</v>
      </c>
      <c r="I80" s="2"/>
    </row>
    <row r="81" spans="1:9" x14ac:dyDescent="0.3">
      <c r="A81" s="3">
        <v>1</v>
      </c>
      <c r="B81" s="3">
        <v>2</v>
      </c>
      <c r="C81" s="3">
        <v>3</v>
      </c>
      <c r="D81" s="3">
        <v>4</v>
      </c>
      <c r="E81" s="4">
        <v>5</v>
      </c>
      <c r="F81" s="3">
        <v>3</v>
      </c>
      <c r="G81" s="6">
        <v>4</v>
      </c>
      <c r="I81" s="2"/>
    </row>
    <row r="82" spans="1:9" x14ac:dyDescent="0.3">
      <c r="A82" s="3">
        <v>1</v>
      </c>
      <c r="B82" s="3">
        <v>2</v>
      </c>
      <c r="C82" s="3">
        <v>2</v>
      </c>
      <c r="D82" s="3">
        <v>3</v>
      </c>
      <c r="E82" s="4">
        <v>5</v>
      </c>
      <c r="F82" s="3">
        <v>4</v>
      </c>
      <c r="G82" s="6">
        <v>1</v>
      </c>
      <c r="I82" s="2"/>
    </row>
    <row r="83" spans="1:9" x14ac:dyDescent="0.3">
      <c r="A83" s="3">
        <v>1</v>
      </c>
      <c r="B83" s="3">
        <v>2</v>
      </c>
      <c r="C83" s="3">
        <v>2</v>
      </c>
      <c r="D83" s="3">
        <v>2</v>
      </c>
      <c r="E83" s="4">
        <v>5</v>
      </c>
      <c r="F83" s="3">
        <v>4</v>
      </c>
      <c r="G83" s="6">
        <v>2</v>
      </c>
      <c r="I83" s="2"/>
    </row>
    <row r="84" spans="1:9" x14ac:dyDescent="0.3">
      <c r="A84" s="3">
        <v>1</v>
      </c>
      <c r="B84" s="3">
        <v>2</v>
      </c>
      <c r="C84" s="3">
        <v>8</v>
      </c>
      <c r="D84" s="3">
        <v>2</v>
      </c>
      <c r="E84" s="4">
        <v>5</v>
      </c>
      <c r="F84" s="3">
        <v>2</v>
      </c>
      <c r="G84" s="6">
        <v>3</v>
      </c>
      <c r="I84" s="2"/>
    </row>
    <row r="85" spans="1:9" x14ac:dyDescent="0.3">
      <c r="A85" s="3">
        <v>1</v>
      </c>
      <c r="B85" s="3">
        <v>2</v>
      </c>
      <c r="C85" s="3">
        <v>4</v>
      </c>
      <c r="D85" s="3">
        <v>5</v>
      </c>
      <c r="E85" s="4">
        <v>5</v>
      </c>
      <c r="F85" s="3">
        <v>7</v>
      </c>
      <c r="G85" s="6">
        <v>4</v>
      </c>
      <c r="I85" s="2"/>
    </row>
    <row r="86" spans="1:9" x14ac:dyDescent="0.3">
      <c r="A86" s="3">
        <v>2</v>
      </c>
      <c r="B86" s="3">
        <v>2</v>
      </c>
      <c r="C86" s="3">
        <v>10</v>
      </c>
      <c r="D86" s="3">
        <v>5</v>
      </c>
      <c r="E86" s="4">
        <v>5</v>
      </c>
      <c r="F86" s="3">
        <v>10</v>
      </c>
      <c r="G86" s="6">
        <v>4</v>
      </c>
      <c r="I86" s="2"/>
    </row>
    <row r="87" spans="1:9" x14ac:dyDescent="0.3">
      <c r="A87" s="3">
        <v>1</v>
      </c>
      <c r="B87" s="3">
        <v>2</v>
      </c>
      <c r="C87" s="3">
        <v>8</v>
      </c>
      <c r="D87" s="3">
        <v>4</v>
      </c>
      <c r="E87" s="4">
        <v>5</v>
      </c>
      <c r="F87" s="3">
        <v>8</v>
      </c>
      <c r="G87" s="6">
        <v>1</v>
      </c>
      <c r="I87" s="2"/>
    </row>
    <row r="88" spans="1:9" x14ac:dyDescent="0.3">
      <c r="A88" s="3">
        <v>1</v>
      </c>
      <c r="B88" s="3">
        <v>2</v>
      </c>
      <c r="C88" s="3">
        <v>7</v>
      </c>
      <c r="D88" s="3">
        <v>2</v>
      </c>
      <c r="E88" s="4">
        <v>5</v>
      </c>
      <c r="F88" s="3">
        <v>3</v>
      </c>
      <c r="G88" s="6">
        <v>2</v>
      </c>
      <c r="I88" s="2"/>
    </row>
    <row r="89" spans="1:9" x14ac:dyDescent="0.3">
      <c r="A89" s="3">
        <v>1</v>
      </c>
      <c r="B89" s="3">
        <v>2</v>
      </c>
      <c r="C89" s="3">
        <v>4</v>
      </c>
      <c r="D89" s="3">
        <v>2</v>
      </c>
      <c r="E89" s="4">
        <v>5</v>
      </c>
      <c r="F89" s="3">
        <v>2</v>
      </c>
      <c r="G89" s="6">
        <v>4</v>
      </c>
      <c r="I89" s="2"/>
    </row>
    <row r="90" spans="1:9" x14ac:dyDescent="0.3">
      <c r="A90" s="3">
        <v>1</v>
      </c>
      <c r="B90" s="3">
        <v>1</v>
      </c>
      <c r="C90" s="3">
        <v>4</v>
      </c>
      <c r="D90" s="3">
        <v>4</v>
      </c>
      <c r="E90" s="4">
        <v>3</v>
      </c>
      <c r="F90" s="3">
        <v>4</v>
      </c>
      <c r="G90" s="6">
        <v>3</v>
      </c>
      <c r="I90" s="2"/>
    </row>
    <row r="91" spans="1:9" x14ac:dyDescent="0.3">
      <c r="A91" s="3">
        <v>1</v>
      </c>
      <c r="B91" s="3">
        <v>1</v>
      </c>
      <c r="C91" s="3">
        <v>3</v>
      </c>
      <c r="D91" s="3">
        <v>3</v>
      </c>
      <c r="E91" s="4">
        <v>6</v>
      </c>
      <c r="F91" s="3">
        <v>4</v>
      </c>
      <c r="G91" s="6">
        <v>4</v>
      </c>
      <c r="I91" s="2"/>
    </row>
    <row r="92" spans="1:9" x14ac:dyDescent="0.3">
      <c r="A92" s="3">
        <v>1</v>
      </c>
      <c r="B92" s="3">
        <v>1</v>
      </c>
      <c r="C92" s="3">
        <v>5</v>
      </c>
      <c r="D92" s="3">
        <v>2</v>
      </c>
      <c r="E92" s="4">
        <v>6</v>
      </c>
      <c r="F92" s="3">
        <v>4</v>
      </c>
      <c r="G92" s="6">
        <v>2</v>
      </c>
      <c r="I92" s="2"/>
    </row>
    <row r="93" spans="1:9" x14ac:dyDescent="0.3">
      <c r="A93" s="3">
        <v>2</v>
      </c>
      <c r="B93" s="3">
        <v>2</v>
      </c>
      <c r="C93" s="3">
        <v>4</v>
      </c>
      <c r="D93" s="3">
        <v>5</v>
      </c>
      <c r="E93" s="4">
        <v>6</v>
      </c>
      <c r="F93" s="3">
        <v>7</v>
      </c>
      <c r="G93" s="6">
        <v>3</v>
      </c>
      <c r="I93" s="2"/>
    </row>
    <row r="94" spans="1:9" x14ac:dyDescent="0.3">
      <c r="A94" s="3">
        <v>1</v>
      </c>
      <c r="B94" s="3">
        <v>2</v>
      </c>
      <c r="C94" s="3">
        <v>4</v>
      </c>
      <c r="D94" s="3">
        <v>3</v>
      </c>
      <c r="E94" s="4">
        <v>6</v>
      </c>
      <c r="F94" s="3">
        <v>4</v>
      </c>
      <c r="G94" s="6">
        <v>4</v>
      </c>
      <c r="I94" s="2"/>
    </row>
    <row r="95" spans="1:9" x14ac:dyDescent="0.3">
      <c r="A95" s="3">
        <v>1</v>
      </c>
      <c r="B95" s="3">
        <v>2</v>
      </c>
      <c r="C95" s="3">
        <v>2</v>
      </c>
      <c r="D95" s="3">
        <v>2</v>
      </c>
      <c r="E95" s="4">
        <v>6</v>
      </c>
      <c r="F95" s="3">
        <v>3</v>
      </c>
      <c r="G95" s="6">
        <v>1</v>
      </c>
      <c r="I95" s="2"/>
    </row>
    <row r="96" spans="1:9" x14ac:dyDescent="0.3">
      <c r="A96" s="3">
        <v>1</v>
      </c>
      <c r="B96" s="3">
        <v>1</v>
      </c>
      <c r="C96" s="3">
        <v>3</v>
      </c>
      <c r="D96" s="3">
        <v>3</v>
      </c>
      <c r="E96" s="4">
        <v>6</v>
      </c>
      <c r="F96" s="3">
        <v>3</v>
      </c>
      <c r="G96" s="6">
        <v>1</v>
      </c>
      <c r="I96" s="2"/>
    </row>
    <row r="97" spans="1:9" x14ac:dyDescent="0.3">
      <c r="A97" s="3">
        <v>1</v>
      </c>
      <c r="B97" s="3">
        <v>1</v>
      </c>
      <c r="C97" s="3">
        <v>7</v>
      </c>
      <c r="D97" s="3">
        <v>4</v>
      </c>
      <c r="E97" s="4">
        <v>6</v>
      </c>
      <c r="F97" s="3">
        <v>4</v>
      </c>
      <c r="G97" s="6">
        <v>3</v>
      </c>
      <c r="I97" s="2"/>
    </row>
    <row r="98" spans="1:9" x14ac:dyDescent="0.3">
      <c r="A98" s="3">
        <v>1</v>
      </c>
      <c r="B98" s="3">
        <v>1</v>
      </c>
      <c r="C98" s="3">
        <v>4</v>
      </c>
      <c r="D98" s="3">
        <v>2</v>
      </c>
      <c r="E98" s="4">
        <v>1</v>
      </c>
      <c r="F98" s="3">
        <v>3</v>
      </c>
      <c r="G98" s="6">
        <v>2</v>
      </c>
      <c r="I98" s="2"/>
    </row>
    <row r="99" spans="1:9" x14ac:dyDescent="0.3">
      <c r="A99" s="3">
        <v>2</v>
      </c>
      <c r="B99" s="3">
        <v>1</v>
      </c>
      <c r="C99" s="3">
        <v>3</v>
      </c>
      <c r="D99" s="3">
        <v>3</v>
      </c>
      <c r="E99" s="4">
        <v>3</v>
      </c>
      <c r="F99" s="3">
        <v>5</v>
      </c>
      <c r="G99" s="6">
        <v>2</v>
      </c>
      <c r="I99" s="2"/>
    </row>
    <row r="100" spans="1:9" x14ac:dyDescent="0.3">
      <c r="A100" s="3">
        <v>2</v>
      </c>
      <c r="B100" s="3">
        <v>2</v>
      </c>
      <c r="C100" s="3">
        <v>4</v>
      </c>
      <c r="D100" s="3">
        <v>3</v>
      </c>
      <c r="E100" s="4">
        <v>5</v>
      </c>
      <c r="F100" s="3">
        <v>4</v>
      </c>
      <c r="G100" s="6">
        <v>4</v>
      </c>
      <c r="I100" s="2"/>
    </row>
    <row r="101" spans="1:9" x14ac:dyDescent="0.3">
      <c r="A101" s="9">
        <v>2</v>
      </c>
      <c r="B101" s="9">
        <v>1</v>
      </c>
      <c r="C101" s="9">
        <v>9</v>
      </c>
      <c r="D101" s="9">
        <v>2</v>
      </c>
      <c r="E101" s="10">
        <v>1</v>
      </c>
      <c r="F101" s="9">
        <v>3</v>
      </c>
      <c r="G101" s="11">
        <v>4</v>
      </c>
      <c r="I101" s="2"/>
    </row>
    <row r="102" spans="1:9" x14ac:dyDescent="0.3">
      <c r="I102" s="2"/>
    </row>
    <row r="103" spans="1:9" x14ac:dyDescent="0.3">
      <c r="I103" s="2"/>
    </row>
    <row r="104" spans="1:9" x14ac:dyDescent="0.3">
      <c r="I104" s="2"/>
    </row>
    <row r="105" spans="1:9" x14ac:dyDescent="0.3">
      <c r="I105" s="2"/>
    </row>
    <row r="106" spans="1:9" x14ac:dyDescent="0.3">
      <c r="I106" s="2"/>
    </row>
    <row r="107" spans="1:9" x14ac:dyDescent="0.3">
      <c r="I107" s="2"/>
    </row>
    <row r="108" spans="1:9" x14ac:dyDescent="0.3">
      <c r="I108" s="2"/>
    </row>
    <row r="109" spans="1:9" x14ac:dyDescent="0.3">
      <c r="I109" s="2"/>
    </row>
    <row r="110" spans="1:9" x14ac:dyDescent="0.3">
      <c r="I110" s="2"/>
    </row>
    <row r="111" spans="1:9" x14ac:dyDescent="0.3">
      <c r="I111" s="2"/>
    </row>
    <row r="112" spans="1:9" x14ac:dyDescent="0.3">
      <c r="I112" s="2"/>
    </row>
    <row r="113" spans="9:9" x14ac:dyDescent="0.3">
      <c r="I113" s="2"/>
    </row>
    <row r="114" spans="9:9" x14ac:dyDescent="0.3">
      <c r="I114" s="2"/>
    </row>
    <row r="115" spans="9:9" x14ac:dyDescent="0.3">
      <c r="I115" s="2"/>
    </row>
    <row r="116" spans="9:9" x14ac:dyDescent="0.3">
      <c r="I116" s="2"/>
    </row>
    <row r="117" spans="9:9" x14ac:dyDescent="0.3">
      <c r="I117" s="2"/>
    </row>
    <row r="118" spans="9:9" x14ac:dyDescent="0.3">
      <c r="I118" s="2"/>
    </row>
    <row r="119" spans="9:9" x14ac:dyDescent="0.3">
      <c r="I119" s="2"/>
    </row>
    <row r="120" spans="9:9" x14ac:dyDescent="0.3">
      <c r="I120" s="2"/>
    </row>
    <row r="121" spans="9:9" x14ac:dyDescent="0.3">
      <c r="I121" s="2"/>
    </row>
    <row r="122" spans="9:9" x14ac:dyDescent="0.3">
      <c r="I122" s="2"/>
    </row>
    <row r="123" spans="9:9" x14ac:dyDescent="0.3">
      <c r="I123" s="2"/>
    </row>
    <row r="124" spans="9:9" x14ac:dyDescent="0.3">
      <c r="I124" s="2"/>
    </row>
    <row r="125" spans="9:9" x14ac:dyDescent="0.3">
      <c r="I125" s="2"/>
    </row>
    <row r="126" spans="9:9" x14ac:dyDescent="0.3">
      <c r="I126" s="2"/>
    </row>
    <row r="127" spans="9:9" x14ac:dyDescent="0.3">
      <c r="I127" s="2"/>
    </row>
    <row r="128" spans="9:9" x14ac:dyDescent="0.3">
      <c r="I128" s="2"/>
    </row>
    <row r="129" spans="9:9" x14ac:dyDescent="0.3">
      <c r="I129" s="2"/>
    </row>
    <row r="130" spans="9:9" x14ac:dyDescent="0.3">
      <c r="I130" s="2"/>
    </row>
    <row r="131" spans="9:9" x14ac:dyDescent="0.3">
      <c r="I131" s="2"/>
    </row>
    <row r="132" spans="9:9" x14ac:dyDescent="0.3">
      <c r="I132" s="2"/>
    </row>
    <row r="133" spans="9:9" x14ac:dyDescent="0.3">
      <c r="I133" s="2"/>
    </row>
    <row r="134" spans="9:9" x14ac:dyDescent="0.3">
      <c r="I134" s="2"/>
    </row>
    <row r="135" spans="9:9" x14ac:dyDescent="0.3">
      <c r="I135" s="2"/>
    </row>
    <row r="136" spans="9:9" x14ac:dyDescent="0.3">
      <c r="I136" s="2"/>
    </row>
    <row r="137" spans="9:9" x14ac:dyDescent="0.3">
      <c r="I137" s="2"/>
    </row>
    <row r="138" spans="9:9" x14ac:dyDescent="0.3">
      <c r="I138" s="2"/>
    </row>
    <row r="139" spans="9:9" x14ac:dyDescent="0.3">
      <c r="I139" s="2"/>
    </row>
    <row r="140" spans="9:9" x14ac:dyDescent="0.3">
      <c r="I140" s="2"/>
    </row>
    <row r="141" spans="9:9" x14ac:dyDescent="0.3">
      <c r="I141" s="2"/>
    </row>
    <row r="142" spans="9:9" x14ac:dyDescent="0.3">
      <c r="I142" s="2"/>
    </row>
    <row r="143" spans="9:9" x14ac:dyDescent="0.3">
      <c r="I143" s="2"/>
    </row>
    <row r="144" spans="9:9" x14ac:dyDescent="0.3">
      <c r="I144" s="2"/>
    </row>
    <row r="145" spans="9:9" x14ac:dyDescent="0.3">
      <c r="I145" s="2"/>
    </row>
    <row r="146" spans="9:9" x14ac:dyDescent="0.3">
      <c r="I146" s="2"/>
    </row>
    <row r="147" spans="9:9" x14ac:dyDescent="0.3">
      <c r="I147" s="2"/>
    </row>
    <row r="148" spans="9:9" x14ac:dyDescent="0.3">
      <c r="I148" s="2"/>
    </row>
    <row r="149" spans="9:9" x14ac:dyDescent="0.3">
      <c r="I149" s="2"/>
    </row>
    <row r="150" spans="9:9" x14ac:dyDescent="0.3">
      <c r="I150" s="2"/>
    </row>
    <row r="151" spans="9:9" x14ac:dyDescent="0.3">
      <c r="I151" s="2"/>
    </row>
    <row r="152" spans="9:9" x14ac:dyDescent="0.3">
      <c r="I152" s="2"/>
    </row>
    <row r="153" spans="9:9" x14ac:dyDescent="0.3">
      <c r="I153" s="2"/>
    </row>
    <row r="154" spans="9:9" x14ac:dyDescent="0.3">
      <c r="I154" s="2"/>
    </row>
    <row r="155" spans="9:9" x14ac:dyDescent="0.3">
      <c r="I155" s="2"/>
    </row>
    <row r="156" spans="9:9" x14ac:dyDescent="0.3">
      <c r="I156" s="2"/>
    </row>
    <row r="157" spans="9:9" x14ac:dyDescent="0.3">
      <c r="I157" s="2"/>
    </row>
    <row r="158" spans="9:9" x14ac:dyDescent="0.3">
      <c r="I158" s="2"/>
    </row>
    <row r="159" spans="9:9" x14ac:dyDescent="0.3">
      <c r="I159" s="2"/>
    </row>
    <row r="160" spans="9:9" x14ac:dyDescent="0.3">
      <c r="I160" s="2"/>
    </row>
    <row r="161" spans="9:9" x14ac:dyDescent="0.3">
      <c r="I161" s="2"/>
    </row>
    <row r="162" spans="9:9" x14ac:dyDescent="0.3">
      <c r="I162" s="2"/>
    </row>
    <row r="163" spans="9:9" x14ac:dyDescent="0.3">
      <c r="I163" s="2"/>
    </row>
    <row r="164" spans="9:9" x14ac:dyDescent="0.3">
      <c r="I164" s="2"/>
    </row>
    <row r="165" spans="9:9" x14ac:dyDescent="0.3">
      <c r="I165" s="2"/>
    </row>
    <row r="166" spans="9:9" x14ac:dyDescent="0.3">
      <c r="I166" s="2"/>
    </row>
    <row r="167" spans="9:9" x14ac:dyDescent="0.3">
      <c r="I167" s="2"/>
    </row>
    <row r="168" spans="9:9" x14ac:dyDescent="0.3">
      <c r="I168" s="2"/>
    </row>
    <row r="169" spans="9:9" x14ac:dyDescent="0.3">
      <c r="I169" s="2"/>
    </row>
    <row r="170" spans="9:9" x14ac:dyDescent="0.3">
      <c r="I170" s="2"/>
    </row>
    <row r="171" spans="9:9" x14ac:dyDescent="0.3">
      <c r="I171" s="2"/>
    </row>
    <row r="172" spans="9:9" x14ac:dyDescent="0.3">
      <c r="I172" s="2"/>
    </row>
    <row r="173" spans="9:9" x14ac:dyDescent="0.3">
      <c r="I173" s="2"/>
    </row>
    <row r="174" spans="9:9" x14ac:dyDescent="0.3">
      <c r="I174" s="2"/>
    </row>
    <row r="175" spans="9:9" x14ac:dyDescent="0.3">
      <c r="I175" s="2"/>
    </row>
    <row r="176" spans="9:9" x14ac:dyDescent="0.3">
      <c r="I176" s="2"/>
    </row>
    <row r="177" spans="9:9" x14ac:dyDescent="0.3">
      <c r="I177" s="2"/>
    </row>
    <row r="178" spans="9:9" x14ac:dyDescent="0.3">
      <c r="I178" s="2"/>
    </row>
    <row r="179" spans="9:9" x14ac:dyDescent="0.3">
      <c r="I179" s="2"/>
    </row>
    <row r="180" spans="9:9" x14ac:dyDescent="0.3">
      <c r="I180" s="2"/>
    </row>
    <row r="181" spans="9:9" x14ac:dyDescent="0.3">
      <c r="I181" s="2"/>
    </row>
    <row r="182" spans="9:9" x14ac:dyDescent="0.3">
      <c r="I182" s="2"/>
    </row>
    <row r="183" spans="9:9" x14ac:dyDescent="0.3">
      <c r="I183" s="2"/>
    </row>
    <row r="184" spans="9:9" x14ac:dyDescent="0.3">
      <c r="I184" s="2"/>
    </row>
    <row r="185" spans="9:9" x14ac:dyDescent="0.3">
      <c r="I185" s="2"/>
    </row>
    <row r="186" spans="9:9" x14ac:dyDescent="0.3">
      <c r="I186" s="2"/>
    </row>
    <row r="187" spans="9:9" x14ac:dyDescent="0.3">
      <c r="I187" s="2"/>
    </row>
    <row r="188" spans="9:9" x14ac:dyDescent="0.3">
      <c r="I188" s="2"/>
    </row>
    <row r="189" spans="9:9" x14ac:dyDescent="0.3">
      <c r="I189" s="2"/>
    </row>
    <row r="190" spans="9:9" x14ac:dyDescent="0.3">
      <c r="I190" s="2"/>
    </row>
    <row r="191" spans="9:9" x14ac:dyDescent="0.3">
      <c r="I191" s="2"/>
    </row>
    <row r="192" spans="9:9" x14ac:dyDescent="0.3">
      <c r="I192" s="2"/>
    </row>
    <row r="193" spans="9:9" x14ac:dyDescent="0.3">
      <c r="I193" s="2"/>
    </row>
    <row r="194" spans="9:9" x14ac:dyDescent="0.3">
      <c r="I194" s="2"/>
    </row>
    <row r="195" spans="9:9" x14ac:dyDescent="0.3">
      <c r="I195" s="2"/>
    </row>
    <row r="196" spans="9:9" x14ac:dyDescent="0.3">
      <c r="I196" s="2"/>
    </row>
    <row r="197" spans="9:9" x14ac:dyDescent="0.3">
      <c r="I197" s="2"/>
    </row>
    <row r="198" spans="9:9" x14ac:dyDescent="0.3">
      <c r="I198" s="2"/>
    </row>
    <row r="199" spans="9:9" x14ac:dyDescent="0.3">
      <c r="I199" s="2"/>
    </row>
    <row r="200" spans="9:9" x14ac:dyDescent="0.3">
      <c r="I200" s="2"/>
    </row>
    <row r="201" spans="9:9" x14ac:dyDescent="0.3">
      <c r="I201" s="2"/>
    </row>
    <row r="202" spans="9:9" x14ac:dyDescent="0.3">
      <c r="I202" s="2"/>
    </row>
    <row r="203" spans="9:9" x14ac:dyDescent="0.3">
      <c r="I203" s="2"/>
    </row>
    <row r="204" spans="9:9" x14ac:dyDescent="0.3">
      <c r="I204" s="2"/>
    </row>
    <row r="205" spans="9:9" x14ac:dyDescent="0.3">
      <c r="I205" s="2"/>
    </row>
    <row r="206" spans="9:9" x14ac:dyDescent="0.3">
      <c r="I206" s="2"/>
    </row>
    <row r="207" spans="9:9" x14ac:dyDescent="0.3">
      <c r="I207" s="2"/>
    </row>
    <row r="208" spans="9:9" x14ac:dyDescent="0.3">
      <c r="I208" s="2"/>
    </row>
    <row r="209" spans="9:9" x14ac:dyDescent="0.3">
      <c r="I209" s="2"/>
    </row>
    <row r="210" spans="9:9" x14ac:dyDescent="0.3">
      <c r="I210" s="2"/>
    </row>
    <row r="211" spans="9:9" x14ac:dyDescent="0.3">
      <c r="I211" s="2"/>
    </row>
    <row r="212" spans="9:9" x14ac:dyDescent="0.3">
      <c r="I212" s="2"/>
    </row>
    <row r="213" spans="9:9" x14ac:dyDescent="0.3">
      <c r="I213" s="2"/>
    </row>
    <row r="214" spans="9:9" x14ac:dyDescent="0.3">
      <c r="I214" s="2"/>
    </row>
    <row r="215" spans="9:9" x14ac:dyDescent="0.3">
      <c r="I215" s="2"/>
    </row>
    <row r="216" spans="9:9" x14ac:dyDescent="0.3">
      <c r="I216" s="2"/>
    </row>
    <row r="217" spans="9:9" x14ac:dyDescent="0.3">
      <c r="I217" s="2"/>
    </row>
    <row r="218" spans="9:9" x14ac:dyDescent="0.3">
      <c r="I218" s="2"/>
    </row>
    <row r="219" spans="9:9" x14ac:dyDescent="0.3">
      <c r="I219" s="2"/>
    </row>
    <row r="220" spans="9:9" x14ac:dyDescent="0.3">
      <c r="I220" s="2"/>
    </row>
    <row r="221" spans="9:9" x14ac:dyDescent="0.3">
      <c r="I221" s="2"/>
    </row>
    <row r="222" spans="9:9" x14ac:dyDescent="0.3">
      <c r="I222" s="2"/>
    </row>
    <row r="223" spans="9:9" x14ac:dyDescent="0.3">
      <c r="I223" s="2"/>
    </row>
    <row r="224" spans="9:9" x14ac:dyDescent="0.3">
      <c r="I224" s="2"/>
    </row>
    <row r="225" spans="9:9" x14ac:dyDescent="0.3">
      <c r="I225" s="2"/>
    </row>
    <row r="226" spans="9:9" x14ac:dyDescent="0.3">
      <c r="I226" s="2"/>
    </row>
    <row r="227" spans="9:9" x14ac:dyDescent="0.3">
      <c r="I227" s="2"/>
    </row>
    <row r="228" spans="9:9" x14ac:dyDescent="0.3">
      <c r="I228" s="2"/>
    </row>
    <row r="229" spans="9:9" x14ac:dyDescent="0.3">
      <c r="I229" s="2"/>
    </row>
    <row r="230" spans="9:9" x14ac:dyDescent="0.3">
      <c r="I230" s="2"/>
    </row>
    <row r="231" spans="9:9" x14ac:dyDescent="0.3">
      <c r="I231" s="2"/>
    </row>
    <row r="232" spans="9:9" x14ac:dyDescent="0.3">
      <c r="I232" s="2"/>
    </row>
    <row r="233" spans="9:9" x14ac:dyDescent="0.3">
      <c r="I233" s="2"/>
    </row>
    <row r="234" spans="9:9" x14ac:dyDescent="0.3">
      <c r="I234" s="2"/>
    </row>
    <row r="235" spans="9:9" x14ac:dyDescent="0.3">
      <c r="I235" s="2"/>
    </row>
    <row r="236" spans="9:9" x14ac:dyDescent="0.3">
      <c r="I236" s="2"/>
    </row>
    <row r="237" spans="9:9" x14ac:dyDescent="0.3">
      <c r="I237" s="2"/>
    </row>
    <row r="238" spans="9:9" x14ac:dyDescent="0.3">
      <c r="I238" s="2"/>
    </row>
    <row r="239" spans="9:9" x14ac:dyDescent="0.3">
      <c r="I239" s="2"/>
    </row>
    <row r="240" spans="9:9" x14ac:dyDescent="0.3">
      <c r="I240" s="2"/>
    </row>
    <row r="241" spans="9:9" x14ac:dyDescent="0.3">
      <c r="I241" s="2"/>
    </row>
    <row r="242" spans="9:9" x14ac:dyDescent="0.3">
      <c r="I242" s="2"/>
    </row>
    <row r="243" spans="9:9" x14ac:dyDescent="0.3">
      <c r="I243" s="2"/>
    </row>
    <row r="244" spans="9:9" x14ac:dyDescent="0.3">
      <c r="I244" s="2"/>
    </row>
    <row r="245" spans="9:9" x14ac:dyDescent="0.3">
      <c r="I245" s="2"/>
    </row>
    <row r="246" spans="9:9" x14ac:dyDescent="0.3">
      <c r="I246" s="2"/>
    </row>
    <row r="247" spans="9:9" x14ac:dyDescent="0.3">
      <c r="I247" s="2"/>
    </row>
    <row r="248" spans="9:9" x14ac:dyDescent="0.3">
      <c r="I248" s="2"/>
    </row>
    <row r="249" spans="9:9" x14ac:dyDescent="0.3">
      <c r="I249" s="2"/>
    </row>
    <row r="250" spans="9:9" x14ac:dyDescent="0.3">
      <c r="I250" s="2"/>
    </row>
    <row r="251" spans="9:9" x14ac:dyDescent="0.3">
      <c r="I251" s="2"/>
    </row>
    <row r="252" spans="9:9" x14ac:dyDescent="0.3">
      <c r="I252" s="2"/>
    </row>
    <row r="253" spans="9:9" x14ac:dyDescent="0.3">
      <c r="I253" s="2"/>
    </row>
    <row r="254" spans="9:9" x14ac:dyDescent="0.3">
      <c r="I254" s="2"/>
    </row>
    <row r="255" spans="9:9" x14ac:dyDescent="0.3">
      <c r="I255" s="2"/>
    </row>
    <row r="256" spans="9:9" x14ac:dyDescent="0.3">
      <c r="I256" s="2"/>
    </row>
    <row r="257" spans="9:9" x14ac:dyDescent="0.3">
      <c r="I257" s="2"/>
    </row>
    <row r="258" spans="9:9" x14ac:dyDescent="0.3">
      <c r="I258" s="2"/>
    </row>
    <row r="259" spans="9:9" x14ac:dyDescent="0.3">
      <c r="I259" s="2"/>
    </row>
    <row r="260" spans="9:9" x14ac:dyDescent="0.3">
      <c r="I260" s="2"/>
    </row>
    <row r="261" spans="9:9" x14ac:dyDescent="0.3">
      <c r="I261" s="2"/>
    </row>
    <row r="262" spans="9:9" x14ac:dyDescent="0.3">
      <c r="I262" s="2"/>
    </row>
    <row r="263" spans="9:9" x14ac:dyDescent="0.3">
      <c r="I263" s="2"/>
    </row>
    <row r="264" spans="9:9" x14ac:dyDescent="0.3">
      <c r="I264" s="2"/>
    </row>
    <row r="265" spans="9:9" x14ac:dyDescent="0.3">
      <c r="I265" s="2"/>
    </row>
    <row r="266" spans="9:9" x14ac:dyDescent="0.3">
      <c r="I266" s="2"/>
    </row>
    <row r="267" spans="9:9" x14ac:dyDescent="0.3">
      <c r="I267" s="2"/>
    </row>
    <row r="268" spans="9:9" x14ac:dyDescent="0.3">
      <c r="I268" s="2"/>
    </row>
    <row r="269" spans="9:9" x14ac:dyDescent="0.3">
      <c r="I269" s="2"/>
    </row>
    <row r="270" spans="9:9" x14ac:dyDescent="0.3">
      <c r="I270" s="2"/>
    </row>
    <row r="271" spans="9:9" x14ac:dyDescent="0.3">
      <c r="I271" s="2"/>
    </row>
    <row r="272" spans="9:9" x14ac:dyDescent="0.3">
      <c r="I272" s="2"/>
    </row>
    <row r="273" spans="9:9" x14ac:dyDescent="0.3">
      <c r="I273" s="2"/>
    </row>
    <row r="274" spans="9:9" x14ac:dyDescent="0.3">
      <c r="I274" s="2"/>
    </row>
    <row r="275" spans="9:9" x14ac:dyDescent="0.3">
      <c r="I275" s="2"/>
    </row>
    <row r="276" spans="9:9" x14ac:dyDescent="0.3">
      <c r="I276" s="2"/>
    </row>
    <row r="277" spans="9:9" x14ac:dyDescent="0.3">
      <c r="I277" s="2"/>
    </row>
    <row r="278" spans="9:9" x14ac:dyDescent="0.3">
      <c r="I278" s="2"/>
    </row>
    <row r="279" spans="9:9" x14ac:dyDescent="0.3">
      <c r="I279" s="2"/>
    </row>
    <row r="280" spans="9:9" x14ac:dyDescent="0.3">
      <c r="I280" s="2"/>
    </row>
    <row r="281" spans="9:9" x14ac:dyDescent="0.3">
      <c r="I281" s="2"/>
    </row>
    <row r="282" spans="9:9" x14ac:dyDescent="0.3">
      <c r="I282" s="2"/>
    </row>
  </sheetData>
  <mergeCells count="21">
    <mergeCell ref="I4:K4"/>
    <mergeCell ref="L4:N4"/>
    <mergeCell ref="I5:N5"/>
    <mergeCell ref="I3:N3"/>
    <mergeCell ref="I8:K8"/>
    <mergeCell ref="L8:N8"/>
    <mergeCell ref="I7:N7"/>
    <mergeCell ref="I6:J6"/>
    <mergeCell ref="K6:L6"/>
    <mergeCell ref="M6:N6"/>
    <mergeCell ref="I9:K9"/>
    <mergeCell ref="L9:N9"/>
    <mergeCell ref="I10:N10"/>
    <mergeCell ref="I11:K11"/>
    <mergeCell ref="L11:N11"/>
    <mergeCell ref="I12:K12"/>
    <mergeCell ref="I13:K13"/>
    <mergeCell ref="L13:N13"/>
    <mergeCell ref="L12:N12"/>
    <mergeCell ref="I14:K14"/>
    <mergeCell ref="L14:N1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882D-2D64-44E4-9782-3758A20E6109}">
  <dimension ref="A1:S101"/>
  <sheetViews>
    <sheetView workbookViewId="0">
      <selection activeCell="O14" sqref="O14"/>
    </sheetView>
  </sheetViews>
  <sheetFormatPr defaultRowHeight="14.4" x14ac:dyDescent="0.3"/>
  <cols>
    <col min="1" max="1" width="9.6640625" style="1" customWidth="1"/>
    <col min="2" max="2" width="11.33203125" style="1" customWidth="1"/>
    <col min="3" max="3" width="24.21875" style="1" customWidth="1"/>
    <col min="4" max="4" width="25.44140625" style="1" customWidth="1"/>
    <col min="5" max="5" width="22.6640625" style="1" customWidth="1"/>
    <col min="6" max="6" width="21.21875" style="1" customWidth="1"/>
    <col min="7" max="7" width="10.21875" style="1" customWidth="1"/>
    <col min="10" max="10" width="12.5546875" customWidth="1"/>
  </cols>
  <sheetData>
    <row r="1" spans="1:19" x14ac:dyDescent="0.3">
      <c r="A1" s="7" t="s">
        <v>104</v>
      </c>
      <c r="B1" s="7" t="s">
        <v>112</v>
      </c>
      <c r="C1" s="7" t="s">
        <v>106</v>
      </c>
      <c r="D1" s="7" t="s">
        <v>107</v>
      </c>
      <c r="E1" s="7" t="s">
        <v>115</v>
      </c>
      <c r="F1" s="7" t="s">
        <v>114</v>
      </c>
      <c r="G1" s="8" t="s">
        <v>113</v>
      </c>
      <c r="J1" s="15" t="s">
        <v>144</v>
      </c>
      <c r="K1" s="15">
        <v>1</v>
      </c>
      <c r="L1" s="15">
        <v>2</v>
      </c>
      <c r="M1" s="15">
        <v>3</v>
      </c>
      <c r="O1" s="15" t="s">
        <v>143</v>
      </c>
      <c r="P1" s="15" t="s">
        <v>145</v>
      </c>
      <c r="Q1" s="15" t="s">
        <v>146</v>
      </c>
      <c r="R1" s="15" t="s">
        <v>147</v>
      </c>
      <c r="S1" s="15" t="s">
        <v>148</v>
      </c>
    </row>
    <row r="2" spans="1:19" x14ac:dyDescent="0.3">
      <c r="A2" s="3">
        <v>2</v>
      </c>
      <c r="B2" s="3">
        <v>1</v>
      </c>
      <c r="C2" s="3">
        <v>1</v>
      </c>
      <c r="D2" s="3">
        <v>1</v>
      </c>
      <c r="E2" s="4">
        <v>2</v>
      </c>
      <c r="F2" s="3">
        <v>600</v>
      </c>
      <c r="G2" s="6">
        <v>4</v>
      </c>
      <c r="J2" s="4" t="s">
        <v>104</v>
      </c>
      <c r="K2" s="4">
        <v>2</v>
      </c>
      <c r="L2" s="4">
        <v>2</v>
      </c>
      <c r="M2" s="4">
        <v>2</v>
      </c>
      <c r="O2" s="4">
        <v>1</v>
      </c>
      <c r="P2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0</v>
      </c>
      <c r="Q2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4.358898943540674</v>
      </c>
      <c r="R2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400.03124877939223</v>
      </c>
      <c r="S2" s="5">
        <f>IF(MIN(P2,Q2,R2) = P2, 1, IF(MIN(P2,Q2,R2) = Q2, 2,3))</f>
        <v>1</v>
      </c>
    </row>
    <row r="3" spans="1:19" x14ac:dyDescent="0.3">
      <c r="A3" s="3">
        <v>1</v>
      </c>
      <c r="B3" s="3">
        <v>1</v>
      </c>
      <c r="C3" s="3">
        <v>1</v>
      </c>
      <c r="D3" s="3">
        <v>1</v>
      </c>
      <c r="E3" s="4">
        <v>2</v>
      </c>
      <c r="F3" s="3">
        <v>200</v>
      </c>
      <c r="G3" s="6">
        <v>1</v>
      </c>
      <c r="J3" s="4" t="s">
        <v>112</v>
      </c>
      <c r="K3" s="4">
        <v>1</v>
      </c>
      <c r="L3" s="4">
        <v>2</v>
      </c>
      <c r="M3" s="4">
        <v>3</v>
      </c>
      <c r="O3" s="4">
        <v>2</v>
      </c>
      <c r="P3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400.01249980469362</v>
      </c>
      <c r="Q3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400.01374976367998</v>
      </c>
      <c r="R3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800.02187470093588</v>
      </c>
      <c r="S3" s="5">
        <f>IF(MIN(P3,Q3,R3) = P3, 1, IF(MIN(P3,Q3,R3) = Q3, 2,3))</f>
        <v>1</v>
      </c>
    </row>
    <row r="4" spans="1:19" x14ac:dyDescent="0.3">
      <c r="A4" s="3">
        <v>2</v>
      </c>
      <c r="B4" s="3">
        <v>1</v>
      </c>
      <c r="C4" s="3">
        <v>15</v>
      </c>
      <c r="D4" s="3">
        <v>1</v>
      </c>
      <c r="E4" s="4">
        <v>2</v>
      </c>
      <c r="F4" s="3">
        <v>200</v>
      </c>
      <c r="G4" s="6">
        <v>4</v>
      </c>
      <c r="J4" s="4" t="s">
        <v>140</v>
      </c>
      <c r="K4" s="4">
        <v>1</v>
      </c>
      <c r="L4" s="4">
        <v>1</v>
      </c>
      <c r="M4" s="4">
        <v>3</v>
      </c>
      <c r="O4" s="4">
        <v>3</v>
      </c>
      <c r="P4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400.24492501467148</v>
      </c>
      <c r="Q4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400.26865977740499</v>
      </c>
      <c r="R4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800.10311835412813</v>
      </c>
      <c r="S4" s="5">
        <f>IF(MIN(P4,Q4,R4) = P4, 1, IF(MIN(P4,Q4,R4) = Q4, 2,3))</f>
        <v>1</v>
      </c>
    </row>
    <row r="5" spans="1:19" x14ac:dyDescent="0.3">
      <c r="A5" s="3">
        <v>2</v>
      </c>
      <c r="B5" s="3">
        <v>1</v>
      </c>
      <c r="C5" s="3">
        <v>2</v>
      </c>
      <c r="D5" s="3">
        <v>2</v>
      </c>
      <c r="E5" s="4">
        <v>3</v>
      </c>
      <c r="F5" s="3">
        <v>500</v>
      </c>
      <c r="G5" s="6">
        <v>1</v>
      </c>
      <c r="J5" s="4" t="s">
        <v>139</v>
      </c>
      <c r="K5" s="4">
        <v>1</v>
      </c>
      <c r="L5" s="4">
        <v>1</v>
      </c>
      <c r="M5" s="4">
        <v>5</v>
      </c>
      <c r="O5" s="4">
        <v>4</v>
      </c>
      <c r="P5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100.05998201079191</v>
      </c>
      <c r="Q5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100.03499387714281</v>
      </c>
      <c r="R5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500.02699927103936</v>
      </c>
      <c r="S5" s="5">
        <f t="shared" ref="S5:S68" si="0">IF(MIN(P5,Q5,R5) = P5, 1, IF(MIN(P5,Q5,R5) = Q5, 2,3))</f>
        <v>2</v>
      </c>
    </row>
    <row r="6" spans="1:19" x14ac:dyDescent="0.3">
      <c r="A6" s="3">
        <v>1</v>
      </c>
      <c r="B6" s="3">
        <v>1</v>
      </c>
      <c r="C6" s="3">
        <v>3</v>
      </c>
      <c r="D6" s="3">
        <v>1</v>
      </c>
      <c r="E6" s="4">
        <v>3</v>
      </c>
      <c r="F6" s="3">
        <v>800</v>
      </c>
      <c r="G6" s="6">
        <v>4</v>
      </c>
      <c r="J6" s="4" t="s">
        <v>141</v>
      </c>
      <c r="K6" s="4">
        <v>2</v>
      </c>
      <c r="L6" s="4">
        <v>5</v>
      </c>
      <c r="M6" s="4">
        <v>1</v>
      </c>
      <c r="O6" s="4">
        <v>5</v>
      </c>
      <c r="P6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200.01499943754217</v>
      </c>
      <c r="Q6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200.04749436071424</v>
      </c>
      <c r="R6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200.06249023742558</v>
      </c>
      <c r="S6" s="5">
        <f t="shared" si="0"/>
        <v>1</v>
      </c>
    </row>
    <row r="7" spans="1:19" x14ac:dyDescent="0.3">
      <c r="A7" s="3">
        <v>2</v>
      </c>
      <c r="B7" s="3">
        <v>1</v>
      </c>
      <c r="C7" s="3">
        <v>1</v>
      </c>
      <c r="D7" s="3">
        <v>1</v>
      </c>
      <c r="E7" s="4">
        <v>3</v>
      </c>
      <c r="F7" s="3">
        <v>700</v>
      </c>
      <c r="G7" s="6">
        <v>2</v>
      </c>
      <c r="J7" s="4" t="s">
        <v>142</v>
      </c>
      <c r="K7" s="4">
        <v>600</v>
      </c>
      <c r="L7" s="4">
        <v>600</v>
      </c>
      <c r="M7" s="4">
        <v>1000</v>
      </c>
      <c r="O7" s="4">
        <v>6</v>
      </c>
      <c r="P7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100.024996875781</v>
      </c>
      <c r="Q7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100.02999550134949</v>
      </c>
      <c r="R7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300.0533285934352</v>
      </c>
      <c r="S7" s="5">
        <f t="shared" si="0"/>
        <v>1</v>
      </c>
    </row>
    <row r="8" spans="1:19" x14ac:dyDescent="0.3">
      <c r="A8" s="3">
        <v>1</v>
      </c>
      <c r="B8" s="3">
        <v>1</v>
      </c>
      <c r="C8" s="3">
        <v>1</v>
      </c>
      <c r="D8" s="3">
        <v>1</v>
      </c>
      <c r="E8" s="4">
        <v>3</v>
      </c>
      <c r="F8" s="3">
        <v>500</v>
      </c>
      <c r="G8" s="6">
        <v>4</v>
      </c>
      <c r="J8" s="4" t="s">
        <v>113</v>
      </c>
      <c r="K8" s="4">
        <v>4</v>
      </c>
      <c r="L8" s="4">
        <v>1</v>
      </c>
      <c r="M8" s="4">
        <v>4</v>
      </c>
      <c r="O8" s="4">
        <v>7</v>
      </c>
      <c r="P8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100.00999950005</v>
      </c>
      <c r="Q8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100.07497189607399</v>
      </c>
      <c r="R8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500.02899915904879</v>
      </c>
      <c r="S8" s="5">
        <f t="shared" si="0"/>
        <v>1</v>
      </c>
    </row>
    <row r="9" spans="1:19" x14ac:dyDescent="0.3">
      <c r="A9" s="3">
        <v>2</v>
      </c>
      <c r="B9" s="3">
        <v>1</v>
      </c>
      <c r="C9" s="3">
        <v>5</v>
      </c>
      <c r="D9" s="3">
        <v>1</v>
      </c>
      <c r="E9" s="4">
        <v>2</v>
      </c>
      <c r="F9" s="3">
        <v>200</v>
      </c>
      <c r="G9" s="6">
        <v>4</v>
      </c>
      <c r="O9" s="4">
        <v>8</v>
      </c>
      <c r="P9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400.01999950002499</v>
      </c>
      <c r="Q9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400.04374760768354</v>
      </c>
      <c r="R9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800.0156248474151</v>
      </c>
      <c r="S9" s="5">
        <f t="shared" si="0"/>
        <v>1</v>
      </c>
    </row>
    <row r="10" spans="1:19" x14ac:dyDescent="0.3">
      <c r="A10" s="3">
        <v>2</v>
      </c>
      <c r="B10" s="3">
        <v>1</v>
      </c>
      <c r="C10" s="3">
        <v>1</v>
      </c>
      <c r="D10" s="3">
        <v>3</v>
      </c>
      <c r="E10" s="4">
        <v>2</v>
      </c>
      <c r="F10" s="3">
        <v>100</v>
      </c>
      <c r="G10" s="6">
        <v>4</v>
      </c>
      <c r="J10" s="36" t="s">
        <v>163</v>
      </c>
      <c r="K10" s="36"/>
      <c r="L10" s="36"/>
      <c r="M10" s="36"/>
      <c r="O10" s="4">
        <v>9</v>
      </c>
      <c r="P10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500.00399998400013</v>
      </c>
      <c r="Q10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500.02299947102432</v>
      </c>
      <c r="R10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900.00722219324439</v>
      </c>
      <c r="S10" s="5">
        <f t="shared" si="0"/>
        <v>1</v>
      </c>
    </row>
    <row r="11" spans="1:19" x14ac:dyDescent="0.3">
      <c r="A11" s="3">
        <v>2</v>
      </c>
      <c r="B11" s="3">
        <v>1</v>
      </c>
      <c r="C11" s="3">
        <v>8</v>
      </c>
      <c r="D11" s="3">
        <v>1</v>
      </c>
      <c r="E11" s="4">
        <v>2</v>
      </c>
      <c r="F11" s="3">
        <v>600</v>
      </c>
      <c r="G11" s="6">
        <v>4</v>
      </c>
      <c r="J11" s="31" t="s">
        <v>149</v>
      </c>
      <c r="K11" s="31"/>
      <c r="L11" s="31"/>
      <c r="M11" s="31"/>
      <c r="O11" s="4">
        <v>10</v>
      </c>
      <c r="P11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7</v>
      </c>
      <c r="Q11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8.2462112512353212</v>
      </c>
      <c r="R11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400.05749586778148</v>
      </c>
      <c r="S11" s="5">
        <f t="shared" si="0"/>
        <v>1</v>
      </c>
    </row>
    <row r="12" spans="1:19" x14ac:dyDescent="0.3">
      <c r="A12" s="3">
        <v>1</v>
      </c>
      <c r="B12" s="3">
        <v>1</v>
      </c>
      <c r="C12" s="3">
        <v>3</v>
      </c>
      <c r="D12" s="3">
        <v>1</v>
      </c>
      <c r="E12" s="4">
        <v>1</v>
      </c>
      <c r="F12" s="3">
        <v>100</v>
      </c>
      <c r="G12" s="6">
        <v>4</v>
      </c>
      <c r="J12" s="31"/>
      <c r="K12" s="31"/>
      <c r="L12" s="31"/>
      <c r="M12" s="31"/>
      <c r="O12" s="4">
        <v>11</v>
      </c>
      <c r="P12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500.00599996400041</v>
      </c>
      <c r="Q12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500.03099903905957</v>
      </c>
      <c r="R12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900.01166659105036</v>
      </c>
      <c r="S12" s="5">
        <f t="shared" si="0"/>
        <v>1</v>
      </c>
    </row>
    <row r="13" spans="1:19" x14ac:dyDescent="0.3">
      <c r="A13" s="3">
        <v>2</v>
      </c>
      <c r="B13" s="3">
        <v>1</v>
      </c>
      <c r="C13" s="3">
        <v>1</v>
      </c>
      <c r="D13" s="3">
        <v>1</v>
      </c>
      <c r="E13" s="4">
        <v>1</v>
      </c>
      <c r="F13" s="3">
        <v>400</v>
      </c>
      <c r="G13" s="6">
        <v>4</v>
      </c>
      <c r="O13" s="4">
        <v>12</v>
      </c>
      <c r="P13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200.00249998437519</v>
      </c>
      <c r="Q13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200.06498944093141</v>
      </c>
      <c r="R13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600.01999966667779</v>
      </c>
      <c r="S13" s="5">
        <f t="shared" si="0"/>
        <v>1</v>
      </c>
    </row>
    <row r="14" spans="1:19" x14ac:dyDescent="0.3">
      <c r="A14" s="3">
        <v>2</v>
      </c>
      <c r="B14" s="3">
        <v>1</v>
      </c>
      <c r="C14" s="3">
        <v>4</v>
      </c>
      <c r="D14" s="3">
        <v>1</v>
      </c>
      <c r="E14" s="4">
        <v>3</v>
      </c>
      <c r="F14" s="3">
        <v>600</v>
      </c>
      <c r="G14" s="6">
        <v>3</v>
      </c>
      <c r="O14" s="4">
        <v>13</v>
      </c>
      <c r="P14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3.3166247903553998</v>
      </c>
      <c r="Q14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4.2426406871192848</v>
      </c>
      <c r="R14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400.03249867979474</v>
      </c>
      <c r="S14" s="5">
        <f t="shared" si="0"/>
        <v>1</v>
      </c>
    </row>
    <row r="15" spans="1:19" x14ac:dyDescent="0.3">
      <c r="A15" s="3">
        <v>2</v>
      </c>
      <c r="B15" s="3">
        <v>1</v>
      </c>
      <c r="C15" s="3">
        <v>1</v>
      </c>
      <c r="D15" s="3">
        <v>4</v>
      </c>
      <c r="E15" s="4">
        <v>3</v>
      </c>
      <c r="F15" s="3">
        <v>500</v>
      </c>
      <c r="G15" s="6">
        <v>3</v>
      </c>
      <c r="J15" s="14"/>
      <c r="K15" s="14"/>
      <c r="L15" s="14"/>
      <c r="M15" s="14"/>
      <c r="N15" s="1"/>
      <c r="O15" s="4">
        <v>14</v>
      </c>
      <c r="P15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100.05498488331304</v>
      </c>
      <c r="Q15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100.08995953640904</v>
      </c>
      <c r="R15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500.01399980400549</v>
      </c>
      <c r="S15" s="5">
        <f t="shared" si="0"/>
        <v>1</v>
      </c>
    </row>
    <row r="16" spans="1:19" x14ac:dyDescent="0.3">
      <c r="A16" s="3">
        <v>1</v>
      </c>
      <c r="B16" s="3">
        <v>1</v>
      </c>
      <c r="C16" s="3">
        <v>10</v>
      </c>
      <c r="D16" s="3">
        <v>5</v>
      </c>
      <c r="E16" s="4">
        <v>3</v>
      </c>
      <c r="F16" s="3">
        <v>1000</v>
      </c>
      <c r="G16" s="6">
        <v>4</v>
      </c>
      <c r="O16" s="4">
        <v>15</v>
      </c>
      <c r="P16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400.12373086334185</v>
      </c>
      <c r="Q16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400.13997550857124</v>
      </c>
      <c r="R16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7.6157731058639087</v>
      </c>
      <c r="S16" s="5">
        <f t="shared" si="0"/>
        <v>3</v>
      </c>
    </row>
    <row r="17" spans="1:19" x14ac:dyDescent="0.3">
      <c r="A17" s="3">
        <v>2</v>
      </c>
      <c r="B17" s="3">
        <v>1</v>
      </c>
      <c r="C17" s="3">
        <v>1</v>
      </c>
      <c r="D17" s="3">
        <v>1</v>
      </c>
      <c r="E17" s="4">
        <v>3</v>
      </c>
      <c r="F17" s="3">
        <v>200</v>
      </c>
      <c r="G17" s="6">
        <v>4</v>
      </c>
      <c r="O17" s="4">
        <v>16</v>
      </c>
      <c r="P17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400.00124999804689</v>
      </c>
      <c r="Q17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400.01749961720424</v>
      </c>
      <c r="R17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800.0174998085979</v>
      </c>
      <c r="S17" s="5">
        <f t="shared" si="0"/>
        <v>1</v>
      </c>
    </row>
    <row r="18" spans="1:19" x14ac:dyDescent="0.3">
      <c r="A18" s="3">
        <v>2</v>
      </c>
      <c r="B18" s="3">
        <v>1</v>
      </c>
      <c r="C18" s="3">
        <v>4</v>
      </c>
      <c r="D18" s="3">
        <v>1</v>
      </c>
      <c r="E18" s="4">
        <v>3</v>
      </c>
      <c r="F18" s="3">
        <v>200</v>
      </c>
      <c r="G18" s="6">
        <v>4</v>
      </c>
      <c r="O18" s="4">
        <v>17</v>
      </c>
      <c r="P18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400.01249980469362</v>
      </c>
      <c r="Q18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400.02874896687115</v>
      </c>
      <c r="R18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800.0156248474151</v>
      </c>
      <c r="S18" s="5">
        <f t="shared" si="0"/>
        <v>1</v>
      </c>
    </row>
    <row r="19" spans="1:19" x14ac:dyDescent="0.3">
      <c r="A19" s="3">
        <v>2</v>
      </c>
      <c r="B19" s="3">
        <v>1</v>
      </c>
      <c r="C19" s="3">
        <v>4</v>
      </c>
      <c r="D19" s="3">
        <v>1</v>
      </c>
      <c r="E19" s="4">
        <v>2</v>
      </c>
      <c r="F19" s="3">
        <v>200</v>
      </c>
      <c r="G19" s="6">
        <v>4</v>
      </c>
      <c r="O19" s="4">
        <v>18</v>
      </c>
      <c r="P19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400.01124984180132</v>
      </c>
      <c r="Q19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400.03499846888394</v>
      </c>
      <c r="R19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800.01374988183795</v>
      </c>
      <c r="S19" s="5">
        <f t="shared" si="0"/>
        <v>1</v>
      </c>
    </row>
    <row r="20" spans="1:19" x14ac:dyDescent="0.3">
      <c r="A20" s="3">
        <v>2</v>
      </c>
      <c r="B20" s="3">
        <v>1</v>
      </c>
      <c r="C20" s="3">
        <v>8</v>
      </c>
      <c r="D20" s="3">
        <v>2</v>
      </c>
      <c r="E20" s="4">
        <v>2</v>
      </c>
      <c r="F20" s="3">
        <v>400</v>
      </c>
      <c r="G20" s="6">
        <v>4</v>
      </c>
      <c r="O20" s="4">
        <v>19</v>
      </c>
      <c r="P20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200.124960961895</v>
      </c>
      <c r="Q20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200.17242567346781</v>
      </c>
      <c r="R20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600.03249911983937</v>
      </c>
      <c r="S20" s="5">
        <f t="shared" si="0"/>
        <v>1</v>
      </c>
    </row>
    <row r="21" spans="1:19" x14ac:dyDescent="0.3">
      <c r="A21" s="3">
        <v>2</v>
      </c>
      <c r="B21" s="3">
        <v>1</v>
      </c>
      <c r="C21" s="3">
        <v>6</v>
      </c>
      <c r="D21" s="3">
        <v>1</v>
      </c>
      <c r="E21" s="4">
        <v>2</v>
      </c>
      <c r="F21" s="3">
        <v>200</v>
      </c>
      <c r="G21" s="6">
        <v>4</v>
      </c>
      <c r="O21" s="4">
        <v>20</v>
      </c>
      <c r="P21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400.03124877939223</v>
      </c>
      <c r="Q21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400.05499621926981</v>
      </c>
      <c r="R21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800.01874978027854</v>
      </c>
      <c r="S21" s="5">
        <f t="shared" si="0"/>
        <v>1</v>
      </c>
    </row>
    <row r="22" spans="1:19" x14ac:dyDescent="0.3">
      <c r="A22" s="3">
        <v>2</v>
      </c>
      <c r="B22" s="3">
        <v>1</v>
      </c>
      <c r="C22" s="3">
        <v>4</v>
      </c>
      <c r="D22" s="3">
        <v>3</v>
      </c>
      <c r="E22" s="4">
        <v>1</v>
      </c>
      <c r="F22" s="3">
        <v>800</v>
      </c>
      <c r="G22" s="6">
        <v>4</v>
      </c>
      <c r="O22" s="4">
        <v>21</v>
      </c>
      <c r="P22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200.03499693803582</v>
      </c>
      <c r="Q22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200.09747624595369</v>
      </c>
      <c r="R22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200.02249873451737</v>
      </c>
      <c r="S22" s="5">
        <f t="shared" si="0"/>
        <v>3</v>
      </c>
    </row>
    <row r="23" spans="1:19" x14ac:dyDescent="0.3">
      <c r="A23" s="3">
        <v>1</v>
      </c>
      <c r="B23" s="3">
        <v>1</v>
      </c>
      <c r="C23" s="3">
        <v>1</v>
      </c>
      <c r="D23" s="3">
        <v>1</v>
      </c>
      <c r="E23" s="4">
        <v>1</v>
      </c>
      <c r="F23" s="3">
        <v>300</v>
      </c>
      <c r="G23" s="6">
        <v>4</v>
      </c>
      <c r="O23" s="4">
        <v>22</v>
      </c>
      <c r="P23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300.00333331481499</v>
      </c>
      <c r="Q23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300.04499662550614</v>
      </c>
      <c r="R23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700.01785691509326</v>
      </c>
      <c r="S23" s="5">
        <f t="shared" si="0"/>
        <v>1</v>
      </c>
    </row>
    <row r="24" spans="1:19" x14ac:dyDescent="0.3">
      <c r="A24" s="3">
        <v>1</v>
      </c>
      <c r="B24" s="3">
        <v>1</v>
      </c>
      <c r="C24" s="3">
        <v>4</v>
      </c>
      <c r="D24" s="3">
        <v>1</v>
      </c>
      <c r="E24" s="4">
        <v>1</v>
      </c>
      <c r="F24" s="3">
        <v>600</v>
      </c>
      <c r="G24" s="6">
        <v>1</v>
      </c>
      <c r="O24" s="4">
        <v>23</v>
      </c>
      <c r="P24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4.4721359549995796</v>
      </c>
      <c r="Q24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5.196152422706632</v>
      </c>
      <c r="R24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400.03874812322869</v>
      </c>
      <c r="S24" s="5">
        <f t="shared" si="0"/>
        <v>1</v>
      </c>
    </row>
    <row r="25" spans="1:19" x14ac:dyDescent="0.3">
      <c r="A25" s="3">
        <v>1</v>
      </c>
      <c r="B25" s="3">
        <v>1</v>
      </c>
      <c r="C25" s="3">
        <v>4</v>
      </c>
      <c r="D25" s="3">
        <v>4</v>
      </c>
      <c r="E25" s="4">
        <v>2</v>
      </c>
      <c r="F25" s="3">
        <v>400</v>
      </c>
      <c r="G25" s="6">
        <v>4</v>
      </c>
      <c r="O25" s="4">
        <v>24</v>
      </c>
      <c r="P25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200.04749436071424</v>
      </c>
      <c r="Q25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200.09497744821084</v>
      </c>
      <c r="R25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600.00666662962999</v>
      </c>
      <c r="S25" s="5">
        <f t="shared" si="0"/>
        <v>1</v>
      </c>
    </row>
    <row r="26" spans="1:19" x14ac:dyDescent="0.3">
      <c r="A26" s="3">
        <v>1</v>
      </c>
      <c r="B26" s="3">
        <v>1</v>
      </c>
      <c r="C26" s="3">
        <v>4</v>
      </c>
      <c r="D26" s="3">
        <v>2</v>
      </c>
      <c r="E26" s="4">
        <v>3</v>
      </c>
      <c r="F26" s="3">
        <v>300</v>
      </c>
      <c r="G26" s="6">
        <v>2</v>
      </c>
      <c r="O26" s="4">
        <v>25</v>
      </c>
      <c r="P26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300.0266654815868</v>
      </c>
      <c r="Q26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300.02833199549673</v>
      </c>
      <c r="R26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700.01642837864881</v>
      </c>
      <c r="S26" s="5">
        <f t="shared" si="0"/>
        <v>1</v>
      </c>
    </row>
    <row r="27" spans="1:19" x14ac:dyDescent="0.3">
      <c r="A27" s="3">
        <v>1</v>
      </c>
      <c r="B27" s="3">
        <v>1</v>
      </c>
      <c r="C27" s="3">
        <v>4</v>
      </c>
      <c r="D27" s="3">
        <v>4</v>
      </c>
      <c r="E27" s="4">
        <v>3</v>
      </c>
      <c r="F27" s="3">
        <v>400</v>
      </c>
      <c r="G27" s="6">
        <v>3</v>
      </c>
      <c r="O27" s="4">
        <v>26</v>
      </c>
      <c r="P27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200.0524931111832</v>
      </c>
      <c r="Q27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200.06998775428562</v>
      </c>
      <c r="R27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600.00999991666811</v>
      </c>
      <c r="S27" s="5">
        <f t="shared" si="0"/>
        <v>1</v>
      </c>
    </row>
    <row r="28" spans="1:19" x14ac:dyDescent="0.3">
      <c r="A28" s="3">
        <v>1</v>
      </c>
      <c r="B28" s="3">
        <v>1</v>
      </c>
      <c r="C28" s="3">
        <v>3</v>
      </c>
      <c r="D28" s="3">
        <v>3</v>
      </c>
      <c r="E28" s="4">
        <v>6</v>
      </c>
      <c r="F28" s="3">
        <v>400</v>
      </c>
      <c r="G28" s="6">
        <v>4</v>
      </c>
      <c r="O28" s="4">
        <v>27</v>
      </c>
      <c r="P28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200.06249023742558</v>
      </c>
      <c r="Q28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200.049993751562</v>
      </c>
      <c r="R28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600.02833266438347</v>
      </c>
      <c r="S28" s="5">
        <f t="shared" si="0"/>
        <v>2</v>
      </c>
    </row>
    <row r="29" spans="1:19" x14ac:dyDescent="0.3">
      <c r="A29" s="3">
        <v>1</v>
      </c>
      <c r="B29" s="3">
        <v>1</v>
      </c>
      <c r="C29" s="3">
        <v>5</v>
      </c>
      <c r="D29" s="3">
        <v>2</v>
      </c>
      <c r="E29" s="4">
        <v>6</v>
      </c>
      <c r="F29" s="3">
        <v>400</v>
      </c>
      <c r="G29" s="6">
        <v>2</v>
      </c>
      <c r="O29" s="4">
        <v>28</v>
      </c>
      <c r="P29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200.09497744821084</v>
      </c>
      <c r="Q29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200.0524931111832</v>
      </c>
      <c r="R29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600.0391653883936</v>
      </c>
      <c r="S29" s="5">
        <f t="shared" si="0"/>
        <v>2</v>
      </c>
    </row>
    <row r="30" spans="1:19" x14ac:dyDescent="0.3">
      <c r="A30" s="3">
        <v>1</v>
      </c>
      <c r="B30" s="3">
        <v>1</v>
      </c>
      <c r="C30" s="3">
        <v>3</v>
      </c>
      <c r="D30" s="3">
        <v>3</v>
      </c>
      <c r="E30" s="4">
        <v>6</v>
      </c>
      <c r="F30" s="3">
        <v>300</v>
      </c>
      <c r="G30" s="6">
        <v>1</v>
      </c>
      <c r="O30" s="4">
        <v>29</v>
      </c>
      <c r="P30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300.05666131582547</v>
      </c>
      <c r="Q30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300.01833277318235</v>
      </c>
      <c r="R30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700.03071361191007</v>
      </c>
      <c r="S30" s="5">
        <f t="shared" si="0"/>
        <v>2</v>
      </c>
    </row>
    <row r="31" spans="1:19" x14ac:dyDescent="0.3">
      <c r="A31" s="3">
        <v>1</v>
      </c>
      <c r="B31" s="3">
        <v>1</v>
      </c>
      <c r="C31" s="3">
        <v>7</v>
      </c>
      <c r="D31" s="3">
        <v>4</v>
      </c>
      <c r="E31" s="4">
        <v>6</v>
      </c>
      <c r="F31" s="3">
        <v>400</v>
      </c>
      <c r="G31" s="6">
        <v>3</v>
      </c>
      <c r="O31" s="4">
        <v>30</v>
      </c>
      <c r="P31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200.15743803316428</v>
      </c>
      <c r="Q31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200.12995777744021</v>
      </c>
      <c r="R31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600.03999866675554</v>
      </c>
      <c r="S31" s="5">
        <f t="shared" si="0"/>
        <v>2</v>
      </c>
    </row>
    <row r="32" spans="1:19" x14ac:dyDescent="0.3">
      <c r="A32" s="3">
        <v>1</v>
      </c>
      <c r="B32" s="3">
        <v>1</v>
      </c>
      <c r="C32" s="3">
        <v>4</v>
      </c>
      <c r="D32" s="3">
        <v>2</v>
      </c>
      <c r="E32" s="4">
        <v>1</v>
      </c>
      <c r="F32" s="3">
        <v>300</v>
      </c>
      <c r="G32" s="6">
        <v>2</v>
      </c>
      <c r="O32" s="4">
        <v>31</v>
      </c>
      <c r="P32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300.0266654815868</v>
      </c>
      <c r="Q32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300.04832944044199</v>
      </c>
      <c r="R32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700.01357129701421</v>
      </c>
      <c r="S32" s="5">
        <f t="shared" si="0"/>
        <v>1</v>
      </c>
    </row>
    <row r="33" spans="1:19" x14ac:dyDescent="0.3">
      <c r="A33" s="3">
        <v>2</v>
      </c>
      <c r="B33" s="3">
        <v>1</v>
      </c>
      <c r="C33" s="3">
        <v>3</v>
      </c>
      <c r="D33" s="3">
        <v>3</v>
      </c>
      <c r="E33" s="4">
        <v>3</v>
      </c>
      <c r="F33" s="3">
        <v>500</v>
      </c>
      <c r="G33" s="6">
        <v>2</v>
      </c>
      <c r="O33" s="4">
        <v>32</v>
      </c>
      <c r="P33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100.06497888872011</v>
      </c>
      <c r="Q33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100.06997551713501</v>
      </c>
      <c r="R33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500.01599974400818</v>
      </c>
      <c r="S33" s="5">
        <f t="shared" si="0"/>
        <v>1</v>
      </c>
    </row>
    <row r="34" spans="1:19" x14ac:dyDescent="0.3">
      <c r="A34" s="3">
        <v>2</v>
      </c>
      <c r="B34" s="3">
        <v>1</v>
      </c>
      <c r="C34" s="3">
        <v>9</v>
      </c>
      <c r="D34" s="3">
        <v>2</v>
      </c>
      <c r="E34" s="4">
        <v>1</v>
      </c>
      <c r="F34" s="3">
        <v>300</v>
      </c>
      <c r="G34" s="6">
        <v>4</v>
      </c>
      <c r="O34" s="4">
        <v>33</v>
      </c>
      <c r="P34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300.10997984072441</v>
      </c>
      <c r="Q34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300.15162834807342</v>
      </c>
      <c r="R34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700.03499912504378</v>
      </c>
      <c r="S34" s="5">
        <f t="shared" si="0"/>
        <v>1</v>
      </c>
    </row>
    <row r="35" spans="1:19" x14ac:dyDescent="0.3">
      <c r="A35" s="3">
        <v>2</v>
      </c>
      <c r="B35" s="3">
        <v>2</v>
      </c>
      <c r="C35" s="3">
        <v>3</v>
      </c>
      <c r="D35" s="3">
        <v>4</v>
      </c>
      <c r="E35" s="4">
        <v>1</v>
      </c>
      <c r="F35" s="3">
        <v>500</v>
      </c>
      <c r="G35" s="6">
        <v>2</v>
      </c>
      <c r="O35" s="4">
        <v>34</v>
      </c>
      <c r="P35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100.09495491781792</v>
      </c>
      <c r="Q35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100.14988766843426</v>
      </c>
      <c r="R35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500.00599996400041</v>
      </c>
      <c r="S35" s="5">
        <f t="shared" si="0"/>
        <v>1</v>
      </c>
    </row>
    <row r="36" spans="1:19" x14ac:dyDescent="0.3">
      <c r="A36" s="3">
        <v>2</v>
      </c>
      <c r="B36" s="3">
        <v>2</v>
      </c>
      <c r="C36" s="3">
        <v>8</v>
      </c>
      <c r="D36" s="3">
        <v>2</v>
      </c>
      <c r="E36" s="4">
        <v>1</v>
      </c>
      <c r="F36" s="3">
        <v>900</v>
      </c>
      <c r="G36" s="6">
        <v>2</v>
      </c>
      <c r="O36" s="4">
        <v>35</v>
      </c>
      <c r="P36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300.09331881932991</v>
      </c>
      <c r="Q36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300.11164589199132</v>
      </c>
      <c r="R36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100.19481024484253</v>
      </c>
      <c r="S36" s="5">
        <f t="shared" si="0"/>
        <v>3</v>
      </c>
    </row>
    <row r="37" spans="1:19" x14ac:dyDescent="0.3">
      <c r="A37" s="3">
        <v>2</v>
      </c>
      <c r="B37" s="3">
        <v>2</v>
      </c>
      <c r="C37" s="3">
        <v>8</v>
      </c>
      <c r="D37" s="3">
        <v>4</v>
      </c>
      <c r="E37" s="4">
        <v>1</v>
      </c>
      <c r="F37" s="3">
        <v>300</v>
      </c>
      <c r="G37" s="6">
        <v>4</v>
      </c>
      <c r="O37" s="4">
        <v>36</v>
      </c>
      <c r="P37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300.0999833388866</v>
      </c>
      <c r="Q37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300.13830145451283</v>
      </c>
      <c r="R37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700.01928544862244</v>
      </c>
      <c r="S37" s="5">
        <f t="shared" si="0"/>
        <v>1</v>
      </c>
    </row>
    <row r="38" spans="1:19" x14ac:dyDescent="0.3">
      <c r="A38" s="3">
        <v>2</v>
      </c>
      <c r="B38" s="3">
        <v>2</v>
      </c>
      <c r="C38" s="3">
        <v>10</v>
      </c>
      <c r="D38" s="3">
        <v>5</v>
      </c>
      <c r="E38" s="4">
        <v>5</v>
      </c>
      <c r="F38" s="3">
        <v>800</v>
      </c>
      <c r="G38" s="6">
        <v>2</v>
      </c>
      <c r="O38" s="4">
        <v>37</v>
      </c>
      <c r="P38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200.27730775102805</v>
      </c>
      <c r="Q38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200.24485012104557</v>
      </c>
      <c r="R38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200.17492350441901</v>
      </c>
      <c r="S38" s="5">
        <f t="shared" si="0"/>
        <v>3</v>
      </c>
    </row>
    <row r="39" spans="1:19" x14ac:dyDescent="0.3">
      <c r="A39" s="3">
        <v>2</v>
      </c>
      <c r="B39" s="3">
        <v>2</v>
      </c>
      <c r="C39" s="3">
        <v>1</v>
      </c>
      <c r="D39" s="3">
        <v>1</v>
      </c>
      <c r="E39" s="4">
        <v>5</v>
      </c>
      <c r="F39" s="3">
        <v>600</v>
      </c>
      <c r="G39" s="6">
        <v>1</v>
      </c>
      <c r="O39" s="4">
        <v>38</v>
      </c>
      <c r="P39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4.358898943540674</v>
      </c>
      <c r="Q39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0</v>
      </c>
      <c r="R39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400.05749586778148</v>
      </c>
      <c r="S39" s="5">
        <f t="shared" si="0"/>
        <v>2</v>
      </c>
    </row>
    <row r="40" spans="1:19" x14ac:dyDescent="0.3">
      <c r="A40" s="3">
        <v>1</v>
      </c>
      <c r="B40" s="3">
        <v>2</v>
      </c>
      <c r="C40" s="3">
        <v>3</v>
      </c>
      <c r="D40" s="3">
        <v>3</v>
      </c>
      <c r="E40" s="4">
        <v>5</v>
      </c>
      <c r="F40" s="3">
        <v>500</v>
      </c>
      <c r="G40" s="6">
        <v>2</v>
      </c>
      <c r="O40" s="4">
        <v>39</v>
      </c>
      <c r="P40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100.11493395093461</v>
      </c>
      <c r="Q40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100.0499875062461</v>
      </c>
      <c r="R40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500.02599932403513</v>
      </c>
      <c r="S40" s="5">
        <f t="shared" si="0"/>
        <v>2</v>
      </c>
    </row>
    <row r="41" spans="1:19" x14ac:dyDescent="0.3">
      <c r="A41" s="3">
        <v>2</v>
      </c>
      <c r="B41" s="3">
        <v>2</v>
      </c>
      <c r="C41" s="3">
        <v>3</v>
      </c>
      <c r="D41" s="3">
        <v>1</v>
      </c>
      <c r="E41" s="4">
        <v>5</v>
      </c>
      <c r="F41" s="3">
        <v>200</v>
      </c>
      <c r="G41" s="6">
        <v>3</v>
      </c>
      <c r="O41" s="4">
        <v>40</v>
      </c>
      <c r="P41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400.01874956056747</v>
      </c>
      <c r="Q41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400.00999987500313</v>
      </c>
      <c r="R41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800.02124971778096</v>
      </c>
      <c r="S41" s="5">
        <f t="shared" si="0"/>
        <v>2</v>
      </c>
    </row>
    <row r="42" spans="1:19" x14ac:dyDescent="0.3">
      <c r="A42" s="3">
        <v>2</v>
      </c>
      <c r="B42" s="3">
        <v>2</v>
      </c>
      <c r="C42" s="3">
        <v>4</v>
      </c>
      <c r="D42" s="3">
        <v>4</v>
      </c>
      <c r="E42" s="4">
        <v>5</v>
      </c>
      <c r="F42" s="3">
        <v>500</v>
      </c>
      <c r="G42" s="6">
        <v>2</v>
      </c>
      <c r="O42" s="4">
        <v>41</v>
      </c>
      <c r="P42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100.15987220439132</v>
      </c>
      <c r="Q42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100.09495491781792</v>
      </c>
      <c r="R42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500.02299947102432</v>
      </c>
      <c r="S42" s="5">
        <f t="shared" si="0"/>
        <v>2</v>
      </c>
    </row>
    <row r="43" spans="1:19" x14ac:dyDescent="0.3">
      <c r="A43" s="3">
        <v>2</v>
      </c>
      <c r="B43" s="3">
        <v>2</v>
      </c>
      <c r="C43" s="3">
        <v>8</v>
      </c>
      <c r="D43" s="3">
        <v>2</v>
      </c>
      <c r="E43" s="4">
        <v>5</v>
      </c>
      <c r="F43" s="3">
        <v>200</v>
      </c>
      <c r="G43" s="6">
        <v>4</v>
      </c>
      <c r="O43" s="4">
        <v>42</v>
      </c>
      <c r="P43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400.07499297006802</v>
      </c>
      <c r="Q43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400.07374320242513</v>
      </c>
      <c r="R43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800.03187436501548</v>
      </c>
      <c r="S43" s="5">
        <f t="shared" si="0"/>
        <v>2</v>
      </c>
    </row>
    <row r="44" spans="1:19" x14ac:dyDescent="0.3">
      <c r="A44" s="3">
        <v>1</v>
      </c>
      <c r="B44" s="3">
        <v>2</v>
      </c>
      <c r="C44" s="3">
        <v>3</v>
      </c>
      <c r="D44" s="3">
        <v>3</v>
      </c>
      <c r="E44" s="4">
        <v>5</v>
      </c>
      <c r="F44" s="3">
        <v>400</v>
      </c>
      <c r="G44" s="6">
        <v>4</v>
      </c>
      <c r="O44" s="4">
        <v>43</v>
      </c>
      <c r="P44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200.04749436071424</v>
      </c>
      <c r="Q44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200.04499493863875</v>
      </c>
      <c r="R44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600.01833305324931</v>
      </c>
      <c r="S44" s="5">
        <f t="shared" si="0"/>
        <v>2</v>
      </c>
    </row>
    <row r="45" spans="1:19" x14ac:dyDescent="0.3">
      <c r="A45" s="3">
        <v>1</v>
      </c>
      <c r="B45" s="3">
        <v>2</v>
      </c>
      <c r="C45" s="3">
        <v>5</v>
      </c>
      <c r="D45" s="3">
        <v>5</v>
      </c>
      <c r="E45" s="4">
        <v>5</v>
      </c>
      <c r="F45" s="3">
        <v>500</v>
      </c>
      <c r="G45" s="6">
        <v>3</v>
      </c>
      <c r="O45" s="4">
        <v>44</v>
      </c>
      <c r="P45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100.2197585309404</v>
      </c>
      <c r="Q45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100.18482919085105</v>
      </c>
      <c r="R45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500.02299947102432</v>
      </c>
      <c r="S45" s="5">
        <f t="shared" si="0"/>
        <v>2</v>
      </c>
    </row>
    <row r="46" spans="1:19" x14ac:dyDescent="0.3">
      <c r="A46" s="3">
        <v>1</v>
      </c>
      <c r="B46" s="3">
        <v>2</v>
      </c>
      <c r="C46" s="3">
        <v>3</v>
      </c>
      <c r="D46" s="3">
        <v>4</v>
      </c>
      <c r="E46" s="4">
        <v>5</v>
      </c>
      <c r="F46" s="3">
        <v>500</v>
      </c>
      <c r="G46" s="6">
        <v>4</v>
      </c>
      <c r="O46" s="4">
        <v>45</v>
      </c>
      <c r="P46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100.11992808627062</v>
      </c>
      <c r="Q46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100.11493395093461</v>
      </c>
      <c r="R46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500.01899963901371</v>
      </c>
      <c r="S46" s="5">
        <f t="shared" si="0"/>
        <v>2</v>
      </c>
    </row>
    <row r="47" spans="1:19" x14ac:dyDescent="0.3">
      <c r="A47" s="3">
        <v>1</v>
      </c>
      <c r="B47" s="3">
        <v>2</v>
      </c>
      <c r="C47" s="3">
        <v>5</v>
      </c>
      <c r="D47" s="3">
        <v>3</v>
      </c>
      <c r="E47" s="4">
        <v>5</v>
      </c>
      <c r="F47" s="3">
        <v>300</v>
      </c>
      <c r="G47" s="6">
        <v>3</v>
      </c>
      <c r="O47" s="4">
        <v>46</v>
      </c>
      <c r="P47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300.0533285934352</v>
      </c>
      <c r="Q47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300.04166377354994</v>
      </c>
      <c r="R47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700.01928544862244</v>
      </c>
      <c r="S47" s="5">
        <f t="shared" si="0"/>
        <v>2</v>
      </c>
    </row>
    <row r="48" spans="1:19" x14ac:dyDescent="0.3">
      <c r="A48" s="3">
        <v>1</v>
      </c>
      <c r="B48" s="3">
        <v>2</v>
      </c>
      <c r="C48" s="3">
        <v>2</v>
      </c>
      <c r="D48" s="3">
        <v>4</v>
      </c>
      <c r="E48" s="4">
        <v>5</v>
      </c>
      <c r="F48" s="3">
        <v>400</v>
      </c>
      <c r="G48" s="6">
        <v>3</v>
      </c>
      <c r="O48" s="4">
        <v>47</v>
      </c>
      <c r="P48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200.05499243957897</v>
      </c>
      <c r="Q48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200.03749648503401</v>
      </c>
      <c r="R48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600.01749974479912</v>
      </c>
      <c r="S48" s="5">
        <f t="shared" si="0"/>
        <v>2</v>
      </c>
    </row>
    <row r="49" spans="1:19" x14ac:dyDescent="0.3">
      <c r="A49" s="3">
        <v>1</v>
      </c>
      <c r="B49" s="3">
        <v>2</v>
      </c>
      <c r="C49" s="3">
        <v>3</v>
      </c>
      <c r="D49" s="3">
        <v>4</v>
      </c>
      <c r="E49" s="4">
        <v>5</v>
      </c>
      <c r="F49" s="3">
        <v>300</v>
      </c>
      <c r="G49" s="6">
        <v>4</v>
      </c>
      <c r="O49" s="4">
        <v>48</v>
      </c>
      <c r="P49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300.0399973336888</v>
      </c>
      <c r="Q49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300.03833088457213</v>
      </c>
      <c r="R49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700.01357129701421</v>
      </c>
      <c r="S49" s="5">
        <f t="shared" si="0"/>
        <v>2</v>
      </c>
    </row>
    <row r="50" spans="1:19" x14ac:dyDescent="0.3">
      <c r="A50" s="3">
        <v>1</v>
      </c>
      <c r="B50" s="3">
        <v>2</v>
      </c>
      <c r="C50" s="3">
        <v>2</v>
      </c>
      <c r="D50" s="3">
        <v>3</v>
      </c>
      <c r="E50" s="4">
        <v>5</v>
      </c>
      <c r="F50" s="3">
        <v>400</v>
      </c>
      <c r="G50" s="6">
        <v>1</v>
      </c>
      <c r="O50" s="4">
        <v>49</v>
      </c>
      <c r="P50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200.06249023742558</v>
      </c>
      <c r="Q50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200.01499943754217</v>
      </c>
      <c r="R50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600.02666607410038</v>
      </c>
      <c r="S50" s="5">
        <f t="shared" si="0"/>
        <v>2</v>
      </c>
    </row>
    <row r="51" spans="1:19" x14ac:dyDescent="0.3">
      <c r="A51" s="3">
        <v>1</v>
      </c>
      <c r="B51" s="3">
        <v>2</v>
      </c>
      <c r="C51" s="3">
        <v>2</v>
      </c>
      <c r="D51" s="3">
        <v>2</v>
      </c>
      <c r="E51" s="4">
        <v>5</v>
      </c>
      <c r="F51" s="3">
        <v>400</v>
      </c>
      <c r="G51" s="6">
        <v>2</v>
      </c>
      <c r="O51" s="4">
        <v>50</v>
      </c>
      <c r="P51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200.04249548533431</v>
      </c>
      <c r="Q51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200.0099997500125</v>
      </c>
      <c r="R51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600.02666607410038</v>
      </c>
      <c r="S51" s="5">
        <f t="shared" si="0"/>
        <v>2</v>
      </c>
    </row>
    <row r="52" spans="1:19" x14ac:dyDescent="0.3">
      <c r="A52" s="3">
        <v>1</v>
      </c>
      <c r="B52" s="3">
        <v>2</v>
      </c>
      <c r="C52" s="3">
        <v>8</v>
      </c>
      <c r="D52" s="3">
        <v>2</v>
      </c>
      <c r="E52" s="4">
        <v>5</v>
      </c>
      <c r="F52" s="3">
        <v>200</v>
      </c>
      <c r="G52" s="6">
        <v>3</v>
      </c>
      <c r="O52" s="4">
        <v>51</v>
      </c>
      <c r="P52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400.07749249364178</v>
      </c>
      <c r="Q52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400.06874409281215</v>
      </c>
      <c r="R52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800.0331243142374</v>
      </c>
      <c r="S52" s="5">
        <f t="shared" si="0"/>
        <v>2</v>
      </c>
    </row>
    <row r="53" spans="1:19" x14ac:dyDescent="0.3">
      <c r="A53" s="3">
        <v>1</v>
      </c>
      <c r="B53" s="3">
        <v>2</v>
      </c>
      <c r="C53" s="3">
        <v>4</v>
      </c>
      <c r="D53" s="3">
        <v>5</v>
      </c>
      <c r="E53" s="4">
        <v>5</v>
      </c>
      <c r="F53" s="3">
        <v>700</v>
      </c>
      <c r="G53" s="6">
        <v>4</v>
      </c>
      <c r="O53" s="4">
        <v>52</v>
      </c>
      <c r="P53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100.17983829094555</v>
      </c>
      <c r="Q53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100.174847142384</v>
      </c>
      <c r="R53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300.03166499554675</v>
      </c>
      <c r="S53" s="5">
        <f t="shared" si="0"/>
        <v>2</v>
      </c>
    </row>
    <row r="54" spans="1:19" x14ac:dyDescent="0.3">
      <c r="A54" s="3">
        <v>2</v>
      </c>
      <c r="B54" s="3">
        <v>2</v>
      </c>
      <c r="C54" s="3">
        <v>10</v>
      </c>
      <c r="D54" s="3">
        <v>5</v>
      </c>
      <c r="E54" s="4">
        <v>5</v>
      </c>
      <c r="F54" s="3">
        <v>1000</v>
      </c>
      <c r="G54" s="6">
        <v>4</v>
      </c>
      <c r="O54" s="4">
        <v>53</v>
      </c>
      <c r="P54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400.13372764614581</v>
      </c>
      <c r="Q54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400.13247806195386</v>
      </c>
      <c r="R54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8.1240384046359608</v>
      </c>
      <c r="S54" s="5">
        <f t="shared" si="0"/>
        <v>3</v>
      </c>
    </row>
    <row r="55" spans="1:19" x14ac:dyDescent="0.3">
      <c r="A55" s="3">
        <v>1</v>
      </c>
      <c r="B55" s="3">
        <v>2</v>
      </c>
      <c r="C55" s="3">
        <v>8</v>
      </c>
      <c r="D55" s="3">
        <v>4</v>
      </c>
      <c r="E55" s="4">
        <v>5</v>
      </c>
      <c r="F55" s="3">
        <v>800</v>
      </c>
      <c r="G55" s="6">
        <v>1</v>
      </c>
      <c r="O55" s="4">
        <v>54</v>
      </c>
      <c r="P55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200.19490503007313</v>
      </c>
      <c r="Q55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200.14744564945116</v>
      </c>
      <c r="R55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200.13245613842849</v>
      </c>
      <c r="S55" s="5">
        <f t="shared" si="0"/>
        <v>3</v>
      </c>
    </row>
    <row r="56" spans="1:19" x14ac:dyDescent="0.3">
      <c r="A56" s="3">
        <v>1</v>
      </c>
      <c r="B56" s="3">
        <v>2</v>
      </c>
      <c r="C56" s="3">
        <v>7</v>
      </c>
      <c r="D56" s="3">
        <v>2</v>
      </c>
      <c r="E56" s="4">
        <v>5</v>
      </c>
      <c r="F56" s="3">
        <v>300</v>
      </c>
      <c r="G56" s="6">
        <v>2</v>
      </c>
      <c r="O56" s="4">
        <v>55</v>
      </c>
      <c r="P56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300.0866541517633</v>
      </c>
      <c r="Q56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300.06499295985861</v>
      </c>
      <c r="R56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700.03357062358089</v>
      </c>
      <c r="S56" s="5">
        <f t="shared" si="0"/>
        <v>2</v>
      </c>
    </row>
    <row r="57" spans="1:19" x14ac:dyDescent="0.3">
      <c r="A57" s="3">
        <v>1</v>
      </c>
      <c r="B57" s="3">
        <v>2</v>
      </c>
      <c r="C57" s="3">
        <v>4</v>
      </c>
      <c r="D57" s="3">
        <v>2</v>
      </c>
      <c r="E57" s="4">
        <v>5</v>
      </c>
      <c r="F57" s="3">
        <v>200</v>
      </c>
      <c r="G57" s="6">
        <v>4</v>
      </c>
      <c r="O57" s="4">
        <v>56</v>
      </c>
      <c r="P57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400.02624913872842</v>
      </c>
      <c r="Q57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400.02499921879883</v>
      </c>
      <c r="R57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800.0174998085979</v>
      </c>
      <c r="S57" s="5">
        <f t="shared" si="0"/>
        <v>2</v>
      </c>
    </row>
    <row r="58" spans="1:19" x14ac:dyDescent="0.3">
      <c r="A58" s="3">
        <v>2</v>
      </c>
      <c r="B58" s="3">
        <v>2</v>
      </c>
      <c r="C58" s="3">
        <v>4</v>
      </c>
      <c r="D58" s="3">
        <v>5</v>
      </c>
      <c r="E58" s="4">
        <v>6</v>
      </c>
      <c r="F58" s="3">
        <v>700</v>
      </c>
      <c r="G58" s="6">
        <v>3</v>
      </c>
      <c r="O58" s="4">
        <v>57</v>
      </c>
      <c r="P58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100.21476937058729</v>
      </c>
      <c r="Q58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100.14988766843426</v>
      </c>
      <c r="R58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300.04666303760155</v>
      </c>
      <c r="S58" s="5">
        <f t="shared" si="0"/>
        <v>2</v>
      </c>
    </row>
    <row r="59" spans="1:19" x14ac:dyDescent="0.3">
      <c r="A59" s="3">
        <v>1</v>
      </c>
      <c r="B59" s="3">
        <v>2</v>
      </c>
      <c r="C59" s="3">
        <v>4</v>
      </c>
      <c r="D59" s="3">
        <v>3</v>
      </c>
      <c r="E59" s="4">
        <v>6</v>
      </c>
      <c r="F59" s="3">
        <v>400</v>
      </c>
      <c r="G59" s="6">
        <v>4</v>
      </c>
      <c r="O59" s="4">
        <v>58</v>
      </c>
      <c r="P59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200.07748499019073</v>
      </c>
      <c r="Q59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200.05999100269898</v>
      </c>
      <c r="R59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600.02666607410038</v>
      </c>
      <c r="S59" s="5">
        <f t="shared" si="0"/>
        <v>2</v>
      </c>
    </row>
    <row r="60" spans="1:19" x14ac:dyDescent="0.3">
      <c r="A60" s="3">
        <v>1</v>
      </c>
      <c r="B60" s="3">
        <v>2</v>
      </c>
      <c r="C60" s="3">
        <v>2</v>
      </c>
      <c r="D60" s="3">
        <v>2</v>
      </c>
      <c r="E60" s="4">
        <v>6</v>
      </c>
      <c r="F60" s="3">
        <v>300</v>
      </c>
      <c r="G60" s="6">
        <v>1</v>
      </c>
      <c r="O60" s="4">
        <v>59</v>
      </c>
      <c r="P60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300.04832944044199</v>
      </c>
      <c r="Q60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300.00666659259423</v>
      </c>
      <c r="R60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700.03285637175634</v>
      </c>
      <c r="S60" s="5">
        <f t="shared" si="0"/>
        <v>2</v>
      </c>
    </row>
    <row r="61" spans="1:19" x14ac:dyDescent="0.3">
      <c r="A61" s="3">
        <v>2</v>
      </c>
      <c r="B61" s="3">
        <v>2</v>
      </c>
      <c r="C61" s="3">
        <v>4</v>
      </c>
      <c r="D61" s="3">
        <v>3</v>
      </c>
      <c r="E61" s="4">
        <v>5</v>
      </c>
      <c r="F61" s="3">
        <v>400</v>
      </c>
      <c r="G61" s="6">
        <v>4</v>
      </c>
      <c r="O61" s="4">
        <v>60</v>
      </c>
      <c r="P61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200.05749173675051</v>
      </c>
      <c r="Q61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200.05499243957897</v>
      </c>
      <c r="R61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600.01833305324931</v>
      </c>
      <c r="S61" s="5">
        <f t="shared" si="0"/>
        <v>2</v>
      </c>
    </row>
    <row r="62" spans="1:19" x14ac:dyDescent="0.3">
      <c r="A62" s="3">
        <v>1</v>
      </c>
      <c r="B62" s="3">
        <v>3</v>
      </c>
      <c r="C62" s="3">
        <v>5</v>
      </c>
      <c r="D62" s="3">
        <v>3</v>
      </c>
      <c r="E62" s="4">
        <v>1</v>
      </c>
      <c r="F62" s="3">
        <v>500</v>
      </c>
      <c r="G62" s="6">
        <v>4</v>
      </c>
      <c r="O62" s="4">
        <v>61</v>
      </c>
      <c r="P62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100.12991560967181</v>
      </c>
      <c r="Q62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100.23472452199387</v>
      </c>
      <c r="R62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500.00899991900144</v>
      </c>
      <c r="S62" s="5">
        <f t="shared" si="0"/>
        <v>1</v>
      </c>
    </row>
    <row r="63" spans="1:19" x14ac:dyDescent="0.3">
      <c r="A63" s="3">
        <v>1</v>
      </c>
      <c r="B63" s="3">
        <v>3</v>
      </c>
      <c r="C63" s="3">
        <v>10</v>
      </c>
      <c r="D63" s="3">
        <v>5</v>
      </c>
      <c r="E63" s="4">
        <v>1</v>
      </c>
      <c r="F63" s="3">
        <v>1000</v>
      </c>
      <c r="G63" s="6">
        <v>4</v>
      </c>
      <c r="O63" s="4">
        <v>62</v>
      </c>
      <c r="P63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400.12872928596369</v>
      </c>
      <c r="Q63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400.15496998038145</v>
      </c>
      <c r="R63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7.0710678118654755</v>
      </c>
      <c r="S63" s="5">
        <f t="shared" si="0"/>
        <v>3</v>
      </c>
    </row>
    <row r="64" spans="1:19" x14ac:dyDescent="0.3">
      <c r="A64" s="3">
        <v>2</v>
      </c>
      <c r="B64" s="3">
        <v>3</v>
      </c>
      <c r="C64" s="3">
        <v>10</v>
      </c>
      <c r="D64" s="3">
        <v>2</v>
      </c>
      <c r="E64" s="4">
        <v>1</v>
      </c>
      <c r="F64" s="3">
        <v>300</v>
      </c>
      <c r="G64" s="6">
        <v>4</v>
      </c>
      <c r="O64" s="4">
        <v>63</v>
      </c>
      <c r="P64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300.14496497525994</v>
      </c>
      <c r="Q64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300.17994603237571</v>
      </c>
      <c r="R64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700.04142734555364</v>
      </c>
      <c r="S64" s="5">
        <f t="shared" si="0"/>
        <v>1</v>
      </c>
    </row>
    <row r="65" spans="1:19" x14ac:dyDescent="0.3">
      <c r="A65" s="3">
        <v>2</v>
      </c>
      <c r="B65" s="3">
        <v>3</v>
      </c>
      <c r="C65" s="3">
        <v>2</v>
      </c>
      <c r="D65" s="3">
        <v>1</v>
      </c>
      <c r="E65" s="4">
        <v>1</v>
      </c>
      <c r="F65" s="3">
        <v>100</v>
      </c>
      <c r="G65" s="6">
        <v>4</v>
      </c>
      <c r="O65" s="4">
        <v>64</v>
      </c>
      <c r="P65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500.00599996400041</v>
      </c>
      <c r="Q65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500.02699927103936</v>
      </c>
      <c r="R65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900.00944439489081</v>
      </c>
      <c r="S65" s="5">
        <f t="shared" si="0"/>
        <v>1</v>
      </c>
    </row>
    <row r="66" spans="1:19" x14ac:dyDescent="0.3">
      <c r="A66" s="3">
        <v>1</v>
      </c>
      <c r="B66" s="3">
        <v>3</v>
      </c>
      <c r="C66" s="3">
        <v>6</v>
      </c>
      <c r="D66" s="3">
        <v>5</v>
      </c>
      <c r="E66" s="4">
        <v>1</v>
      </c>
      <c r="F66" s="3">
        <v>900</v>
      </c>
      <c r="G66" s="6">
        <v>4</v>
      </c>
      <c r="O66" s="4">
        <v>65</v>
      </c>
      <c r="P66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300.07832310915097</v>
      </c>
      <c r="Q66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300.11331193400935</v>
      </c>
      <c r="R66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100.0499875062461</v>
      </c>
      <c r="S66" s="5">
        <f t="shared" si="0"/>
        <v>3</v>
      </c>
    </row>
    <row r="67" spans="1:19" x14ac:dyDescent="0.3">
      <c r="A67" s="3">
        <v>1</v>
      </c>
      <c r="B67" s="3">
        <v>3</v>
      </c>
      <c r="C67" s="3">
        <v>1</v>
      </c>
      <c r="D67" s="3">
        <v>1</v>
      </c>
      <c r="E67" s="4">
        <v>1</v>
      </c>
      <c r="F67" s="3">
        <v>400</v>
      </c>
      <c r="G67" s="6">
        <v>4</v>
      </c>
      <c r="O67" s="4">
        <v>66</v>
      </c>
      <c r="P67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200.01499943754217</v>
      </c>
      <c r="Q67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200.06748861321771</v>
      </c>
      <c r="R67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600.01749974479912</v>
      </c>
      <c r="S67" s="5">
        <f t="shared" si="0"/>
        <v>1</v>
      </c>
    </row>
    <row r="68" spans="1:19" x14ac:dyDescent="0.3">
      <c r="A68" s="3">
        <v>1</v>
      </c>
      <c r="B68" s="3">
        <v>3</v>
      </c>
      <c r="C68" s="3">
        <v>1</v>
      </c>
      <c r="D68" s="3">
        <v>1</v>
      </c>
      <c r="E68" s="4">
        <v>1</v>
      </c>
      <c r="F68" s="3">
        <v>600</v>
      </c>
      <c r="G68" s="6">
        <v>1</v>
      </c>
      <c r="O68" s="4">
        <v>67</v>
      </c>
      <c r="P68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3.872983346207417</v>
      </c>
      <c r="Q68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4.2426406871192848</v>
      </c>
      <c r="R68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400.03749824235229</v>
      </c>
      <c r="S68" s="5">
        <f t="shared" si="0"/>
        <v>1</v>
      </c>
    </row>
    <row r="69" spans="1:19" x14ac:dyDescent="0.3">
      <c r="A69" s="3">
        <v>2</v>
      </c>
      <c r="B69" s="3">
        <v>3</v>
      </c>
      <c r="C69" s="3">
        <v>7</v>
      </c>
      <c r="D69" s="3">
        <v>2</v>
      </c>
      <c r="E69" s="4">
        <v>1</v>
      </c>
      <c r="F69" s="3">
        <v>500</v>
      </c>
      <c r="G69" s="6">
        <v>3</v>
      </c>
      <c r="O69" s="4">
        <v>68</v>
      </c>
      <c r="P69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100.21476937058729</v>
      </c>
      <c r="Q69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100.28958071504736</v>
      </c>
      <c r="R69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500.02599932403513</v>
      </c>
      <c r="S69" s="5">
        <f t="shared" ref="S69:S101" si="1">IF(MIN(P69,Q69,R69) = P69, 1, IF(MIN(P69,Q69,R69) = Q69, 2,3))</f>
        <v>1</v>
      </c>
    </row>
    <row r="70" spans="1:19" x14ac:dyDescent="0.3">
      <c r="A70" s="3">
        <v>1</v>
      </c>
      <c r="B70" s="3">
        <v>3</v>
      </c>
      <c r="C70" s="3">
        <v>1</v>
      </c>
      <c r="D70" s="3">
        <v>1</v>
      </c>
      <c r="E70" s="4">
        <v>1</v>
      </c>
      <c r="F70" s="3">
        <v>700</v>
      </c>
      <c r="G70" s="6">
        <v>1</v>
      </c>
      <c r="O70" s="4">
        <v>69</v>
      </c>
      <c r="P70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100.07497189607399</v>
      </c>
      <c r="Q70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100.08995953640904</v>
      </c>
      <c r="R70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300.04999583402764</v>
      </c>
      <c r="S70" s="5">
        <f t="shared" si="1"/>
        <v>1</v>
      </c>
    </row>
    <row r="71" spans="1:19" x14ac:dyDescent="0.3">
      <c r="A71" s="3">
        <v>2</v>
      </c>
      <c r="B71" s="3">
        <v>3</v>
      </c>
      <c r="C71" s="3">
        <v>10</v>
      </c>
      <c r="D71" s="3">
        <v>1</v>
      </c>
      <c r="E71" s="4">
        <v>1</v>
      </c>
      <c r="F71" s="3">
        <v>100</v>
      </c>
      <c r="G71" s="6">
        <v>4</v>
      </c>
      <c r="O71" s="4">
        <v>70</v>
      </c>
      <c r="P71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500.08599260527183</v>
      </c>
      <c r="Q71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500.10698855344941</v>
      </c>
      <c r="R71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900.03611038668885</v>
      </c>
      <c r="S71" s="5">
        <f t="shared" si="1"/>
        <v>1</v>
      </c>
    </row>
    <row r="72" spans="1:19" x14ac:dyDescent="0.3">
      <c r="A72" s="3">
        <v>2</v>
      </c>
      <c r="B72" s="3">
        <v>3</v>
      </c>
      <c r="C72" s="3">
        <v>1</v>
      </c>
      <c r="D72" s="3">
        <v>1</v>
      </c>
      <c r="E72" s="4">
        <v>1</v>
      </c>
      <c r="F72" s="3">
        <v>200</v>
      </c>
      <c r="G72" s="6">
        <v>4</v>
      </c>
      <c r="O72" s="4">
        <v>71</v>
      </c>
      <c r="P72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400.00624995117266</v>
      </c>
      <c r="Q72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400.03249867979474</v>
      </c>
      <c r="R72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800.01249990234533</v>
      </c>
      <c r="S72" s="5">
        <f t="shared" si="1"/>
        <v>1</v>
      </c>
    </row>
    <row r="73" spans="1:19" x14ac:dyDescent="0.3">
      <c r="A73" s="3">
        <v>1</v>
      </c>
      <c r="B73" s="3">
        <v>3</v>
      </c>
      <c r="C73" s="3">
        <v>10</v>
      </c>
      <c r="D73" s="3">
        <v>4</v>
      </c>
      <c r="E73" s="4">
        <v>1</v>
      </c>
      <c r="F73" s="3">
        <v>300</v>
      </c>
      <c r="G73" s="6">
        <v>4</v>
      </c>
      <c r="O73" s="4">
        <v>72</v>
      </c>
      <c r="P73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300.15995735607373</v>
      </c>
      <c r="Q73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300.19493666616029</v>
      </c>
      <c r="R73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700.03642762359163</v>
      </c>
      <c r="S73" s="5">
        <f t="shared" si="1"/>
        <v>1</v>
      </c>
    </row>
    <row r="74" spans="1:19" x14ac:dyDescent="0.3">
      <c r="A74" s="3">
        <v>2</v>
      </c>
      <c r="B74" s="3">
        <v>3</v>
      </c>
      <c r="C74" s="3">
        <v>8</v>
      </c>
      <c r="D74" s="3">
        <v>1</v>
      </c>
      <c r="E74" s="4">
        <v>1</v>
      </c>
      <c r="F74" s="3">
        <v>900</v>
      </c>
      <c r="G74" s="6">
        <v>4</v>
      </c>
      <c r="O74" s="4">
        <v>73</v>
      </c>
      <c r="P74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300.08998650404845</v>
      </c>
      <c r="Q74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300.12497396917837</v>
      </c>
      <c r="R74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100.20479030465559</v>
      </c>
      <c r="S74" s="5">
        <f t="shared" si="1"/>
        <v>3</v>
      </c>
    </row>
    <row r="75" spans="1:19" x14ac:dyDescent="0.3">
      <c r="A75" s="3">
        <v>2</v>
      </c>
      <c r="B75" s="3">
        <v>3</v>
      </c>
      <c r="C75" s="3">
        <v>3</v>
      </c>
      <c r="D75" s="3">
        <v>5</v>
      </c>
      <c r="E75" s="4">
        <v>1</v>
      </c>
      <c r="F75" s="3">
        <v>1000</v>
      </c>
      <c r="G75" s="6">
        <v>4</v>
      </c>
      <c r="O75" s="4">
        <v>74</v>
      </c>
      <c r="P75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400.03124877939223</v>
      </c>
      <c r="Q75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400.05749586778148</v>
      </c>
      <c r="R75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0</v>
      </c>
      <c r="S75" s="5">
        <f t="shared" si="1"/>
        <v>3</v>
      </c>
    </row>
    <row r="76" spans="1:19" x14ac:dyDescent="0.3">
      <c r="A76" s="3">
        <v>2</v>
      </c>
      <c r="B76" s="3">
        <v>3</v>
      </c>
      <c r="C76" s="3">
        <v>1</v>
      </c>
      <c r="D76" s="3">
        <v>4</v>
      </c>
      <c r="E76" s="4">
        <v>1</v>
      </c>
      <c r="F76" s="3">
        <v>500</v>
      </c>
      <c r="G76" s="6">
        <v>3</v>
      </c>
      <c r="O76" s="4">
        <v>75</v>
      </c>
      <c r="P76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100.07497189607399</v>
      </c>
      <c r="Q76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100.14988766843426</v>
      </c>
      <c r="R76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500.00599996400041</v>
      </c>
      <c r="S76" s="5">
        <f t="shared" si="1"/>
        <v>1</v>
      </c>
    </row>
    <row r="77" spans="1:19" x14ac:dyDescent="0.3">
      <c r="A77" s="3">
        <v>1</v>
      </c>
      <c r="B77" s="3">
        <v>3</v>
      </c>
      <c r="C77" s="3">
        <v>7</v>
      </c>
      <c r="D77" s="3">
        <v>4</v>
      </c>
      <c r="E77" s="4">
        <v>1</v>
      </c>
      <c r="F77" s="3">
        <v>400</v>
      </c>
      <c r="G77" s="6">
        <v>4</v>
      </c>
      <c r="O77" s="4">
        <v>76</v>
      </c>
      <c r="P77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200.12745938526277</v>
      </c>
      <c r="Q77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200.17991907281808</v>
      </c>
      <c r="R77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600.0149998125047</v>
      </c>
      <c r="S77" s="5">
        <f t="shared" si="1"/>
        <v>1</v>
      </c>
    </row>
    <row r="78" spans="1:19" x14ac:dyDescent="0.3">
      <c r="A78" s="3">
        <v>2</v>
      </c>
      <c r="B78" s="3">
        <v>3</v>
      </c>
      <c r="C78" s="3">
        <v>8</v>
      </c>
      <c r="D78" s="3">
        <v>2</v>
      </c>
      <c r="E78" s="4">
        <v>1</v>
      </c>
      <c r="F78" s="3">
        <v>300</v>
      </c>
      <c r="G78" s="6">
        <v>4</v>
      </c>
      <c r="O78" s="4">
        <v>77</v>
      </c>
      <c r="P78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300.09165266631459</v>
      </c>
      <c r="Q78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300.12663993721048</v>
      </c>
      <c r="R78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700.02428529301756</v>
      </c>
      <c r="S78" s="5">
        <f t="shared" si="1"/>
        <v>1</v>
      </c>
    </row>
    <row r="79" spans="1:19" x14ac:dyDescent="0.3">
      <c r="A79" s="3">
        <v>1</v>
      </c>
      <c r="B79" s="3">
        <v>3</v>
      </c>
      <c r="C79" s="3">
        <v>4</v>
      </c>
      <c r="D79" s="3">
        <v>2</v>
      </c>
      <c r="E79" s="4">
        <v>1</v>
      </c>
      <c r="F79" s="3">
        <v>400</v>
      </c>
      <c r="G79" s="6">
        <v>4</v>
      </c>
      <c r="O79" s="4">
        <v>78</v>
      </c>
      <c r="P79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200.03999600079979</v>
      </c>
      <c r="Q79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200.09247861926244</v>
      </c>
      <c r="R79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600.0091665966446</v>
      </c>
      <c r="S79" s="5">
        <f t="shared" si="1"/>
        <v>1</v>
      </c>
    </row>
    <row r="80" spans="1:19" x14ac:dyDescent="0.3">
      <c r="A80" s="3">
        <v>1</v>
      </c>
      <c r="B80" s="3">
        <v>3</v>
      </c>
      <c r="C80" s="3">
        <v>9</v>
      </c>
      <c r="D80" s="3">
        <v>1</v>
      </c>
      <c r="E80" s="4">
        <v>4</v>
      </c>
      <c r="F80" s="3">
        <v>400</v>
      </c>
      <c r="G80" s="6">
        <v>1</v>
      </c>
      <c r="O80" s="4">
        <v>79</v>
      </c>
      <c r="P80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200.20489504505127</v>
      </c>
      <c r="Q80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200.16742991805634</v>
      </c>
      <c r="R80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600.05916374970889</v>
      </c>
      <c r="S80" s="5">
        <f t="shared" si="1"/>
        <v>2</v>
      </c>
    </row>
    <row r="81" spans="1:19" x14ac:dyDescent="0.3">
      <c r="A81" s="3">
        <v>2</v>
      </c>
      <c r="B81" s="3">
        <v>3</v>
      </c>
      <c r="C81" s="3">
        <v>10</v>
      </c>
      <c r="D81" s="3">
        <v>3</v>
      </c>
      <c r="E81" s="4">
        <v>4</v>
      </c>
      <c r="F81" s="3">
        <v>400</v>
      </c>
      <c r="G81" s="6">
        <v>2</v>
      </c>
      <c r="O81" s="4">
        <v>80</v>
      </c>
      <c r="P81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200.24235316236172</v>
      </c>
      <c r="Q81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200.21987913291727</v>
      </c>
      <c r="R81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600.05499747939768</v>
      </c>
      <c r="S81" s="5">
        <f t="shared" si="1"/>
        <v>2</v>
      </c>
    </row>
    <row r="82" spans="1:19" x14ac:dyDescent="0.3">
      <c r="A82" s="3">
        <v>2</v>
      </c>
      <c r="B82" s="3">
        <v>3</v>
      </c>
      <c r="C82" s="3">
        <v>3</v>
      </c>
      <c r="D82" s="3">
        <v>1</v>
      </c>
      <c r="E82" s="4">
        <v>1</v>
      </c>
      <c r="F82" s="3">
        <v>300</v>
      </c>
      <c r="G82" s="6">
        <v>2</v>
      </c>
      <c r="O82" s="4">
        <v>81</v>
      </c>
      <c r="P82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300.02166588431578</v>
      </c>
      <c r="Q82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300.03666442619976</v>
      </c>
      <c r="R82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700.01428556851613</v>
      </c>
      <c r="S82" s="5">
        <f t="shared" si="1"/>
        <v>1</v>
      </c>
    </row>
    <row r="83" spans="1:19" x14ac:dyDescent="0.3">
      <c r="A83" s="3">
        <v>1</v>
      </c>
      <c r="B83" s="3">
        <v>3</v>
      </c>
      <c r="C83" s="3">
        <v>4</v>
      </c>
      <c r="D83" s="3">
        <v>1</v>
      </c>
      <c r="E83" s="4">
        <v>1</v>
      </c>
      <c r="F83" s="3">
        <v>100</v>
      </c>
      <c r="G83" s="6">
        <v>3</v>
      </c>
      <c r="O83" s="4">
        <v>82</v>
      </c>
      <c r="P83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500.01599974400818</v>
      </c>
      <c r="Q83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500.03099903905957</v>
      </c>
      <c r="R83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900.0105554936564</v>
      </c>
      <c r="S83" s="5">
        <f t="shared" si="1"/>
        <v>1</v>
      </c>
    </row>
    <row r="84" spans="1:19" x14ac:dyDescent="0.3">
      <c r="A84" s="3">
        <v>1</v>
      </c>
      <c r="B84" s="3">
        <v>3</v>
      </c>
      <c r="C84" s="3">
        <v>7</v>
      </c>
      <c r="D84" s="3">
        <v>2</v>
      </c>
      <c r="E84" s="4">
        <v>1</v>
      </c>
      <c r="F84" s="3">
        <v>400</v>
      </c>
      <c r="G84" s="6">
        <v>2</v>
      </c>
      <c r="O84" s="4">
        <v>83</v>
      </c>
      <c r="P84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200.11746550463806</v>
      </c>
      <c r="Q84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200.13995103427001</v>
      </c>
      <c r="R84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600.02499947918841</v>
      </c>
      <c r="S84" s="5">
        <f t="shared" si="1"/>
        <v>1</v>
      </c>
    </row>
    <row r="85" spans="1:19" x14ac:dyDescent="0.3">
      <c r="A85" s="3">
        <v>1</v>
      </c>
      <c r="B85" s="3">
        <v>3</v>
      </c>
      <c r="C85" s="3">
        <v>8</v>
      </c>
      <c r="D85" s="3">
        <v>1</v>
      </c>
      <c r="E85" s="4">
        <v>1</v>
      </c>
      <c r="F85" s="3">
        <v>300</v>
      </c>
      <c r="G85" s="6">
        <v>2</v>
      </c>
      <c r="O85" s="4">
        <v>84</v>
      </c>
      <c r="P85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300.09831722287282</v>
      </c>
      <c r="Q85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300.11331193400935</v>
      </c>
      <c r="R85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700.03285637175634</v>
      </c>
      <c r="S85" s="5">
        <f t="shared" si="1"/>
        <v>1</v>
      </c>
    </row>
    <row r="86" spans="1:19" x14ac:dyDescent="0.3">
      <c r="A86" s="3">
        <v>1</v>
      </c>
      <c r="B86" s="3">
        <v>3</v>
      </c>
      <c r="C86" s="3">
        <v>1</v>
      </c>
      <c r="D86" s="3">
        <v>1</v>
      </c>
      <c r="E86" s="4">
        <v>1</v>
      </c>
      <c r="F86" s="3">
        <v>200</v>
      </c>
      <c r="G86" s="6">
        <v>1</v>
      </c>
      <c r="O86" s="4">
        <v>85</v>
      </c>
      <c r="P86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400.01874956056747</v>
      </c>
      <c r="Q86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400.02249936722308</v>
      </c>
      <c r="R86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800.01874978027854</v>
      </c>
      <c r="S86" s="5">
        <f t="shared" si="1"/>
        <v>1</v>
      </c>
    </row>
    <row r="87" spans="1:19" x14ac:dyDescent="0.3">
      <c r="A87" s="3">
        <v>2</v>
      </c>
      <c r="B87" s="3">
        <v>3</v>
      </c>
      <c r="C87" s="3">
        <v>8</v>
      </c>
      <c r="D87" s="3">
        <v>4</v>
      </c>
      <c r="E87" s="4">
        <v>4</v>
      </c>
      <c r="F87" s="3">
        <v>800</v>
      </c>
      <c r="G87" s="6">
        <v>3</v>
      </c>
      <c r="O87" s="4">
        <v>86</v>
      </c>
      <c r="P87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200.16742991805634</v>
      </c>
      <c r="Q87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200.15993605114886</v>
      </c>
      <c r="R87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200.08997975910736</v>
      </c>
      <c r="S87" s="5">
        <f t="shared" si="1"/>
        <v>3</v>
      </c>
    </row>
    <row r="88" spans="1:19" x14ac:dyDescent="0.3">
      <c r="A88" s="3">
        <v>1</v>
      </c>
      <c r="B88" s="3">
        <v>3</v>
      </c>
      <c r="C88" s="3">
        <v>4</v>
      </c>
      <c r="D88" s="3">
        <v>1</v>
      </c>
      <c r="E88" s="4">
        <v>4</v>
      </c>
      <c r="F88" s="3">
        <v>200</v>
      </c>
      <c r="G88" s="6">
        <v>4</v>
      </c>
      <c r="O88" s="4">
        <v>87</v>
      </c>
      <c r="P88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400.02249936722308</v>
      </c>
      <c r="Q88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400.02624913872842</v>
      </c>
      <c r="R88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800.01687482202522</v>
      </c>
      <c r="S88" s="5">
        <f t="shared" si="1"/>
        <v>1</v>
      </c>
    </row>
    <row r="89" spans="1:19" x14ac:dyDescent="0.3">
      <c r="A89" s="3">
        <v>1</v>
      </c>
      <c r="B89" s="3">
        <v>3</v>
      </c>
      <c r="C89" s="3">
        <v>4</v>
      </c>
      <c r="D89" s="3">
        <v>1</v>
      </c>
      <c r="E89" s="4">
        <v>1</v>
      </c>
      <c r="F89" s="3">
        <v>100</v>
      </c>
      <c r="G89" s="6">
        <v>4</v>
      </c>
      <c r="O89" s="4">
        <v>88</v>
      </c>
      <c r="P89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500.01499977500674</v>
      </c>
      <c r="Q89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500.03599870409329</v>
      </c>
      <c r="R89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900.0099999444451</v>
      </c>
      <c r="S89" s="5">
        <f t="shared" si="1"/>
        <v>1</v>
      </c>
    </row>
    <row r="90" spans="1:19" x14ac:dyDescent="0.3">
      <c r="A90" s="3">
        <v>1</v>
      </c>
      <c r="B90" s="3">
        <v>3</v>
      </c>
      <c r="C90" s="3">
        <v>3</v>
      </c>
      <c r="D90" s="3">
        <v>4</v>
      </c>
      <c r="E90" s="4">
        <v>1</v>
      </c>
      <c r="F90" s="3">
        <v>300</v>
      </c>
      <c r="G90" s="6">
        <v>4</v>
      </c>
      <c r="O90" s="4">
        <v>89</v>
      </c>
      <c r="P90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300.03166499554675</v>
      </c>
      <c r="Q90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300.06665926090488</v>
      </c>
      <c r="R90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700.00142856997081</v>
      </c>
      <c r="S90" s="5">
        <f t="shared" si="1"/>
        <v>1</v>
      </c>
    </row>
    <row r="91" spans="1:19" x14ac:dyDescent="0.3">
      <c r="A91" s="3">
        <v>1</v>
      </c>
      <c r="B91" s="3">
        <v>3</v>
      </c>
      <c r="C91" s="3">
        <v>2</v>
      </c>
      <c r="D91" s="3">
        <v>4</v>
      </c>
      <c r="E91" s="4">
        <v>4</v>
      </c>
      <c r="F91" s="3">
        <v>400</v>
      </c>
      <c r="G91" s="6">
        <v>3</v>
      </c>
      <c r="O91" s="4">
        <v>90</v>
      </c>
      <c r="P91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200.049993751562</v>
      </c>
      <c r="Q91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200.04249548533431</v>
      </c>
      <c r="R91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600.01083323553416</v>
      </c>
      <c r="S91" s="5">
        <f t="shared" si="1"/>
        <v>2</v>
      </c>
    </row>
    <row r="92" spans="1:19" x14ac:dyDescent="0.3">
      <c r="A92" s="3">
        <v>2</v>
      </c>
      <c r="B92" s="3">
        <v>3</v>
      </c>
      <c r="C92" s="3">
        <v>2</v>
      </c>
      <c r="D92" s="3">
        <v>1</v>
      </c>
      <c r="E92" s="4">
        <v>1</v>
      </c>
      <c r="F92" s="3">
        <v>700</v>
      </c>
      <c r="G92" s="6">
        <v>4</v>
      </c>
      <c r="O92" s="4">
        <v>91</v>
      </c>
      <c r="P92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100.02999550134949</v>
      </c>
      <c r="Q92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100.13490899781155</v>
      </c>
      <c r="R92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300.02833199549673</v>
      </c>
      <c r="S92" s="5">
        <f t="shared" si="1"/>
        <v>1</v>
      </c>
    </row>
    <row r="93" spans="1:19" x14ac:dyDescent="0.3">
      <c r="A93" s="3">
        <v>2</v>
      </c>
      <c r="B93" s="3">
        <v>3</v>
      </c>
      <c r="C93" s="3">
        <v>6</v>
      </c>
      <c r="D93" s="3">
        <v>4</v>
      </c>
      <c r="E93" s="4">
        <v>4</v>
      </c>
      <c r="F93" s="3">
        <v>100</v>
      </c>
      <c r="G93" s="6">
        <v>4</v>
      </c>
      <c r="O93" s="4">
        <v>92</v>
      </c>
      <c r="P93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500.04199823614817</v>
      </c>
      <c r="Q93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500.04499797518224</v>
      </c>
      <c r="R93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900.0105554936564</v>
      </c>
      <c r="S93" s="5">
        <f t="shared" si="1"/>
        <v>1</v>
      </c>
    </row>
    <row r="94" spans="1:19" x14ac:dyDescent="0.3">
      <c r="A94" s="3">
        <v>2</v>
      </c>
      <c r="B94" s="3">
        <v>3</v>
      </c>
      <c r="C94" s="3">
        <v>8</v>
      </c>
      <c r="D94" s="3">
        <v>3</v>
      </c>
      <c r="E94" s="4">
        <v>4</v>
      </c>
      <c r="F94" s="3">
        <v>800</v>
      </c>
      <c r="G94" s="6">
        <v>4</v>
      </c>
      <c r="O94" s="4">
        <v>93</v>
      </c>
      <c r="P94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200.15244190366502</v>
      </c>
      <c r="Q94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200.15993605114886</v>
      </c>
      <c r="R94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200.09497744821084</v>
      </c>
      <c r="S94" s="5">
        <f t="shared" si="1"/>
        <v>3</v>
      </c>
    </row>
    <row r="95" spans="1:19" x14ac:dyDescent="0.3">
      <c r="A95" s="3">
        <v>2</v>
      </c>
      <c r="B95" s="3">
        <v>3</v>
      </c>
      <c r="C95" s="3">
        <v>4</v>
      </c>
      <c r="D95" s="3">
        <v>3</v>
      </c>
      <c r="E95" s="4">
        <v>4</v>
      </c>
      <c r="F95" s="3">
        <v>300</v>
      </c>
      <c r="G95" s="6">
        <v>3</v>
      </c>
      <c r="O95" s="4">
        <v>94</v>
      </c>
      <c r="P95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300.03666442619976</v>
      </c>
      <c r="Q95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300.03166499554675</v>
      </c>
      <c r="R95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700.01071420371841</v>
      </c>
      <c r="S95" s="5">
        <f t="shared" si="1"/>
        <v>2</v>
      </c>
    </row>
    <row r="96" spans="1:19" x14ac:dyDescent="0.3">
      <c r="A96" s="3">
        <v>2</v>
      </c>
      <c r="B96" s="3">
        <v>3</v>
      </c>
      <c r="C96" s="3">
        <v>6</v>
      </c>
      <c r="D96" s="3">
        <v>2</v>
      </c>
      <c r="E96" s="4">
        <v>7</v>
      </c>
      <c r="F96" s="3">
        <v>300</v>
      </c>
      <c r="G96" s="6">
        <v>1</v>
      </c>
      <c r="O96" s="4">
        <v>95</v>
      </c>
      <c r="P96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300.1066477104431</v>
      </c>
      <c r="Q96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300.05166221835867</v>
      </c>
      <c r="R96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700.04499855366441</v>
      </c>
      <c r="S96" s="5">
        <f t="shared" si="1"/>
        <v>2</v>
      </c>
    </row>
    <row r="97" spans="1:19" x14ac:dyDescent="0.3">
      <c r="A97" s="3">
        <v>2</v>
      </c>
      <c r="B97" s="3">
        <v>3</v>
      </c>
      <c r="C97" s="3">
        <v>3</v>
      </c>
      <c r="D97" s="3">
        <v>2</v>
      </c>
      <c r="E97" s="4">
        <v>7</v>
      </c>
      <c r="F97" s="3">
        <v>400</v>
      </c>
      <c r="G97" s="6">
        <v>1</v>
      </c>
      <c r="O97" s="4">
        <v>96</v>
      </c>
      <c r="P97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200.10747112489329</v>
      </c>
      <c r="Q97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200.02499843769527</v>
      </c>
      <c r="R97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600.0449983126266</v>
      </c>
      <c r="S97" s="5">
        <f t="shared" si="1"/>
        <v>2</v>
      </c>
    </row>
    <row r="98" spans="1:19" x14ac:dyDescent="0.3">
      <c r="A98" s="3">
        <v>1</v>
      </c>
      <c r="B98" s="3">
        <v>3</v>
      </c>
      <c r="C98" s="3">
        <v>1</v>
      </c>
      <c r="D98" s="3">
        <v>1</v>
      </c>
      <c r="E98" s="4">
        <v>7</v>
      </c>
      <c r="F98" s="3">
        <v>100</v>
      </c>
      <c r="G98" s="6">
        <v>1</v>
      </c>
      <c r="O98" s="4">
        <v>97</v>
      </c>
      <c r="P98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500.03899847911862</v>
      </c>
      <c r="Q98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500.00599996400041</v>
      </c>
      <c r="R98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900.03666591978356</v>
      </c>
      <c r="S98" s="5">
        <f t="shared" si="1"/>
        <v>2</v>
      </c>
    </row>
    <row r="99" spans="1:19" x14ac:dyDescent="0.3">
      <c r="A99" s="3">
        <v>1</v>
      </c>
      <c r="B99" s="3">
        <v>3</v>
      </c>
      <c r="C99" s="3">
        <v>3</v>
      </c>
      <c r="D99" s="3">
        <v>1</v>
      </c>
      <c r="E99" s="4">
        <v>7</v>
      </c>
      <c r="F99" s="3">
        <v>200</v>
      </c>
      <c r="G99" s="6">
        <v>3</v>
      </c>
      <c r="O99" s="4">
        <v>98</v>
      </c>
      <c r="P99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400.04374760768354</v>
      </c>
      <c r="Q99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400.01749961720424</v>
      </c>
      <c r="R99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800.03374928811593</v>
      </c>
      <c r="S99" s="5">
        <f t="shared" si="1"/>
        <v>2</v>
      </c>
    </row>
    <row r="100" spans="1:19" x14ac:dyDescent="0.3">
      <c r="A100" s="3">
        <v>2</v>
      </c>
      <c r="B100" s="3">
        <v>3</v>
      </c>
      <c r="C100" s="3">
        <v>1</v>
      </c>
      <c r="D100" s="3">
        <v>2</v>
      </c>
      <c r="E100" s="4">
        <v>7</v>
      </c>
      <c r="F100" s="3">
        <v>200</v>
      </c>
      <c r="G100" s="6">
        <v>2</v>
      </c>
      <c r="O100" s="4">
        <v>99</v>
      </c>
      <c r="P100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400.04249774242737</v>
      </c>
      <c r="Q100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400.00874990429895</v>
      </c>
      <c r="R100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800.0331243142374</v>
      </c>
      <c r="S100" s="5">
        <f t="shared" si="1"/>
        <v>2</v>
      </c>
    </row>
    <row r="101" spans="1:19" x14ac:dyDescent="0.3">
      <c r="A101" s="9">
        <v>2</v>
      </c>
      <c r="B101" s="9">
        <v>3</v>
      </c>
      <c r="C101" s="9">
        <v>2</v>
      </c>
      <c r="D101" s="9">
        <v>2</v>
      </c>
      <c r="E101" s="10">
        <v>7</v>
      </c>
      <c r="F101" s="9">
        <v>300</v>
      </c>
      <c r="G101" s="11">
        <v>4</v>
      </c>
      <c r="O101" s="4">
        <v>100</v>
      </c>
      <c r="P101" s="5">
        <f xml:space="preserve">  SQRT((Table24[[#This Row],[Giới tính]]-$K$2)^2+(Table24[[#This Row],[Khu vực]]-$K$3)^2+(Table24[[#This Row],[Tần suất mua hàng (tháng)]]-$K$4)^2+(Table24[[#This Row],[Số lượng sản phẩm mỗi đơn]]-$K$5)^2+(Table24[[#This Row],[Loại sản phẩm quan tâm]]-$K$6)^2+(Table24[[#This Row],[Giá trị mỗi đơn (Nghìn)]]-$K$7)^2+(Table24[[#This Row],[Thời gian]]-$K$8)^2)</f>
        <v>300.05166221835867</v>
      </c>
      <c r="Q101" s="5">
        <f xml:space="preserve">  SQRT((Table24[[#This Row],[Giới tính]]-$L$2)^2+(Table24[[#This Row],[Khu vực]]-$L$3)^2+(Table24[[#This Row],[Tần suất mua hàng (tháng)]]-$L$4)^2+(Table24[[#This Row],[Số lượng sản phẩm mỗi đơn]]-$L$5)^2+(Table24[[#This Row],[Loại sản phẩm quan tâm]]-$L$6)^2+(Table24[[#This Row],[Giá trị mỗi đơn (Nghìn)]]-$L$7)^2+(Table24[[#This Row],[Thời gian]]-$L$8)^2)</f>
        <v>300.0266654815868</v>
      </c>
      <c r="R101" s="5">
        <f xml:space="preserve">  SQRT((Table24[[#This Row],[Giới tính]]-$M$2)^2+(Table24[[#This Row],[Khu vực]]-$M$3)^2+(Table24[[#This Row],[Tần suất mua hàng (tháng)]]-$M$4)^2+(Table24[[#This Row],[Số lượng sản phẩm mỗi đơn]]-$M$5)^2+(Table24[[#This Row],[Loại sản phẩm quan tâm]]-$M$6)^2+(Table24[[#This Row],[Giá trị mỗi đơn (Nghìn)]]-$M$7)^2+(Table24[[#This Row],[Thời gian]]-$M$8)^2)</f>
        <v>700.03285637175634</v>
      </c>
      <c r="S101" s="5">
        <f t="shared" si="1"/>
        <v>2</v>
      </c>
    </row>
  </sheetData>
  <mergeCells count="2">
    <mergeCell ref="J11:M12"/>
    <mergeCell ref="J10:M10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8976-CDA8-4851-8F37-19EEB03750C5}">
  <dimension ref="A1:AA101"/>
  <sheetViews>
    <sheetView topLeftCell="G1" workbookViewId="0">
      <selection activeCell="J10" sqref="J10:M10"/>
    </sheetView>
  </sheetViews>
  <sheetFormatPr defaultRowHeight="14.4" x14ac:dyDescent="0.3"/>
  <cols>
    <col min="1" max="1" width="9.6640625" style="1" customWidth="1"/>
    <col min="2" max="2" width="11.33203125" style="1" customWidth="1"/>
    <col min="3" max="3" width="24.21875" style="1" customWidth="1"/>
    <col min="4" max="4" width="25.44140625" style="1" customWidth="1"/>
    <col min="5" max="5" width="22.6640625" style="1" customWidth="1"/>
    <col min="6" max="6" width="21.21875" style="1" customWidth="1"/>
    <col min="7" max="7" width="10.21875" style="1" customWidth="1"/>
    <col min="8" max="8" width="14.77734375" customWidth="1"/>
    <col min="10" max="10" width="12.5546875" customWidth="1"/>
    <col min="21" max="21" width="12.88671875" customWidth="1"/>
    <col min="22" max="22" width="14" customWidth="1"/>
    <col min="23" max="23" width="13.44140625" customWidth="1"/>
    <col min="24" max="24" width="14" customWidth="1"/>
    <col min="25" max="25" width="18.109375" customWidth="1"/>
  </cols>
  <sheetData>
    <row r="1" spans="1:27" x14ac:dyDescent="0.3">
      <c r="A1" s="7" t="s">
        <v>104</v>
      </c>
      <c r="B1" s="7" t="s">
        <v>112</v>
      </c>
      <c r="C1" s="7" t="s">
        <v>106</v>
      </c>
      <c r="D1" s="7" t="s">
        <v>107</v>
      </c>
      <c r="E1" s="7" t="s">
        <v>115</v>
      </c>
      <c r="F1" s="7" t="s">
        <v>114</v>
      </c>
      <c r="G1" s="8" t="s">
        <v>113</v>
      </c>
      <c r="H1" s="19" t="s">
        <v>150</v>
      </c>
      <c r="J1" s="15" t="s">
        <v>144</v>
      </c>
      <c r="K1" s="15">
        <v>1</v>
      </c>
      <c r="L1" s="15">
        <v>2</v>
      </c>
      <c r="M1" s="15">
        <v>3</v>
      </c>
      <c r="O1" s="15" t="s">
        <v>143</v>
      </c>
      <c r="P1" s="15" t="s">
        <v>145</v>
      </c>
      <c r="Q1" s="15" t="s">
        <v>146</v>
      </c>
      <c r="R1" s="15" t="s">
        <v>147</v>
      </c>
      <c r="S1" s="15" t="s">
        <v>148</v>
      </c>
      <c r="U1" s="15" t="s">
        <v>143</v>
      </c>
      <c r="V1" s="15" t="s">
        <v>142</v>
      </c>
      <c r="W1" s="15" t="s">
        <v>152</v>
      </c>
      <c r="X1" s="15" t="s">
        <v>153</v>
      </c>
      <c r="Y1" s="15" t="s">
        <v>157</v>
      </c>
      <c r="Z1" s="15" t="s">
        <v>158</v>
      </c>
      <c r="AA1" s="15" t="s">
        <v>159</v>
      </c>
    </row>
    <row r="2" spans="1:27" x14ac:dyDescent="0.3">
      <c r="A2" s="3">
        <v>2</v>
      </c>
      <c r="B2" s="3">
        <v>1</v>
      </c>
      <c r="C2" s="3">
        <v>1</v>
      </c>
      <c r="D2" s="3">
        <v>1</v>
      </c>
      <c r="E2" s="4">
        <v>2</v>
      </c>
      <c r="F2" s="3">
        <v>600</v>
      </c>
      <c r="G2" s="6">
        <v>4</v>
      </c>
      <c r="H2" s="17">
        <v>1</v>
      </c>
      <c r="J2" s="4" t="s">
        <v>104</v>
      </c>
      <c r="K2" s="4">
        <f xml:space="preserve"> AVERAGEIF(Table245[Cụm lần 1],1,Table245[Giới tính])</f>
        <v>1.5384615384615385</v>
      </c>
      <c r="L2" s="4">
        <f xml:space="preserve"> AVERAGEIF(Table245[Cụm lần 1],2,Table245[Giới tính])</f>
        <v>1.3611111111111112</v>
      </c>
      <c r="M2" s="4">
        <f xml:space="preserve"> AVERAGEIF(Table245[Cụm lần 1],3,Table245[Giới tính])</f>
        <v>1.6666666666666667</v>
      </c>
      <c r="O2" s="4">
        <v>1</v>
      </c>
      <c r="P2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242.33487790109226</v>
      </c>
      <c r="Q2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227.83625943012476</v>
      </c>
      <c r="R2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291.76410277254234</v>
      </c>
      <c r="S2" s="4">
        <f>IF(MIN(P2,Q2,R2) = P2, 1, IF(MIN(P2,Q2,R2) = Q2, 2,3))</f>
        <v>2</v>
      </c>
      <c r="U2" s="31" t="s">
        <v>154</v>
      </c>
      <c r="V2" s="4" t="s">
        <v>104</v>
      </c>
      <c r="W2" s="4">
        <v>2</v>
      </c>
      <c r="X2" s="4">
        <f xml:space="preserve"> AVERAGEIF(Table245[Cụm lần 1],1,Table245[Giới tính])</f>
        <v>1.5384615384615385</v>
      </c>
      <c r="Y2" s="4"/>
      <c r="Z2" s="4"/>
      <c r="AA2" s="4"/>
    </row>
    <row r="3" spans="1:27" x14ac:dyDescent="0.3">
      <c r="A3" s="3">
        <v>1</v>
      </c>
      <c r="B3" s="3">
        <v>1</v>
      </c>
      <c r="C3" s="3">
        <v>1</v>
      </c>
      <c r="D3" s="3">
        <v>1</v>
      </c>
      <c r="E3" s="4">
        <v>2</v>
      </c>
      <c r="F3" s="3">
        <v>200</v>
      </c>
      <c r="G3" s="6">
        <v>1</v>
      </c>
      <c r="H3" s="16">
        <v>1</v>
      </c>
      <c r="J3" s="4" t="s">
        <v>112</v>
      </c>
      <c r="K3" s="4">
        <f xml:space="preserve"> AVERAGEIF(Table245[Cụm lần 1],1,Table245[Khu vực])</f>
        <v>1.9615384615384615</v>
      </c>
      <c r="L3" s="4">
        <f xml:space="preserve"> AVERAGEIF(Table245[Cụm lần 1],2,Table245[Khu vực])</f>
        <v>2.1388888888888888</v>
      </c>
      <c r="M3" s="4">
        <f xml:space="preserve"> AVERAGEIF(Table245[Cụm lần 1],3,Table245[Khu vực])</f>
        <v>2.3333333333333335</v>
      </c>
      <c r="O3" s="4">
        <v>2</v>
      </c>
      <c r="P3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157.74931661814298</v>
      </c>
      <c r="Q3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172.30020635829521</v>
      </c>
      <c r="R3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691.71161500536721</v>
      </c>
      <c r="S3" s="4">
        <f>IF(MIN(P3,Q3,R3) = P3, 1, IF(MIN(P3,Q3,R3) = Q3, 2,3))</f>
        <v>1</v>
      </c>
      <c r="U3" s="31"/>
      <c r="V3" s="4" t="s">
        <v>112</v>
      </c>
      <c r="W3" s="4">
        <v>1</v>
      </c>
      <c r="X3" s="4">
        <f xml:space="preserve"> AVERAGEIF(Table245[Cụm lần 1],1,Table245[Khu vực])</f>
        <v>1.9615384615384615</v>
      </c>
      <c r="Y3" s="4"/>
      <c r="Z3" s="4"/>
      <c r="AA3" s="4"/>
    </row>
    <row r="4" spans="1:27" x14ac:dyDescent="0.3">
      <c r="A4" s="3">
        <v>2</v>
      </c>
      <c r="B4" s="3">
        <v>1</v>
      </c>
      <c r="C4" s="3">
        <v>15</v>
      </c>
      <c r="D4" s="3">
        <v>1</v>
      </c>
      <c r="E4" s="4">
        <v>2</v>
      </c>
      <c r="F4" s="3">
        <v>200</v>
      </c>
      <c r="G4" s="6">
        <v>4</v>
      </c>
      <c r="H4" s="16">
        <v>1</v>
      </c>
      <c r="J4" s="4" t="s">
        <v>140</v>
      </c>
      <c r="K4" s="4">
        <f xml:space="preserve"> AVERAGEIF(Table245[Cụm lần 1],1,Table245[Tần suất mua hàng (tháng)])</f>
        <v>4.2692307692307692</v>
      </c>
      <c r="L4" s="4">
        <f xml:space="preserve"> AVERAGEIF(Table245[Cụm lần 1],2,Table245[Tần suất mua hàng (tháng)])</f>
        <v>3.9444444444444446</v>
      </c>
      <c r="M4" s="4">
        <f xml:space="preserve"> AVERAGEIF(Table245[Cụm lần 1],3,Table245[Tần suất mua hàng (tháng)])</f>
        <v>7.75</v>
      </c>
      <c r="O4" s="4">
        <v>3</v>
      </c>
      <c r="P4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158.06486244464634</v>
      </c>
      <c r="Q4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172.62877640893029</v>
      </c>
      <c r="R4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691.71281974530439</v>
      </c>
      <c r="S4" s="4">
        <f>IF(MIN(P4,Q4,R4) = P4, 1, IF(MIN(P4,Q4,R4) = Q4, 2,3))</f>
        <v>1</v>
      </c>
      <c r="U4" s="31"/>
      <c r="V4" s="4" t="s">
        <v>140</v>
      </c>
      <c r="W4" s="4">
        <v>1</v>
      </c>
      <c r="X4" s="4">
        <f xml:space="preserve"> AVERAGEIF(Table245[Cụm lần 1],1,Table245[Tần suất mua hàng (tháng)])</f>
        <v>4.2692307692307692</v>
      </c>
      <c r="Y4" s="4"/>
      <c r="Z4" s="4"/>
      <c r="AA4" s="4"/>
    </row>
    <row r="5" spans="1:27" x14ac:dyDescent="0.3">
      <c r="A5" s="3">
        <v>2</v>
      </c>
      <c r="B5" s="3">
        <v>1</v>
      </c>
      <c r="C5" s="3">
        <v>2</v>
      </c>
      <c r="D5" s="3">
        <v>2</v>
      </c>
      <c r="E5" s="4">
        <v>3</v>
      </c>
      <c r="F5" s="3">
        <v>500</v>
      </c>
      <c r="G5" s="6">
        <v>1</v>
      </c>
      <c r="H5" s="16">
        <v>2</v>
      </c>
      <c r="J5" s="4" t="s">
        <v>139</v>
      </c>
      <c r="K5" s="4">
        <f xml:space="preserve"> AVERAGEIF(Table245[Cụm lần 1],1,Table245[Số lượng sản phẩm mỗi đơn])</f>
        <v>1.8653846153846154</v>
      </c>
      <c r="L5" s="4">
        <f xml:space="preserve"> AVERAGEIF(Table245[Cụm lần 1],2,Table245[Số lượng sản phẩm mỗi đơn])</f>
        <v>2.7222222222222223</v>
      </c>
      <c r="M5" s="4">
        <f xml:space="preserve"> AVERAGEIF(Table245[Cụm lần 1],3,Table245[Số lượng sản phẩm mỗi đơn])</f>
        <v>3.9166666666666665</v>
      </c>
      <c r="O5" s="4">
        <v>4</v>
      </c>
      <c r="P5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142.35424654317742</v>
      </c>
      <c r="Q5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127.83289873893966</v>
      </c>
      <c r="R5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391.72306331556905</v>
      </c>
      <c r="S5" s="4">
        <f t="shared" ref="S5:S68" si="0">IF(MIN(P5,Q5,R5) = P5, 1, IF(MIN(P5,Q5,R5) = Q5, 2,3))</f>
        <v>2</v>
      </c>
      <c r="U5" s="31"/>
      <c r="V5" s="4" t="s">
        <v>139</v>
      </c>
      <c r="W5" s="4">
        <v>1</v>
      </c>
      <c r="X5" s="4">
        <f xml:space="preserve"> AVERAGEIF(Table245[Cụm lần 1],1,Table245[Số lượng sản phẩm mỗi đơn])</f>
        <v>1.8653846153846154</v>
      </c>
      <c r="Y5" s="4"/>
      <c r="Z5" s="4"/>
      <c r="AA5" s="4"/>
    </row>
    <row r="6" spans="1:27" x14ac:dyDescent="0.3">
      <c r="A6" s="3">
        <v>1</v>
      </c>
      <c r="B6" s="3">
        <v>1</v>
      </c>
      <c r="C6" s="3">
        <v>3</v>
      </c>
      <c r="D6" s="3">
        <v>1</v>
      </c>
      <c r="E6" s="4">
        <v>3</v>
      </c>
      <c r="F6" s="3">
        <v>800</v>
      </c>
      <c r="G6" s="6">
        <v>4</v>
      </c>
      <c r="H6" s="16">
        <v>1</v>
      </c>
      <c r="J6" s="4" t="s">
        <v>141</v>
      </c>
      <c r="K6" s="4">
        <f xml:space="preserve"> AVERAGEIF(Table245[Cụm lần 1],1,Table245[Loại sản phẩm quan tâm])</f>
        <v>1.6923076923076923</v>
      </c>
      <c r="L6" s="4">
        <f xml:space="preserve"> AVERAGEIF(Table245[Cụm lần 1],2,Table245[Loại sản phẩm quan tâm])</f>
        <v>5.3611111111111107</v>
      </c>
      <c r="M6" s="4">
        <f xml:space="preserve"> AVERAGEIF(Table245[Cụm lần 1],3,Table245[Loại sản phẩm quan tâm])</f>
        <v>2.6666666666666665</v>
      </c>
      <c r="O6" s="4">
        <v>5</v>
      </c>
      <c r="P6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442.31423824587608</v>
      </c>
      <c r="Q6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427.79281719594644</v>
      </c>
      <c r="R6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91.851102334158156</v>
      </c>
      <c r="S6" s="4">
        <f t="shared" si="0"/>
        <v>3</v>
      </c>
      <c r="U6" s="31"/>
      <c r="V6" s="4" t="s">
        <v>141</v>
      </c>
      <c r="W6" s="4">
        <v>2</v>
      </c>
      <c r="X6" s="4">
        <f xml:space="preserve"> AVERAGEIF(Table245[Cụm lần 1],1,Table245[Loại sản phẩm quan tâm])</f>
        <v>1.6923076923076923</v>
      </c>
      <c r="Y6" s="4"/>
      <c r="Z6" s="4"/>
      <c r="AA6" s="4"/>
    </row>
    <row r="7" spans="1:27" x14ac:dyDescent="0.3">
      <c r="A7" s="3">
        <v>2</v>
      </c>
      <c r="B7" s="3">
        <v>1</v>
      </c>
      <c r="C7" s="3">
        <v>1</v>
      </c>
      <c r="D7" s="3">
        <v>1</v>
      </c>
      <c r="E7" s="4">
        <v>3</v>
      </c>
      <c r="F7" s="3">
        <v>700</v>
      </c>
      <c r="G7" s="6">
        <v>2</v>
      </c>
      <c r="H7" s="16">
        <v>1</v>
      </c>
      <c r="J7" s="4" t="s">
        <v>142</v>
      </c>
      <c r="K7" s="4">
        <f xml:space="preserve"> AVERAGEIF(Table245[Cụm lần 1],1,Table245[Giá trị mỗi đơn (Nghìn)])</f>
        <v>357.69230769230768</v>
      </c>
      <c r="L7" s="4">
        <f xml:space="preserve"> AVERAGEIF(Table245[Cụm lần 1],2,Table245[Giá trị mỗi đơn (Nghìn)])</f>
        <v>372.22222222222223</v>
      </c>
      <c r="M7" s="4">
        <f xml:space="preserve"> AVERAGEIF(Table245[Cụm lần 1],3,Table245[Giá trị mỗi đơn (Nghìn)])</f>
        <v>891.66666666666663</v>
      </c>
      <c r="O7" s="4">
        <v>6</v>
      </c>
      <c r="P7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342.33098127345266</v>
      </c>
      <c r="Q7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327.80715028470286</v>
      </c>
      <c r="R7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191.81751310381782</v>
      </c>
      <c r="S7" s="4">
        <f t="shared" si="0"/>
        <v>3</v>
      </c>
      <c r="U7" s="31"/>
      <c r="V7" s="4" t="s">
        <v>142</v>
      </c>
      <c r="W7" s="4">
        <v>600</v>
      </c>
      <c r="X7" s="4">
        <f xml:space="preserve"> AVERAGEIF(Table245[Cụm lần 1],1,Table245[Giá trị mỗi đơn (Nghìn)])</f>
        <v>357.69230769230768</v>
      </c>
      <c r="Y7" s="4"/>
      <c r="Z7" s="4"/>
      <c r="AA7" s="4"/>
    </row>
    <row r="8" spans="1:27" x14ac:dyDescent="0.3">
      <c r="A8" s="3">
        <v>1</v>
      </c>
      <c r="B8" s="3">
        <v>1</v>
      </c>
      <c r="C8" s="3">
        <v>1</v>
      </c>
      <c r="D8" s="3">
        <v>1</v>
      </c>
      <c r="E8" s="4">
        <v>3</v>
      </c>
      <c r="F8" s="3">
        <v>500</v>
      </c>
      <c r="G8" s="6">
        <v>4</v>
      </c>
      <c r="H8" s="16">
        <v>1</v>
      </c>
      <c r="J8" s="4" t="s">
        <v>113</v>
      </c>
      <c r="K8" s="4">
        <f xml:space="preserve"> AVERAGEIF(Table245[Cụm lần 1],1,Table245[Thời gian])</f>
        <v>3.2884615384615383</v>
      </c>
      <c r="L8" s="4">
        <f xml:space="preserve"> AVERAGEIF(Table245[Cụm lần 1],2,Table245[Thời gian])</f>
        <v>2.5833333333333335</v>
      </c>
      <c r="M8" s="4">
        <f xml:space="preserve"> AVERAGEIF(Table245[Cụm lần 1],3,Table245[Thời gian])</f>
        <v>3.3333333333333335</v>
      </c>
      <c r="O8" s="4">
        <v>7</v>
      </c>
      <c r="P8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142.35992024966552</v>
      </c>
      <c r="Q8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127.85853728068203</v>
      </c>
      <c r="R8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391.73923086665695</v>
      </c>
      <c r="S8" s="4">
        <f t="shared" si="0"/>
        <v>2</v>
      </c>
      <c r="U8" s="31"/>
      <c r="V8" s="4" t="s">
        <v>113</v>
      </c>
      <c r="W8" s="4">
        <v>4</v>
      </c>
      <c r="X8" s="4">
        <f xml:space="preserve"> AVERAGEIF(Table245[Cụm lần 1],1,Table245[Thời gian])</f>
        <v>3.2884615384615383</v>
      </c>
      <c r="Y8" s="4"/>
      <c r="Z8" s="4"/>
      <c r="AA8" s="4"/>
    </row>
    <row r="9" spans="1:27" x14ac:dyDescent="0.3">
      <c r="A9" s="3">
        <v>2</v>
      </c>
      <c r="B9" s="3">
        <v>1</v>
      </c>
      <c r="C9" s="3">
        <v>5</v>
      </c>
      <c r="D9" s="3">
        <v>1</v>
      </c>
      <c r="E9" s="4">
        <v>2</v>
      </c>
      <c r="F9" s="3">
        <v>200</v>
      </c>
      <c r="G9" s="6">
        <v>4</v>
      </c>
      <c r="H9" s="16">
        <v>1</v>
      </c>
      <c r="O9" s="4">
        <v>8</v>
      </c>
      <c r="P9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157.70188760769346</v>
      </c>
      <c r="Q9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172.27763445477575</v>
      </c>
      <c r="R9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691.68029103047309</v>
      </c>
      <c r="S9" s="4">
        <f t="shared" si="0"/>
        <v>1</v>
      </c>
      <c r="U9" s="31" t="s">
        <v>155</v>
      </c>
      <c r="V9" s="4" t="s">
        <v>104</v>
      </c>
      <c r="W9" s="4">
        <v>2</v>
      </c>
      <c r="X9" s="4">
        <f xml:space="preserve"> AVERAGEIF(Table245[Cụm lần 1],2,Table245[Giới tính])</f>
        <v>1.3611111111111112</v>
      </c>
      <c r="Y9" s="4"/>
      <c r="Z9" s="4"/>
      <c r="AA9" s="4"/>
    </row>
    <row r="10" spans="1:27" x14ac:dyDescent="0.3">
      <c r="A10" s="3">
        <v>2</v>
      </c>
      <c r="B10" s="3">
        <v>1</v>
      </c>
      <c r="C10" s="3">
        <v>1</v>
      </c>
      <c r="D10" s="3">
        <v>3</v>
      </c>
      <c r="E10" s="4">
        <v>2</v>
      </c>
      <c r="F10" s="3">
        <v>100</v>
      </c>
      <c r="G10" s="6">
        <v>4</v>
      </c>
      <c r="H10" s="16">
        <v>1</v>
      </c>
      <c r="J10" s="36" t="s">
        <v>163</v>
      </c>
      <c r="K10" s="36"/>
      <c r="L10" s="36"/>
      <c r="M10" s="36"/>
      <c r="O10" s="4">
        <v>9</v>
      </c>
      <c r="P10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257.71891510167319</v>
      </c>
      <c r="Q10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272.265852512658</v>
      </c>
      <c r="R10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791.69772746084516</v>
      </c>
      <c r="S10" s="4">
        <f t="shared" si="0"/>
        <v>1</v>
      </c>
      <c r="U10" s="31"/>
      <c r="V10" s="4" t="s">
        <v>112</v>
      </c>
      <c r="W10" s="4">
        <v>2</v>
      </c>
      <c r="X10" s="4">
        <f xml:space="preserve"> AVERAGEIF(Table245[Cụm lần 1],2,Table245[Khu vực])</f>
        <v>2.1388888888888888</v>
      </c>
      <c r="Y10" s="4"/>
      <c r="Z10" s="4"/>
      <c r="AA10" s="4"/>
    </row>
    <row r="11" spans="1:27" x14ac:dyDescent="0.3">
      <c r="A11" s="3">
        <v>2</v>
      </c>
      <c r="B11" s="3">
        <v>1</v>
      </c>
      <c r="C11" s="3">
        <v>8</v>
      </c>
      <c r="D11" s="3">
        <v>1</v>
      </c>
      <c r="E11" s="4">
        <v>2</v>
      </c>
      <c r="F11" s="3">
        <v>600</v>
      </c>
      <c r="G11" s="6">
        <v>4</v>
      </c>
      <c r="H11" s="16">
        <v>1</v>
      </c>
      <c r="J11" s="37" t="s">
        <v>149</v>
      </c>
      <c r="K11" s="38"/>
      <c r="L11" s="38"/>
      <c r="M11" s="39"/>
      <c r="O11" s="4">
        <v>10</v>
      </c>
      <c r="P11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242.34154372820203</v>
      </c>
      <c r="Q11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227.85332757914441</v>
      </c>
      <c r="R11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291.68611839898489</v>
      </c>
      <c r="S11" s="4">
        <f t="shared" si="0"/>
        <v>2</v>
      </c>
      <c r="U11" s="31"/>
      <c r="V11" s="4" t="s">
        <v>140</v>
      </c>
      <c r="W11" s="4">
        <v>1</v>
      </c>
      <c r="X11" s="4">
        <f xml:space="preserve"> AVERAGEIF(Table245[Cụm lần 1],2,Table245[Tần suất mua hàng (tháng)])</f>
        <v>3.9444444444444446</v>
      </c>
      <c r="Y11" s="4"/>
      <c r="Z11" s="4"/>
      <c r="AA11" s="4"/>
    </row>
    <row r="12" spans="1:27" x14ac:dyDescent="0.3">
      <c r="A12" s="3">
        <v>1</v>
      </c>
      <c r="B12" s="3">
        <v>1</v>
      </c>
      <c r="C12" s="3">
        <v>3</v>
      </c>
      <c r="D12" s="3">
        <v>1</v>
      </c>
      <c r="E12" s="4">
        <v>1</v>
      </c>
      <c r="F12" s="3">
        <v>100</v>
      </c>
      <c r="G12" s="6">
        <v>4</v>
      </c>
      <c r="H12" s="16">
        <v>1</v>
      </c>
      <c r="J12" s="40"/>
      <c r="K12" s="41"/>
      <c r="L12" s="41"/>
      <c r="M12" s="42"/>
      <c r="O12" s="4">
        <v>11</v>
      </c>
      <c r="P12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257.70115512940481</v>
      </c>
      <c r="Q12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272.27054559757283</v>
      </c>
      <c r="R12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791.68972773429368</v>
      </c>
      <c r="S12" s="4">
        <f t="shared" si="0"/>
        <v>1</v>
      </c>
      <c r="U12" s="31"/>
      <c r="V12" s="4" t="s">
        <v>139</v>
      </c>
      <c r="W12" s="4">
        <v>1</v>
      </c>
      <c r="X12" s="4">
        <f xml:space="preserve"> AVERAGEIF(Table245[Cụm lần 1],2,Table245[Số lượng sản phẩm mỗi đơn])</f>
        <v>2.7222222222222223</v>
      </c>
      <c r="Y12" s="4"/>
      <c r="Z12" s="4"/>
      <c r="AA12" s="4"/>
    </row>
    <row r="13" spans="1:27" x14ac:dyDescent="0.3">
      <c r="A13" s="3">
        <v>2</v>
      </c>
      <c r="B13" s="3">
        <v>1</v>
      </c>
      <c r="C13" s="3">
        <v>1</v>
      </c>
      <c r="D13" s="3">
        <v>1</v>
      </c>
      <c r="E13" s="4">
        <v>1</v>
      </c>
      <c r="F13" s="3">
        <v>400</v>
      </c>
      <c r="G13" s="6">
        <v>4</v>
      </c>
      <c r="H13" s="16">
        <v>1</v>
      </c>
      <c r="O13" s="4">
        <v>12</v>
      </c>
      <c r="P13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42.467643443508514</v>
      </c>
      <c r="Q13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28.389649913696047</v>
      </c>
      <c r="R13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491.72684659947805</v>
      </c>
      <c r="S13" s="4">
        <f t="shared" si="0"/>
        <v>2</v>
      </c>
      <c r="U13" s="31"/>
      <c r="V13" s="4" t="s">
        <v>141</v>
      </c>
      <c r="W13" s="4">
        <v>5</v>
      </c>
      <c r="X13" s="4">
        <f xml:space="preserve"> AVERAGEIF(Table245[Cụm lần 1],2,Table245[Loại sản phẩm quan tâm])</f>
        <v>5.3611111111111107</v>
      </c>
      <c r="Y13" s="4"/>
      <c r="Z13" s="4"/>
      <c r="AA13" s="4"/>
    </row>
    <row r="14" spans="1:27" x14ac:dyDescent="0.3">
      <c r="A14" s="3">
        <v>2</v>
      </c>
      <c r="B14" s="3">
        <v>1</v>
      </c>
      <c r="C14" s="3">
        <v>4</v>
      </c>
      <c r="D14" s="3">
        <v>1</v>
      </c>
      <c r="E14" s="4">
        <v>3</v>
      </c>
      <c r="F14" s="3">
        <v>600</v>
      </c>
      <c r="G14" s="6">
        <v>3</v>
      </c>
      <c r="H14" s="16">
        <v>1</v>
      </c>
      <c r="O14" s="4">
        <v>13</v>
      </c>
      <c r="P14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242.31543485798466</v>
      </c>
      <c r="Q14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227.80065603261303</v>
      </c>
      <c r="R14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291.70897312218557</v>
      </c>
      <c r="S14" s="4">
        <f t="shared" si="0"/>
        <v>2</v>
      </c>
      <c r="U14" s="31"/>
      <c r="V14" s="4" t="s">
        <v>142</v>
      </c>
      <c r="W14" s="4">
        <v>600</v>
      </c>
      <c r="X14" s="4">
        <f xml:space="preserve"> AVERAGEIF(Table245[Cụm lần 1],2,Table245[Giá trị mỗi đơn (Nghìn)])</f>
        <v>372.22222222222223</v>
      </c>
      <c r="Y14" s="4"/>
      <c r="Z14" s="4"/>
      <c r="AA14" s="4"/>
    </row>
    <row r="15" spans="1:27" x14ac:dyDescent="0.3">
      <c r="A15" s="3">
        <v>2</v>
      </c>
      <c r="B15" s="3">
        <v>1</v>
      </c>
      <c r="C15" s="3">
        <v>1</v>
      </c>
      <c r="D15" s="3">
        <v>4</v>
      </c>
      <c r="E15" s="4">
        <v>3</v>
      </c>
      <c r="F15" s="3">
        <v>500</v>
      </c>
      <c r="G15" s="6">
        <v>3</v>
      </c>
      <c r="H15" s="16">
        <v>1</v>
      </c>
      <c r="J15" s="21"/>
      <c r="K15" s="21"/>
      <c r="L15" s="21"/>
      <c r="M15" s="21"/>
      <c r="O15" s="4">
        <v>14</v>
      </c>
      <c r="P15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142.37153713365188</v>
      </c>
      <c r="Q15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127.84723957390189</v>
      </c>
      <c r="R15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391.72753073192763</v>
      </c>
      <c r="S15" s="4">
        <f t="shared" si="0"/>
        <v>2</v>
      </c>
      <c r="U15" s="31"/>
      <c r="V15" s="4" t="s">
        <v>113</v>
      </c>
      <c r="W15" s="4">
        <v>1</v>
      </c>
      <c r="X15" s="4">
        <f xml:space="preserve"> AVERAGEIF(Table245[Cụm lần 1],2,Table245[Thời gian])</f>
        <v>2.5833333333333335</v>
      </c>
      <c r="Y15" s="4"/>
      <c r="Z15" s="4"/>
      <c r="AA15" s="4"/>
    </row>
    <row r="16" spans="1:27" x14ac:dyDescent="0.3">
      <c r="A16" s="3">
        <v>1</v>
      </c>
      <c r="B16" s="3">
        <v>1</v>
      </c>
      <c r="C16" s="3">
        <v>10</v>
      </c>
      <c r="D16" s="3">
        <v>5</v>
      </c>
      <c r="E16" s="4">
        <v>3</v>
      </c>
      <c r="F16" s="3">
        <v>1000</v>
      </c>
      <c r="G16" s="6">
        <v>4</v>
      </c>
      <c r="H16" s="16">
        <v>3</v>
      </c>
      <c r="J16" s="21"/>
      <c r="K16" s="21"/>
      <c r="L16" s="21"/>
      <c r="M16" s="21"/>
      <c r="O16" s="4">
        <v>15</v>
      </c>
      <c r="P16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642.343576266171</v>
      </c>
      <c r="Q16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627.81829023655848</v>
      </c>
      <c r="R16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108.37492791231747</v>
      </c>
      <c r="S16" s="4">
        <f t="shared" si="0"/>
        <v>3</v>
      </c>
      <c r="U16" s="31" t="s">
        <v>156</v>
      </c>
      <c r="V16" s="4" t="s">
        <v>104</v>
      </c>
      <c r="W16" s="4">
        <v>2</v>
      </c>
      <c r="X16" s="4">
        <f xml:space="preserve"> AVERAGEIF(Table245[Cụm lần 1],3,Table245[Giới tính])</f>
        <v>1.6666666666666667</v>
      </c>
      <c r="Y16" s="4"/>
      <c r="Z16" s="4"/>
      <c r="AA16" s="4"/>
    </row>
    <row r="17" spans="1:27" x14ac:dyDescent="0.3">
      <c r="A17" s="3">
        <v>2</v>
      </c>
      <c r="B17" s="3">
        <v>1</v>
      </c>
      <c r="C17" s="3">
        <v>1</v>
      </c>
      <c r="D17" s="3">
        <v>1</v>
      </c>
      <c r="E17" s="4">
        <v>3</v>
      </c>
      <c r="F17" s="3">
        <v>200</v>
      </c>
      <c r="G17" s="6">
        <v>4</v>
      </c>
      <c r="H17" s="16">
        <v>1</v>
      </c>
      <c r="J17" s="21"/>
      <c r="K17" s="21"/>
      <c r="L17" s="21"/>
      <c r="M17" s="21"/>
      <c r="O17" s="4">
        <v>16</v>
      </c>
      <c r="P17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157.73919800036646</v>
      </c>
      <c r="Q17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172.28295524127356</v>
      </c>
      <c r="R17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691.70751887388542</v>
      </c>
      <c r="S17" s="4">
        <f t="shared" si="0"/>
        <v>1</v>
      </c>
      <c r="U17" s="31"/>
      <c r="V17" s="4" t="s">
        <v>112</v>
      </c>
      <c r="W17" s="4">
        <v>3</v>
      </c>
      <c r="X17" s="4">
        <f xml:space="preserve"> AVERAGEIF(Table245[Cụm lần 1],3,Table245[Khu vực])</f>
        <v>2.3333333333333335</v>
      </c>
      <c r="Y17" s="4"/>
      <c r="Z17" s="4"/>
      <c r="AA17" s="4"/>
    </row>
    <row r="18" spans="1:27" x14ac:dyDescent="0.3">
      <c r="A18" s="3">
        <v>2</v>
      </c>
      <c r="B18" s="3">
        <v>1</v>
      </c>
      <c r="C18" s="3">
        <v>4</v>
      </c>
      <c r="D18" s="3">
        <v>1</v>
      </c>
      <c r="E18" s="4">
        <v>3</v>
      </c>
      <c r="F18" s="3">
        <v>200</v>
      </c>
      <c r="G18" s="6">
        <v>4</v>
      </c>
      <c r="H18" s="16">
        <v>1</v>
      </c>
      <c r="J18" s="21"/>
      <c r="K18" s="21"/>
      <c r="L18" s="21"/>
      <c r="M18" s="21"/>
      <c r="O18" s="4">
        <v>17</v>
      </c>
      <c r="P18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157.70554587960257</v>
      </c>
      <c r="Q18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172.25780098445469</v>
      </c>
      <c r="R18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691.68474875962579</v>
      </c>
      <c r="S18" s="4">
        <f t="shared" si="0"/>
        <v>1</v>
      </c>
      <c r="U18" s="31"/>
      <c r="V18" s="4" t="s">
        <v>140</v>
      </c>
      <c r="W18" s="4">
        <v>3</v>
      </c>
      <c r="X18" s="4">
        <f xml:space="preserve"> AVERAGEIF(Table245[Cụm lần 1],3,Table245[Tần suất mua hàng (tháng)])</f>
        <v>7.75</v>
      </c>
      <c r="Y18" s="4"/>
      <c r="Z18" s="4"/>
      <c r="AA18" s="4"/>
    </row>
    <row r="19" spans="1:27" x14ac:dyDescent="0.3">
      <c r="A19" s="3">
        <v>2</v>
      </c>
      <c r="B19" s="3">
        <v>1</v>
      </c>
      <c r="C19" s="3">
        <v>4</v>
      </c>
      <c r="D19" s="3">
        <v>1</v>
      </c>
      <c r="E19" s="4">
        <v>2</v>
      </c>
      <c r="F19" s="3">
        <v>200</v>
      </c>
      <c r="G19" s="6">
        <v>4</v>
      </c>
      <c r="H19" s="16">
        <v>1</v>
      </c>
      <c r="J19" s="21"/>
      <c r="K19" s="21"/>
      <c r="L19" s="21"/>
      <c r="M19" s="21"/>
      <c r="O19" s="4">
        <v>18</v>
      </c>
      <c r="P19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157.70042427516816</v>
      </c>
      <c r="Q19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172.27440965570662</v>
      </c>
      <c r="R19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691.68498971713996</v>
      </c>
      <c r="S19" s="4">
        <f t="shared" si="0"/>
        <v>1</v>
      </c>
      <c r="U19" s="31"/>
      <c r="V19" s="4" t="s">
        <v>139</v>
      </c>
      <c r="W19" s="4">
        <v>5</v>
      </c>
      <c r="X19" s="4">
        <f xml:space="preserve"> AVERAGEIF(Table245[Cụm lần 1],3,Table245[Số lượng sản phẩm mỗi đơn])</f>
        <v>3.9166666666666665</v>
      </c>
      <c r="Y19" s="4"/>
      <c r="Z19" s="4"/>
      <c r="AA19" s="4"/>
    </row>
    <row r="20" spans="1:27" x14ac:dyDescent="0.3">
      <c r="A20" s="3">
        <v>2</v>
      </c>
      <c r="B20" s="3">
        <v>1</v>
      </c>
      <c r="C20" s="3">
        <v>8</v>
      </c>
      <c r="D20" s="3">
        <v>2</v>
      </c>
      <c r="E20" s="4">
        <v>2</v>
      </c>
      <c r="F20" s="3">
        <v>400</v>
      </c>
      <c r="G20" s="6">
        <v>4</v>
      </c>
      <c r="H20" s="16">
        <v>1</v>
      </c>
      <c r="J20" s="21"/>
      <c r="K20" s="21"/>
      <c r="L20" s="21"/>
      <c r="M20" s="21"/>
      <c r="O20" s="4">
        <v>19</v>
      </c>
      <c r="P20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42.492541983980622</v>
      </c>
      <c r="Q20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28.347545455177119</v>
      </c>
      <c r="R20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491.67329091582752</v>
      </c>
      <c r="S20" s="4">
        <f t="shared" si="0"/>
        <v>2</v>
      </c>
      <c r="U20" s="31"/>
      <c r="V20" s="4" t="s">
        <v>141</v>
      </c>
      <c r="W20" s="4">
        <v>1</v>
      </c>
      <c r="X20" s="4">
        <f xml:space="preserve"> AVERAGEIF(Table245[Cụm lần 1],3,Table245[Loại sản phẩm quan tâm])</f>
        <v>2.6666666666666665</v>
      </c>
      <c r="Y20" s="4"/>
      <c r="Z20" s="4"/>
      <c r="AA20" s="4"/>
    </row>
    <row r="21" spans="1:27" x14ac:dyDescent="0.3">
      <c r="A21" s="3">
        <v>2</v>
      </c>
      <c r="B21" s="3">
        <v>1</v>
      </c>
      <c r="C21" s="3">
        <v>6</v>
      </c>
      <c r="D21" s="3">
        <v>1</v>
      </c>
      <c r="E21" s="4">
        <v>2</v>
      </c>
      <c r="F21" s="3">
        <v>200</v>
      </c>
      <c r="G21" s="6">
        <v>4</v>
      </c>
      <c r="H21" s="16">
        <v>1</v>
      </c>
      <c r="J21" s="21"/>
      <c r="K21" s="21"/>
      <c r="L21" s="21"/>
      <c r="M21" s="21"/>
      <c r="O21" s="4">
        <v>20</v>
      </c>
      <c r="P21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157.70969181851547</v>
      </c>
      <c r="Q21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172.28666357105081</v>
      </c>
      <c r="R21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691.67703807485179</v>
      </c>
      <c r="S21" s="4">
        <f t="shared" si="0"/>
        <v>1</v>
      </c>
      <c r="U21" s="31"/>
      <c r="V21" s="4" t="s">
        <v>142</v>
      </c>
      <c r="W21" s="4">
        <v>1000</v>
      </c>
      <c r="X21" s="4">
        <f xml:space="preserve"> AVERAGEIF(Table245[Cụm lần 1],3,Table245[Giá trị mỗi đơn (Nghìn)])</f>
        <v>891.66666666666663</v>
      </c>
      <c r="Y21" s="4"/>
      <c r="Z21" s="4"/>
      <c r="AA21" s="4"/>
    </row>
    <row r="22" spans="1:27" x14ac:dyDescent="0.3">
      <c r="A22" s="3">
        <v>2</v>
      </c>
      <c r="B22" s="3">
        <v>1</v>
      </c>
      <c r="C22" s="3">
        <v>4</v>
      </c>
      <c r="D22" s="3">
        <v>3</v>
      </c>
      <c r="E22" s="4">
        <v>1</v>
      </c>
      <c r="F22" s="3">
        <v>800</v>
      </c>
      <c r="G22" s="6">
        <v>4</v>
      </c>
      <c r="H22" s="16">
        <v>3</v>
      </c>
      <c r="J22" s="21"/>
      <c r="K22" s="21"/>
      <c r="L22" s="21"/>
      <c r="M22" s="21"/>
      <c r="O22" s="4">
        <v>21</v>
      </c>
      <c r="P22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442.31162958113805</v>
      </c>
      <c r="Q22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427.80444000604865</v>
      </c>
      <c r="R22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91.77576840684398</v>
      </c>
      <c r="S22" s="4">
        <f t="shared" si="0"/>
        <v>3</v>
      </c>
      <c r="U22" s="31"/>
      <c r="V22" s="4" t="s">
        <v>113</v>
      </c>
      <c r="W22" s="4">
        <v>4</v>
      </c>
      <c r="X22" s="4">
        <f xml:space="preserve"> AVERAGEIF(Table245[Cụm lần 1],3,Table245[Thời gian])</f>
        <v>3.3333333333333335</v>
      </c>
      <c r="Y22" s="4"/>
      <c r="Z22" s="4"/>
      <c r="AA22" s="4"/>
    </row>
    <row r="23" spans="1:27" x14ac:dyDescent="0.3">
      <c r="A23" s="3">
        <v>1</v>
      </c>
      <c r="B23" s="3">
        <v>1</v>
      </c>
      <c r="C23" s="3">
        <v>1</v>
      </c>
      <c r="D23" s="3">
        <v>1</v>
      </c>
      <c r="E23" s="4">
        <v>1</v>
      </c>
      <c r="F23" s="3">
        <v>300</v>
      </c>
      <c r="G23" s="6">
        <v>4</v>
      </c>
      <c r="H23" s="16">
        <v>1</v>
      </c>
      <c r="O23" s="4">
        <v>22</v>
      </c>
      <c r="P23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57.81037278191026</v>
      </c>
      <c r="Q23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72.457842148996477</v>
      </c>
      <c r="R23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591.71695795653284</v>
      </c>
      <c r="S23" s="4">
        <f t="shared" si="0"/>
        <v>1</v>
      </c>
    </row>
    <row r="24" spans="1:27" x14ac:dyDescent="0.3">
      <c r="A24" s="3">
        <v>1</v>
      </c>
      <c r="B24" s="3">
        <v>1</v>
      </c>
      <c r="C24" s="3">
        <v>4</v>
      </c>
      <c r="D24" s="3">
        <v>1</v>
      </c>
      <c r="E24" s="4">
        <v>1</v>
      </c>
      <c r="F24" s="3">
        <v>600</v>
      </c>
      <c r="G24" s="6">
        <v>1</v>
      </c>
      <c r="H24" s="16">
        <v>1</v>
      </c>
      <c r="O24" s="4">
        <v>23</v>
      </c>
      <c r="P24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242.32368842194154</v>
      </c>
      <c r="Q24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227.83467446569426</v>
      </c>
      <c r="R24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291.72325641493393</v>
      </c>
      <c r="S24" s="4">
        <f t="shared" si="0"/>
        <v>2</v>
      </c>
    </row>
    <row r="25" spans="1:27" x14ac:dyDescent="0.3">
      <c r="A25" s="3">
        <v>1</v>
      </c>
      <c r="B25" s="3">
        <v>1</v>
      </c>
      <c r="C25" s="3">
        <v>4</v>
      </c>
      <c r="D25" s="3">
        <v>4</v>
      </c>
      <c r="E25" s="4">
        <v>2</v>
      </c>
      <c r="F25" s="3">
        <v>400</v>
      </c>
      <c r="G25" s="6">
        <v>4</v>
      </c>
      <c r="H25" s="16">
        <v>1</v>
      </c>
      <c r="O25" s="4">
        <v>24</v>
      </c>
      <c r="P25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42.383786464042906</v>
      </c>
      <c r="Q25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28.070842919695554</v>
      </c>
      <c r="R25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491.68413810765406</v>
      </c>
      <c r="S25" s="4">
        <f t="shared" si="0"/>
        <v>2</v>
      </c>
    </row>
    <row r="26" spans="1:27" x14ac:dyDescent="0.3">
      <c r="A26" s="3">
        <v>1</v>
      </c>
      <c r="B26" s="3">
        <v>1</v>
      </c>
      <c r="C26" s="3">
        <v>4</v>
      </c>
      <c r="D26" s="3">
        <v>2</v>
      </c>
      <c r="E26" s="4">
        <v>3</v>
      </c>
      <c r="F26" s="3">
        <v>300</v>
      </c>
      <c r="G26" s="6">
        <v>2</v>
      </c>
      <c r="H26" s="16">
        <v>1</v>
      </c>
      <c r="O26" s="4">
        <v>25</v>
      </c>
      <c r="P26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57.732812704058446</v>
      </c>
      <c r="Q26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72.276667512183124</v>
      </c>
      <c r="R26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591.68512881993797</v>
      </c>
      <c r="S26" s="4">
        <f t="shared" si="0"/>
        <v>1</v>
      </c>
    </row>
    <row r="27" spans="1:27" x14ac:dyDescent="0.3">
      <c r="A27" s="3">
        <v>1</v>
      </c>
      <c r="B27" s="3">
        <v>1</v>
      </c>
      <c r="C27" s="3">
        <v>4</v>
      </c>
      <c r="D27" s="3">
        <v>4</v>
      </c>
      <c r="E27" s="4">
        <v>3</v>
      </c>
      <c r="F27" s="3">
        <v>400</v>
      </c>
      <c r="G27" s="6">
        <v>3</v>
      </c>
      <c r="H27" s="16">
        <v>1</v>
      </c>
      <c r="O27" s="4">
        <v>26</v>
      </c>
      <c r="P27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42.397849741725047</v>
      </c>
      <c r="Q27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27.935938621543869</v>
      </c>
      <c r="R27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491.68346016517575</v>
      </c>
      <c r="S27" s="4">
        <f t="shared" si="0"/>
        <v>2</v>
      </c>
    </row>
    <row r="28" spans="1:27" x14ac:dyDescent="0.3">
      <c r="A28" s="3">
        <v>1</v>
      </c>
      <c r="B28" s="3">
        <v>1</v>
      </c>
      <c r="C28" s="3">
        <v>3</v>
      </c>
      <c r="D28" s="3">
        <v>3</v>
      </c>
      <c r="E28" s="4">
        <v>6</v>
      </c>
      <c r="F28" s="3">
        <v>400</v>
      </c>
      <c r="G28" s="6">
        <v>4</v>
      </c>
      <c r="H28" s="16">
        <v>2</v>
      </c>
      <c r="O28" s="4">
        <v>27</v>
      </c>
      <c r="P28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42.580701312453229</v>
      </c>
      <c r="Q28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27.864254281546213</v>
      </c>
      <c r="R28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491.70447594735867</v>
      </c>
      <c r="S28" s="4">
        <f t="shared" si="0"/>
        <v>2</v>
      </c>
    </row>
    <row r="29" spans="1:27" x14ac:dyDescent="0.3">
      <c r="A29" s="3">
        <v>1</v>
      </c>
      <c r="B29" s="3">
        <v>1</v>
      </c>
      <c r="C29" s="3">
        <v>5</v>
      </c>
      <c r="D29" s="3">
        <v>2</v>
      </c>
      <c r="E29" s="4">
        <v>6</v>
      </c>
      <c r="F29" s="3">
        <v>400</v>
      </c>
      <c r="G29" s="6">
        <v>2</v>
      </c>
      <c r="H29" s="16">
        <v>2</v>
      </c>
      <c r="O29" s="4">
        <v>28</v>
      </c>
      <c r="P29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42.56669844571045</v>
      </c>
      <c r="Q29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27.846304362817456</v>
      </c>
      <c r="R29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491.6934597219423</v>
      </c>
      <c r="S29" s="4">
        <f t="shared" si="0"/>
        <v>2</v>
      </c>
    </row>
    <row r="30" spans="1:27" x14ac:dyDescent="0.3">
      <c r="A30" s="3">
        <v>1</v>
      </c>
      <c r="B30" s="3">
        <v>1</v>
      </c>
      <c r="C30" s="3">
        <v>3</v>
      </c>
      <c r="D30" s="3">
        <v>3</v>
      </c>
      <c r="E30" s="4">
        <v>6</v>
      </c>
      <c r="F30" s="3">
        <v>300</v>
      </c>
      <c r="G30" s="6">
        <v>1</v>
      </c>
      <c r="H30" s="16">
        <v>2</v>
      </c>
      <c r="O30" s="4">
        <v>29</v>
      </c>
      <c r="P30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57.933655434062338</v>
      </c>
      <c r="Q30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72.258986369247609</v>
      </c>
      <c r="R30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591.70231113288708</v>
      </c>
      <c r="S30" s="4">
        <f t="shared" si="0"/>
        <v>1</v>
      </c>
    </row>
    <row r="31" spans="1:27" x14ac:dyDescent="0.3">
      <c r="A31" s="3">
        <v>1</v>
      </c>
      <c r="B31" s="3">
        <v>1</v>
      </c>
      <c r="C31" s="3">
        <v>7</v>
      </c>
      <c r="D31" s="3">
        <v>4</v>
      </c>
      <c r="E31" s="4">
        <v>6</v>
      </c>
      <c r="F31" s="3">
        <v>400</v>
      </c>
      <c r="G31" s="6">
        <v>3</v>
      </c>
      <c r="H31" s="16">
        <v>2</v>
      </c>
      <c r="O31" s="4">
        <v>30</v>
      </c>
      <c r="P31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42.682647902311118</v>
      </c>
      <c r="Q31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28.010414729763159</v>
      </c>
      <c r="R31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491.68091787255685</v>
      </c>
      <c r="S31" s="4">
        <f t="shared" si="0"/>
        <v>2</v>
      </c>
    </row>
    <row r="32" spans="1:27" x14ac:dyDescent="0.3">
      <c r="A32" s="3">
        <v>1</v>
      </c>
      <c r="B32" s="3">
        <v>1</v>
      </c>
      <c r="C32" s="3">
        <v>4</v>
      </c>
      <c r="D32" s="3">
        <v>2</v>
      </c>
      <c r="E32" s="4">
        <v>1</v>
      </c>
      <c r="F32" s="3">
        <v>300</v>
      </c>
      <c r="G32" s="6">
        <v>2</v>
      </c>
      <c r="H32" s="16">
        <v>1</v>
      </c>
      <c r="O32" s="4">
        <v>31</v>
      </c>
      <c r="P32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57.722152536882433</v>
      </c>
      <c r="Q32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72.369614556878162</v>
      </c>
      <c r="R32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591.68738226645769</v>
      </c>
      <c r="S32" s="4">
        <f t="shared" si="0"/>
        <v>1</v>
      </c>
    </row>
    <row r="33" spans="1:19" x14ac:dyDescent="0.3">
      <c r="A33" s="3">
        <v>2</v>
      </c>
      <c r="B33" s="3">
        <v>1</v>
      </c>
      <c r="C33" s="3">
        <v>3</v>
      </c>
      <c r="D33" s="3">
        <v>3</v>
      </c>
      <c r="E33" s="4">
        <v>3</v>
      </c>
      <c r="F33" s="3">
        <v>500</v>
      </c>
      <c r="G33" s="6">
        <v>2</v>
      </c>
      <c r="H33" s="16">
        <v>1</v>
      </c>
      <c r="O33" s="4">
        <v>32</v>
      </c>
      <c r="P33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142.33371123886846</v>
      </c>
      <c r="Q33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127.81138446945953</v>
      </c>
      <c r="R33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391.7013637113526</v>
      </c>
      <c r="S33" s="4">
        <f t="shared" si="0"/>
        <v>2</v>
      </c>
    </row>
    <row r="34" spans="1:19" x14ac:dyDescent="0.3">
      <c r="A34" s="3">
        <v>2</v>
      </c>
      <c r="B34" s="3">
        <v>1</v>
      </c>
      <c r="C34" s="3">
        <v>9</v>
      </c>
      <c r="D34" s="3">
        <v>2</v>
      </c>
      <c r="E34" s="4">
        <v>1</v>
      </c>
      <c r="F34" s="3">
        <v>300</v>
      </c>
      <c r="G34" s="6">
        <v>4</v>
      </c>
      <c r="H34" s="16">
        <v>1</v>
      </c>
      <c r="O34" s="4">
        <v>33</v>
      </c>
      <c r="P34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57.904436933347739</v>
      </c>
      <c r="Q34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72.559362670237888</v>
      </c>
      <c r="R34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591.67541073350901</v>
      </c>
      <c r="S34" s="4">
        <f t="shared" si="0"/>
        <v>1</v>
      </c>
    </row>
    <row r="35" spans="1:19" x14ac:dyDescent="0.3">
      <c r="A35" s="3">
        <v>2</v>
      </c>
      <c r="B35" s="3">
        <v>2</v>
      </c>
      <c r="C35" s="3">
        <v>3</v>
      </c>
      <c r="D35" s="3">
        <v>4</v>
      </c>
      <c r="E35" s="4">
        <v>1</v>
      </c>
      <c r="F35" s="3">
        <v>500</v>
      </c>
      <c r="G35" s="6">
        <v>2</v>
      </c>
      <c r="H35" s="16">
        <v>1</v>
      </c>
      <c r="O35" s="4">
        <v>34</v>
      </c>
      <c r="P35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142.33762938747074</v>
      </c>
      <c r="Q35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127.86505473436524</v>
      </c>
      <c r="R35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391.70157645840533</v>
      </c>
      <c r="S35" s="4">
        <f t="shared" si="0"/>
        <v>2</v>
      </c>
    </row>
    <row r="36" spans="1:19" x14ac:dyDescent="0.3">
      <c r="A36" s="3">
        <v>2</v>
      </c>
      <c r="B36" s="3">
        <v>2</v>
      </c>
      <c r="C36" s="3">
        <v>8</v>
      </c>
      <c r="D36" s="3">
        <v>2</v>
      </c>
      <c r="E36" s="4">
        <v>1</v>
      </c>
      <c r="F36" s="3">
        <v>900</v>
      </c>
      <c r="G36" s="6">
        <v>2</v>
      </c>
      <c r="H36" s="16">
        <v>3</v>
      </c>
      <c r="O36" s="4">
        <v>35</v>
      </c>
      <c r="P36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542.32271187602691</v>
      </c>
      <c r="Q36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527.8125982665523</v>
      </c>
      <c r="R36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8.8294016407304738</v>
      </c>
      <c r="S36" s="4">
        <f t="shared" si="0"/>
        <v>3</v>
      </c>
    </row>
    <row r="37" spans="1:19" x14ac:dyDescent="0.3">
      <c r="A37" s="3">
        <v>2</v>
      </c>
      <c r="B37" s="3">
        <v>2</v>
      </c>
      <c r="C37" s="3">
        <v>8</v>
      </c>
      <c r="D37" s="3">
        <v>4</v>
      </c>
      <c r="E37" s="4">
        <v>1</v>
      </c>
      <c r="F37" s="3">
        <v>300</v>
      </c>
      <c r="G37" s="6">
        <v>4</v>
      </c>
      <c r="H37" s="16">
        <v>1</v>
      </c>
      <c r="O37" s="4">
        <v>36</v>
      </c>
      <c r="P37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57.862575666158278</v>
      </c>
      <c r="Q37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72.495402153056119</v>
      </c>
      <c r="R37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591.66963614278302</v>
      </c>
      <c r="S37" s="4">
        <f t="shared" si="0"/>
        <v>1</v>
      </c>
    </row>
    <row r="38" spans="1:19" x14ac:dyDescent="0.3">
      <c r="A38" s="3">
        <v>2</v>
      </c>
      <c r="B38" s="3">
        <v>2</v>
      </c>
      <c r="C38" s="3">
        <v>10</v>
      </c>
      <c r="D38" s="3">
        <v>5</v>
      </c>
      <c r="E38" s="4">
        <v>5</v>
      </c>
      <c r="F38" s="3">
        <v>800</v>
      </c>
      <c r="G38" s="6">
        <v>2</v>
      </c>
      <c r="H38" s="16">
        <v>3</v>
      </c>
      <c r="O38" s="4">
        <v>37</v>
      </c>
      <c r="P38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442.37040776110001</v>
      </c>
      <c r="Q38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427.82774960646645</v>
      </c>
      <c r="R38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91.74125753080412</v>
      </c>
      <c r="S38" s="4">
        <f t="shared" si="0"/>
        <v>3</v>
      </c>
    </row>
    <row r="39" spans="1:19" x14ac:dyDescent="0.3">
      <c r="A39" s="3">
        <v>2</v>
      </c>
      <c r="B39" s="3">
        <v>2</v>
      </c>
      <c r="C39" s="3">
        <v>1</v>
      </c>
      <c r="D39" s="3">
        <v>1</v>
      </c>
      <c r="E39" s="4">
        <v>5</v>
      </c>
      <c r="F39" s="3">
        <v>600</v>
      </c>
      <c r="G39" s="6">
        <v>1</v>
      </c>
      <c r="H39" s="16">
        <v>2</v>
      </c>
      <c r="O39" s="4">
        <v>38</v>
      </c>
      <c r="P39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242.36511071829446</v>
      </c>
      <c r="Q39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227.81004513995134</v>
      </c>
      <c r="R39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291.77838336655435</v>
      </c>
      <c r="S39" s="4">
        <f t="shared" si="0"/>
        <v>2</v>
      </c>
    </row>
    <row r="40" spans="1:19" x14ac:dyDescent="0.3">
      <c r="A40" s="3">
        <v>1</v>
      </c>
      <c r="B40" s="3">
        <v>2</v>
      </c>
      <c r="C40" s="3">
        <v>3</v>
      </c>
      <c r="D40" s="3">
        <v>3</v>
      </c>
      <c r="E40" s="4">
        <v>5</v>
      </c>
      <c r="F40" s="3">
        <v>500</v>
      </c>
      <c r="G40" s="6">
        <v>2</v>
      </c>
      <c r="H40" s="16">
        <v>2</v>
      </c>
      <c r="O40" s="4">
        <v>39</v>
      </c>
      <c r="P40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142.36316226613613</v>
      </c>
      <c r="Q40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127.78399743316844</v>
      </c>
      <c r="R40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391.70646960872796</v>
      </c>
      <c r="S40" s="4">
        <f t="shared" si="0"/>
        <v>2</v>
      </c>
    </row>
    <row r="41" spans="1:19" x14ac:dyDescent="0.3">
      <c r="A41" s="3">
        <v>2</v>
      </c>
      <c r="B41" s="3">
        <v>2</v>
      </c>
      <c r="C41" s="3">
        <v>3</v>
      </c>
      <c r="D41" s="3">
        <v>1</v>
      </c>
      <c r="E41" s="4">
        <v>5</v>
      </c>
      <c r="F41" s="3">
        <v>200</v>
      </c>
      <c r="G41" s="6">
        <v>3</v>
      </c>
      <c r="H41" s="16">
        <v>2</v>
      </c>
      <c r="O41" s="4">
        <v>40</v>
      </c>
      <c r="P41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157.73541859109039</v>
      </c>
      <c r="Q41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172.23554607958641</v>
      </c>
      <c r="R41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691.69330269997556</v>
      </c>
      <c r="S41" s="4">
        <f t="shared" si="0"/>
        <v>1</v>
      </c>
    </row>
    <row r="42" spans="1:19" x14ac:dyDescent="0.3">
      <c r="A42" s="3">
        <v>2</v>
      </c>
      <c r="B42" s="3">
        <v>2</v>
      </c>
      <c r="C42" s="3">
        <v>4</v>
      </c>
      <c r="D42" s="3">
        <v>4</v>
      </c>
      <c r="E42" s="4">
        <v>5</v>
      </c>
      <c r="F42" s="3">
        <v>500</v>
      </c>
      <c r="G42" s="6">
        <v>2</v>
      </c>
      <c r="H42" s="16">
        <v>2</v>
      </c>
      <c r="O42" s="4">
        <v>41</v>
      </c>
      <c r="P42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142.36897069434775</v>
      </c>
      <c r="Q42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127.78769285202877</v>
      </c>
      <c r="R42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391.69413024280396</v>
      </c>
      <c r="S42" s="4">
        <f t="shared" si="0"/>
        <v>2</v>
      </c>
    </row>
    <row r="43" spans="1:19" x14ac:dyDescent="0.3">
      <c r="A43" s="3">
        <v>2</v>
      </c>
      <c r="B43" s="3">
        <v>2</v>
      </c>
      <c r="C43" s="3">
        <v>8</v>
      </c>
      <c r="D43" s="3">
        <v>2</v>
      </c>
      <c r="E43" s="4">
        <v>5</v>
      </c>
      <c r="F43" s="3">
        <v>200</v>
      </c>
      <c r="G43" s="6">
        <v>4</v>
      </c>
      <c r="H43" s="16">
        <v>2</v>
      </c>
      <c r="O43" s="4">
        <v>42</v>
      </c>
      <c r="P43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157.77345238697956</v>
      </c>
      <c r="Q43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172.27892435750167</v>
      </c>
      <c r="R43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691.67378510393178</v>
      </c>
      <c r="S43" s="4">
        <f t="shared" si="0"/>
        <v>1</v>
      </c>
    </row>
    <row r="44" spans="1:19" x14ac:dyDescent="0.3">
      <c r="A44" s="3">
        <v>1</v>
      </c>
      <c r="B44" s="3">
        <v>2</v>
      </c>
      <c r="C44" s="3">
        <v>3</v>
      </c>
      <c r="D44" s="3">
        <v>3</v>
      </c>
      <c r="E44" s="4">
        <v>5</v>
      </c>
      <c r="F44" s="3">
        <v>400</v>
      </c>
      <c r="G44" s="6">
        <v>4</v>
      </c>
      <c r="H44" s="16">
        <v>2</v>
      </c>
      <c r="O44" s="4">
        <v>43</v>
      </c>
      <c r="P44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42.480320887699222</v>
      </c>
      <c r="Q44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27.83632718429482</v>
      </c>
      <c r="R44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491.69701883714254</v>
      </c>
      <c r="S44" s="4">
        <f t="shared" si="0"/>
        <v>2</v>
      </c>
    </row>
    <row r="45" spans="1:19" x14ac:dyDescent="0.3">
      <c r="A45" s="3">
        <v>1</v>
      </c>
      <c r="B45" s="3">
        <v>2</v>
      </c>
      <c r="C45" s="3">
        <v>5</v>
      </c>
      <c r="D45" s="3">
        <v>5</v>
      </c>
      <c r="E45" s="4">
        <v>5</v>
      </c>
      <c r="F45" s="3">
        <v>500</v>
      </c>
      <c r="G45" s="6">
        <v>3</v>
      </c>
      <c r="H45" s="16">
        <v>2</v>
      </c>
      <c r="O45" s="4">
        <v>44</v>
      </c>
      <c r="P45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142.38382838580659</v>
      </c>
      <c r="Q45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127.80421224148547</v>
      </c>
      <c r="R45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391.6856201087806</v>
      </c>
      <c r="S45" s="4">
        <f t="shared" si="0"/>
        <v>2</v>
      </c>
    </row>
    <row r="46" spans="1:19" x14ac:dyDescent="0.3">
      <c r="A46" s="3">
        <v>1</v>
      </c>
      <c r="B46" s="3">
        <v>2</v>
      </c>
      <c r="C46" s="3">
        <v>3</v>
      </c>
      <c r="D46" s="3">
        <v>4</v>
      </c>
      <c r="E46" s="4">
        <v>5</v>
      </c>
      <c r="F46" s="3">
        <v>500</v>
      </c>
      <c r="G46" s="6">
        <v>4</v>
      </c>
      <c r="H46" s="16">
        <v>2</v>
      </c>
      <c r="O46" s="4">
        <v>45</v>
      </c>
      <c r="P46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142.37059160876444</v>
      </c>
      <c r="Q46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127.79660489317477</v>
      </c>
      <c r="R46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391.70370392257797</v>
      </c>
      <c r="S46" s="4">
        <f t="shared" si="0"/>
        <v>2</v>
      </c>
    </row>
    <row r="47" spans="1:19" x14ac:dyDescent="0.3">
      <c r="A47" s="3">
        <v>1</v>
      </c>
      <c r="B47" s="3">
        <v>2</v>
      </c>
      <c r="C47" s="3">
        <v>5</v>
      </c>
      <c r="D47" s="3">
        <v>3</v>
      </c>
      <c r="E47" s="4">
        <v>5</v>
      </c>
      <c r="F47" s="3">
        <v>300</v>
      </c>
      <c r="G47" s="6">
        <v>3</v>
      </c>
      <c r="H47" s="16">
        <v>2</v>
      </c>
      <c r="O47" s="4">
        <v>46</v>
      </c>
      <c r="P47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57.806048136708242</v>
      </c>
      <c r="Q47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72.233610213282603</v>
      </c>
      <c r="R47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591.67893179775569</v>
      </c>
      <c r="S47" s="4">
        <f t="shared" si="0"/>
        <v>1</v>
      </c>
    </row>
    <row r="48" spans="1:19" x14ac:dyDescent="0.3">
      <c r="A48" s="3">
        <v>1</v>
      </c>
      <c r="B48" s="3">
        <v>2</v>
      </c>
      <c r="C48" s="3">
        <v>2</v>
      </c>
      <c r="D48" s="3">
        <v>4</v>
      </c>
      <c r="E48" s="4">
        <v>5</v>
      </c>
      <c r="F48" s="3">
        <v>400</v>
      </c>
      <c r="G48" s="6">
        <v>3</v>
      </c>
      <c r="H48" s="16">
        <v>2</v>
      </c>
      <c r="O48" s="4">
        <v>47</v>
      </c>
      <c r="P48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42.55540245499401</v>
      </c>
      <c r="Q48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27.883188881873281</v>
      </c>
      <c r="R48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491.70650968506266</v>
      </c>
      <c r="S48" s="4">
        <f t="shared" si="0"/>
        <v>2</v>
      </c>
    </row>
    <row r="49" spans="1:19" x14ac:dyDescent="0.3">
      <c r="A49" s="3">
        <v>1</v>
      </c>
      <c r="B49" s="3">
        <v>2</v>
      </c>
      <c r="C49" s="3">
        <v>3</v>
      </c>
      <c r="D49" s="3">
        <v>4</v>
      </c>
      <c r="E49" s="4">
        <v>5</v>
      </c>
      <c r="F49" s="3">
        <v>300</v>
      </c>
      <c r="G49" s="6">
        <v>4</v>
      </c>
      <c r="H49" s="16">
        <v>2</v>
      </c>
      <c r="O49" s="4">
        <v>48</v>
      </c>
      <c r="P49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57.847285432876291</v>
      </c>
      <c r="Q49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72.255526509126696</v>
      </c>
      <c r="R49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591.69118493799897</v>
      </c>
      <c r="S49" s="4">
        <f t="shared" si="0"/>
        <v>1</v>
      </c>
    </row>
    <row r="50" spans="1:19" x14ac:dyDescent="0.3">
      <c r="A50" s="3">
        <v>1</v>
      </c>
      <c r="B50" s="3">
        <v>2</v>
      </c>
      <c r="C50" s="3">
        <v>2</v>
      </c>
      <c r="D50" s="3">
        <v>3</v>
      </c>
      <c r="E50" s="4">
        <v>5</v>
      </c>
      <c r="F50" s="3">
        <v>400</v>
      </c>
      <c r="G50" s="6">
        <v>1</v>
      </c>
      <c r="H50" s="16">
        <v>2</v>
      </c>
      <c r="O50" s="4">
        <v>49</v>
      </c>
      <c r="P50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42.577539777341826</v>
      </c>
      <c r="Q50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27.897132469126635</v>
      </c>
      <c r="R50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491.71278032336448</v>
      </c>
      <c r="S50" s="4">
        <f t="shared" si="0"/>
        <v>2</v>
      </c>
    </row>
    <row r="51" spans="1:19" x14ac:dyDescent="0.3">
      <c r="A51" s="3">
        <v>1</v>
      </c>
      <c r="B51" s="3">
        <v>2</v>
      </c>
      <c r="C51" s="3">
        <v>2</v>
      </c>
      <c r="D51" s="3">
        <v>2</v>
      </c>
      <c r="E51" s="4">
        <v>5</v>
      </c>
      <c r="F51" s="3">
        <v>400</v>
      </c>
      <c r="G51" s="6">
        <v>2</v>
      </c>
      <c r="H51" s="16">
        <v>2</v>
      </c>
      <c r="O51" s="4">
        <v>50</v>
      </c>
      <c r="P51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42.520591948430955</v>
      </c>
      <c r="Q51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27.86624800323462</v>
      </c>
      <c r="R51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491.71193294448324</v>
      </c>
      <c r="S51" s="4">
        <f t="shared" si="0"/>
        <v>2</v>
      </c>
    </row>
    <row r="52" spans="1:19" x14ac:dyDescent="0.3">
      <c r="A52" s="3">
        <v>1</v>
      </c>
      <c r="B52" s="3">
        <v>2</v>
      </c>
      <c r="C52" s="3">
        <v>8</v>
      </c>
      <c r="D52" s="3">
        <v>2</v>
      </c>
      <c r="E52" s="4">
        <v>5</v>
      </c>
      <c r="F52" s="3">
        <v>200</v>
      </c>
      <c r="G52" s="6">
        <v>3</v>
      </c>
      <c r="H52" s="16">
        <v>2</v>
      </c>
      <c r="O52" s="4">
        <v>51</v>
      </c>
      <c r="P52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157.77235538667841</v>
      </c>
      <c r="Q52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172.27279723353502</v>
      </c>
      <c r="R52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691.67378510393178</v>
      </c>
      <c r="S52" s="4">
        <f t="shared" si="0"/>
        <v>1</v>
      </c>
    </row>
    <row r="53" spans="1:19" x14ac:dyDescent="0.3">
      <c r="A53" s="3">
        <v>1</v>
      </c>
      <c r="B53" s="3">
        <v>2</v>
      </c>
      <c r="C53" s="3">
        <v>4</v>
      </c>
      <c r="D53" s="3">
        <v>5</v>
      </c>
      <c r="E53" s="4">
        <v>5</v>
      </c>
      <c r="F53" s="3">
        <v>700</v>
      </c>
      <c r="G53" s="6">
        <v>4</v>
      </c>
      <c r="H53" s="16">
        <v>2</v>
      </c>
      <c r="O53" s="4">
        <v>52</v>
      </c>
      <c r="P53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342.33929521358965</v>
      </c>
      <c r="Q53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327.78918530055256</v>
      </c>
      <c r="R53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191.72321629543629</v>
      </c>
      <c r="S53" s="4">
        <f t="shared" si="0"/>
        <v>3</v>
      </c>
    </row>
    <row r="54" spans="1:19" x14ac:dyDescent="0.3">
      <c r="A54" s="3">
        <v>2</v>
      </c>
      <c r="B54" s="3">
        <v>2</v>
      </c>
      <c r="C54" s="3">
        <v>10</v>
      </c>
      <c r="D54" s="3">
        <v>5</v>
      </c>
      <c r="E54" s="4">
        <v>5</v>
      </c>
      <c r="F54" s="3">
        <v>1000</v>
      </c>
      <c r="G54" s="6">
        <v>4</v>
      </c>
      <c r="H54" s="16">
        <v>3</v>
      </c>
      <c r="O54" s="4">
        <v>53</v>
      </c>
      <c r="P54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642.34998306191699</v>
      </c>
      <c r="Q54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627.81315780342732</v>
      </c>
      <c r="R54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108.39030553206011</v>
      </c>
      <c r="S54" s="4">
        <f t="shared" si="0"/>
        <v>3</v>
      </c>
    </row>
    <row r="55" spans="1:19" x14ac:dyDescent="0.3">
      <c r="A55" s="3">
        <v>1</v>
      </c>
      <c r="B55" s="3">
        <v>2</v>
      </c>
      <c r="C55" s="3">
        <v>8</v>
      </c>
      <c r="D55" s="3">
        <v>4</v>
      </c>
      <c r="E55" s="4">
        <v>5</v>
      </c>
      <c r="F55" s="3">
        <v>800</v>
      </c>
      <c r="G55" s="6">
        <v>1</v>
      </c>
      <c r="H55" s="16">
        <v>3</v>
      </c>
      <c r="O55" s="4">
        <v>54</v>
      </c>
      <c r="P55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442.34719305222615</v>
      </c>
      <c r="Q55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427.80216741438375</v>
      </c>
      <c r="R55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91.729448197766132</v>
      </c>
      <c r="S55" s="4">
        <f t="shared" si="0"/>
        <v>3</v>
      </c>
    </row>
    <row r="56" spans="1:19" x14ac:dyDescent="0.3">
      <c r="A56" s="3">
        <v>1</v>
      </c>
      <c r="B56" s="3">
        <v>2</v>
      </c>
      <c r="C56" s="3">
        <v>7</v>
      </c>
      <c r="D56" s="3">
        <v>2</v>
      </c>
      <c r="E56" s="4">
        <v>5</v>
      </c>
      <c r="F56" s="3">
        <v>300</v>
      </c>
      <c r="G56" s="6">
        <v>2</v>
      </c>
      <c r="H56" s="16">
        <v>2</v>
      </c>
      <c r="O56" s="4">
        <v>55</v>
      </c>
      <c r="P56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57.868557701174822</v>
      </c>
      <c r="Q56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72.294728561477967</v>
      </c>
      <c r="R56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591.67681916172216</v>
      </c>
      <c r="S56" s="4">
        <f t="shared" si="0"/>
        <v>1</v>
      </c>
    </row>
    <row r="57" spans="1:19" x14ac:dyDescent="0.3">
      <c r="A57" s="3">
        <v>1</v>
      </c>
      <c r="B57" s="3">
        <v>2</v>
      </c>
      <c r="C57" s="3">
        <v>4</v>
      </c>
      <c r="D57" s="3">
        <v>2</v>
      </c>
      <c r="E57" s="4">
        <v>5</v>
      </c>
      <c r="F57" s="3">
        <v>200</v>
      </c>
      <c r="G57" s="6">
        <v>4</v>
      </c>
      <c r="H57" s="16">
        <v>2</v>
      </c>
      <c r="O57" s="4">
        <v>56</v>
      </c>
      <c r="P57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157.72981026850084</v>
      </c>
      <c r="Q57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172.23038511120956</v>
      </c>
      <c r="R57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691.68414636547323</v>
      </c>
      <c r="S57" s="4">
        <f t="shared" si="0"/>
        <v>1</v>
      </c>
    </row>
    <row r="58" spans="1:19" x14ac:dyDescent="0.3">
      <c r="A58" s="3">
        <v>2</v>
      </c>
      <c r="B58" s="3">
        <v>2</v>
      </c>
      <c r="C58" s="3">
        <v>4</v>
      </c>
      <c r="D58" s="3">
        <v>5</v>
      </c>
      <c r="E58" s="4">
        <v>6</v>
      </c>
      <c r="F58" s="3">
        <v>700</v>
      </c>
      <c r="G58" s="6">
        <v>3</v>
      </c>
      <c r="H58" s="16">
        <v>2</v>
      </c>
      <c r="O58" s="4">
        <v>57</v>
      </c>
      <c r="P58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342.34968735483415</v>
      </c>
      <c r="Q58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327.78723621004866</v>
      </c>
      <c r="R58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191.73625548306364</v>
      </c>
      <c r="S58" s="4">
        <f t="shared" si="0"/>
        <v>3</v>
      </c>
    </row>
    <row r="59" spans="1:19" x14ac:dyDescent="0.3">
      <c r="A59" s="3">
        <v>1</v>
      </c>
      <c r="B59" s="3">
        <v>2</v>
      </c>
      <c r="C59" s="3">
        <v>4</v>
      </c>
      <c r="D59" s="3">
        <v>3</v>
      </c>
      <c r="E59" s="4">
        <v>6</v>
      </c>
      <c r="F59" s="3">
        <v>400</v>
      </c>
      <c r="G59" s="6">
        <v>4</v>
      </c>
      <c r="H59" s="16">
        <v>2</v>
      </c>
      <c r="O59" s="4">
        <v>58</v>
      </c>
      <c r="P59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42.551787104642472</v>
      </c>
      <c r="Q59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27.825348155953048</v>
      </c>
      <c r="R59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491.69413765063331</v>
      </c>
      <c r="S59" s="4">
        <f t="shared" si="0"/>
        <v>2</v>
      </c>
    </row>
    <row r="60" spans="1:19" x14ac:dyDescent="0.3">
      <c r="A60" s="3">
        <v>1</v>
      </c>
      <c r="B60" s="3">
        <v>2</v>
      </c>
      <c r="C60" s="3">
        <v>2</v>
      </c>
      <c r="D60" s="3">
        <v>2</v>
      </c>
      <c r="E60" s="4">
        <v>6</v>
      </c>
      <c r="F60" s="3">
        <v>300</v>
      </c>
      <c r="G60" s="6">
        <v>1</v>
      </c>
      <c r="H60" s="16">
        <v>2</v>
      </c>
      <c r="O60" s="4">
        <v>59</v>
      </c>
      <c r="P60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57.945272333459741</v>
      </c>
      <c r="Q60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72.273208498493176</v>
      </c>
      <c r="R60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591.71216961176879</v>
      </c>
      <c r="S60" s="4">
        <f t="shared" si="0"/>
        <v>1</v>
      </c>
    </row>
    <row r="61" spans="1:19" x14ac:dyDescent="0.3">
      <c r="A61" s="3">
        <v>2</v>
      </c>
      <c r="B61" s="3">
        <v>2</v>
      </c>
      <c r="C61" s="3">
        <v>4</v>
      </c>
      <c r="D61" s="3">
        <v>3</v>
      </c>
      <c r="E61" s="4">
        <v>5</v>
      </c>
      <c r="F61" s="3">
        <v>400</v>
      </c>
      <c r="G61" s="6">
        <v>4</v>
      </c>
      <c r="H61" s="16">
        <v>2</v>
      </c>
      <c r="O61" s="4">
        <v>60</v>
      </c>
      <c r="P61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42.461303302024419</v>
      </c>
      <c r="Q61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27.825348155953048</v>
      </c>
      <c r="R61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491.68803625876433</v>
      </c>
      <c r="S61" s="4">
        <f t="shared" si="0"/>
        <v>2</v>
      </c>
    </row>
    <row r="62" spans="1:19" x14ac:dyDescent="0.3">
      <c r="A62" s="3">
        <v>1</v>
      </c>
      <c r="B62" s="3">
        <v>3</v>
      </c>
      <c r="C62" s="3">
        <v>5</v>
      </c>
      <c r="D62" s="3">
        <v>3</v>
      </c>
      <c r="E62" s="4">
        <v>1</v>
      </c>
      <c r="F62" s="3">
        <v>500</v>
      </c>
      <c r="G62" s="6">
        <v>4</v>
      </c>
      <c r="H62" s="16">
        <v>1</v>
      </c>
      <c r="O62" s="4">
        <v>61</v>
      </c>
      <c r="P62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142.32236151005512</v>
      </c>
      <c r="Q62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127.86809609906609</v>
      </c>
      <c r="R62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391.6826415181896</v>
      </c>
      <c r="S62" s="4">
        <f t="shared" si="0"/>
        <v>2</v>
      </c>
    </row>
    <row r="63" spans="1:19" x14ac:dyDescent="0.3">
      <c r="A63" s="3">
        <v>1</v>
      </c>
      <c r="B63" s="3">
        <v>3</v>
      </c>
      <c r="C63" s="3">
        <v>10</v>
      </c>
      <c r="D63" s="3">
        <v>5</v>
      </c>
      <c r="E63" s="4">
        <v>1</v>
      </c>
      <c r="F63" s="3">
        <v>1000</v>
      </c>
      <c r="G63" s="6">
        <v>4</v>
      </c>
      <c r="H63" s="16">
        <v>3</v>
      </c>
      <c r="O63" s="4">
        <v>62</v>
      </c>
      <c r="P63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642.34273798910294</v>
      </c>
      <c r="Q63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627.82855497694948</v>
      </c>
      <c r="R63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108.38107922203645</v>
      </c>
      <c r="S63" s="4">
        <f t="shared" si="0"/>
        <v>3</v>
      </c>
    </row>
    <row r="64" spans="1:19" x14ac:dyDescent="0.3">
      <c r="A64" s="3">
        <v>2</v>
      </c>
      <c r="B64" s="3">
        <v>3</v>
      </c>
      <c r="C64" s="3">
        <v>10</v>
      </c>
      <c r="D64" s="3">
        <v>2</v>
      </c>
      <c r="E64" s="4">
        <v>1</v>
      </c>
      <c r="F64" s="3">
        <v>300</v>
      </c>
      <c r="G64" s="6">
        <v>4</v>
      </c>
      <c r="H64" s="16">
        <v>1</v>
      </c>
      <c r="O64" s="4">
        <v>63</v>
      </c>
      <c r="P64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57.99602746036517</v>
      </c>
      <c r="Q64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72.632063626656418</v>
      </c>
      <c r="R64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591.67724168953237</v>
      </c>
      <c r="S64" s="4">
        <f t="shared" si="0"/>
        <v>1</v>
      </c>
    </row>
    <row r="65" spans="1:19" x14ac:dyDescent="0.3">
      <c r="A65" s="3">
        <v>2</v>
      </c>
      <c r="B65" s="3">
        <v>3</v>
      </c>
      <c r="C65" s="3">
        <v>2</v>
      </c>
      <c r="D65" s="3">
        <v>1</v>
      </c>
      <c r="E65" s="4">
        <v>1</v>
      </c>
      <c r="F65" s="3">
        <v>100</v>
      </c>
      <c r="G65" s="6">
        <v>4</v>
      </c>
      <c r="H65" s="16">
        <v>1</v>
      </c>
      <c r="O65" s="4">
        <v>64</v>
      </c>
      <c r="P65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257.70816971847239</v>
      </c>
      <c r="Q65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272.27534062252334</v>
      </c>
      <c r="R65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791.69530649949752</v>
      </c>
      <c r="S65" s="4">
        <f t="shared" si="0"/>
        <v>1</v>
      </c>
    </row>
    <row r="66" spans="1:19" x14ac:dyDescent="0.3">
      <c r="A66" s="3">
        <v>1</v>
      </c>
      <c r="B66" s="3">
        <v>3</v>
      </c>
      <c r="C66" s="3">
        <v>6</v>
      </c>
      <c r="D66" s="3">
        <v>5</v>
      </c>
      <c r="E66" s="4">
        <v>1</v>
      </c>
      <c r="F66" s="3">
        <v>900</v>
      </c>
      <c r="G66" s="6">
        <v>4</v>
      </c>
      <c r="H66" s="16">
        <v>3</v>
      </c>
      <c r="O66" s="4">
        <v>65</v>
      </c>
      <c r="P66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542.32168353473821</v>
      </c>
      <c r="Q66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527.80744068688966</v>
      </c>
      <c r="R66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8.8199584277176335</v>
      </c>
      <c r="S66" s="4">
        <f t="shared" si="0"/>
        <v>3</v>
      </c>
    </row>
    <row r="67" spans="1:19" x14ac:dyDescent="0.3">
      <c r="A67" s="3">
        <v>1</v>
      </c>
      <c r="B67" s="3">
        <v>3</v>
      </c>
      <c r="C67" s="3">
        <v>1</v>
      </c>
      <c r="D67" s="3">
        <v>1</v>
      </c>
      <c r="E67" s="4">
        <v>1</v>
      </c>
      <c r="F67" s="3">
        <v>400</v>
      </c>
      <c r="G67" s="6">
        <v>4</v>
      </c>
      <c r="H67" s="16">
        <v>1</v>
      </c>
      <c r="O67" s="4">
        <v>66</v>
      </c>
      <c r="P67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42.470360357262578</v>
      </c>
      <c r="Q67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28.374969407717227</v>
      </c>
      <c r="R67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491.72582977373338</v>
      </c>
      <c r="S67" s="4">
        <f t="shared" si="0"/>
        <v>2</v>
      </c>
    </row>
    <row r="68" spans="1:19" x14ac:dyDescent="0.3">
      <c r="A68" s="3">
        <v>1</v>
      </c>
      <c r="B68" s="3">
        <v>3</v>
      </c>
      <c r="C68" s="3">
        <v>1</v>
      </c>
      <c r="D68" s="3">
        <v>1</v>
      </c>
      <c r="E68" s="4">
        <v>1</v>
      </c>
      <c r="F68" s="3">
        <v>600</v>
      </c>
      <c r="G68" s="6">
        <v>1</v>
      </c>
      <c r="H68" s="16">
        <v>1</v>
      </c>
      <c r="O68" s="4">
        <v>67</v>
      </c>
      <c r="P68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242.34590815853161</v>
      </c>
      <c r="Q68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227.85247420205906</v>
      </c>
      <c r="R68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291.77495608773546</v>
      </c>
      <c r="S68" s="4">
        <f t="shared" si="0"/>
        <v>2</v>
      </c>
    </row>
    <row r="69" spans="1:19" x14ac:dyDescent="0.3">
      <c r="A69" s="3">
        <v>2</v>
      </c>
      <c r="B69" s="3">
        <v>3</v>
      </c>
      <c r="C69" s="3">
        <v>7</v>
      </c>
      <c r="D69" s="3">
        <v>2</v>
      </c>
      <c r="E69" s="4">
        <v>1</v>
      </c>
      <c r="F69" s="3">
        <v>500</v>
      </c>
      <c r="G69" s="6">
        <v>3</v>
      </c>
      <c r="H69" s="16">
        <v>1</v>
      </c>
      <c r="O69" s="4">
        <v>68</v>
      </c>
      <c r="P69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142.34046660016492</v>
      </c>
      <c r="Q69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127.89589950858905</v>
      </c>
      <c r="R69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391.67647150848023</v>
      </c>
      <c r="S69" s="4">
        <f t="shared" ref="S69:S101" si="1">IF(MIN(P69,Q69,R69) = P69, 1, IF(MIN(P69,Q69,R69) = Q69, 2,3))</f>
        <v>2</v>
      </c>
    </row>
    <row r="70" spans="1:19" x14ac:dyDescent="0.3">
      <c r="A70" s="3">
        <v>1</v>
      </c>
      <c r="B70" s="3">
        <v>3</v>
      </c>
      <c r="C70" s="3">
        <v>1</v>
      </c>
      <c r="D70" s="3">
        <v>1</v>
      </c>
      <c r="E70" s="4">
        <v>1</v>
      </c>
      <c r="F70" s="3">
        <v>700</v>
      </c>
      <c r="G70" s="6">
        <v>1</v>
      </c>
      <c r="H70" s="16">
        <v>1</v>
      </c>
      <c r="O70" s="4">
        <v>69</v>
      </c>
      <c r="P70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342.33474504163598</v>
      </c>
      <c r="Q70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327.8296898628243</v>
      </c>
      <c r="R70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191.83141470225007</v>
      </c>
      <c r="S70" s="4">
        <f t="shared" si="1"/>
        <v>3</v>
      </c>
    </row>
    <row r="71" spans="1:19" x14ac:dyDescent="0.3">
      <c r="A71" s="3">
        <v>2</v>
      </c>
      <c r="B71" s="3">
        <v>3</v>
      </c>
      <c r="C71" s="3">
        <v>10</v>
      </c>
      <c r="D71" s="3">
        <v>1</v>
      </c>
      <c r="E71" s="4">
        <v>1</v>
      </c>
      <c r="F71" s="3">
        <v>100</v>
      </c>
      <c r="G71" s="6">
        <v>4</v>
      </c>
      <c r="H71" s="16">
        <v>1</v>
      </c>
      <c r="O71" s="4">
        <v>70</v>
      </c>
      <c r="P71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257.76189215502211</v>
      </c>
      <c r="Q71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272.3357303036089</v>
      </c>
      <c r="R71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791.6776227312057</v>
      </c>
      <c r="S71" s="4">
        <f t="shared" si="1"/>
        <v>1</v>
      </c>
    </row>
    <row r="72" spans="1:19" x14ac:dyDescent="0.3">
      <c r="A72" s="3">
        <v>2</v>
      </c>
      <c r="B72" s="3">
        <v>3</v>
      </c>
      <c r="C72" s="3">
        <v>1</v>
      </c>
      <c r="D72" s="3">
        <v>1</v>
      </c>
      <c r="E72" s="4">
        <v>1</v>
      </c>
      <c r="F72" s="3">
        <v>200</v>
      </c>
      <c r="G72" s="6">
        <v>4</v>
      </c>
      <c r="H72" s="16">
        <v>1</v>
      </c>
      <c r="O72" s="4">
        <v>71</v>
      </c>
      <c r="P72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157.73578434433287</v>
      </c>
      <c r="Q72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172.32035734513656</v>
      </c>
      <c r="R72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691.70848267171039</v>
      </c>
      <c r="S72" s="4">
        <f t="shared" si="1"/>
        <v>1</v>
      </c>
    </row>
    <row r="73" spans="1:19" x14ac:dyDescent="0.3">
      <c r="A73" s="3">
        <v>1</v>
      </c>
      <c r="B73" s="3">
        <v>3</v>
      </c>
      <c r="C73" s="3">
        <v>10</v>
      </c>
      <c r="D73" s="3">
        <v>4</v>
      </c>
      <c r="E73" s="4">
        <v>1</v>
      </c>
      <c r="F73" s="3">
        <v>300</v>
      </c>
      <c r="G73" s="6">
        <v>4</v>
      </c>
      <c r="H73" s="16">
        <v>1</v>
      </c>
      <c r="O73" s="4">
        <v>72</v>
      </c>
      <c r="P73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58.035804343515522</v>
      </c>
      <c r="Q73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72.637800076819502</v>
      </c>
      <c r="R73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591.67442483176501</v>
      </c>
      <c r="S73" s="4">
        <f t="shared" si="1"/>
        <v>1</v>
      </c>
    </row>
    <row r="74" spans="1:19" x14ac:dyDescent="0.3">
      <c r="A74" s="3">
        <v>2</v>
      </c>
      <c r="B74" s="3">
        <v>3</v>
      </c>
      <c r="C74" s="3">
        <v>8</v>
      </c>
      <c r="D74" s="3">
        <v>1</v>
      </c>
      <c r="E74" s="4">
        <v>1</v>
      </c>
      <c r="F74" s="3">
        <v>900</v>
      </c>
      <c r="G74" s="6">
        <v>4</v>
      </c>
      <c r="H74" s="16">
        <v>3</v>
      </c>
      <c r="O74" s="4">
        <v>73</v>
      </c>
      <c r="P74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542.32331469587587</v>
      </c>
      <c r="Q74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527.8171768919824</v>
      </c>
      <c r="R74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9.0438745384192103</v>
      </c>
      <c r="S74" s="4">
        <f t="shared" si="1"/>
        <v>3</v>
      </c>
    </row>
    <row r="75" spans="1:19" x14ac:dyDescent="0.3">
      <c r="A75" s="3">
        <v>2</v>
      </c>
      <c r="B75" s="3">
        <v>3</v>
      </c>
      <c r="C75" s="3">
        <v>3</v>
      </c>
      <c r="D75" s="3">
        <v>5</v>
      </c>
      <c r="E75" s="4">
        <v>1</v>
      </c>
      <c r="F75" s="3">
        <v>1000</v>
      </c>
      <c r="G75" s="6">
        <v>4</v>
      </c>
      <c r="H75" s="16">
        <v>3</v>
      </c>
      <c r="O75" s="4">
        <v>74</v>
      </c>
      <c r="P75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642.31836759898886</v>
      </c>
      <c r="Q75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627.80028229082893</v>
      </c>
      <c r="R75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108.46024617342526</v>
      </c>
      <c r="S75" s="4">
        <f t="shared" si="1"/>
        <v>3</v>
      </c>
    </row>
    <row r="76" spans="1:19" x14ac:dyDescent="0.3">
      <c r="A76" s="3">
        <v>2</v>
      </c>
      <c r="B76" s="3">
        <v>3</v>
      </c>
      <c r="C76" s="3">
        <v>1</v>
      </c>
      <c r="D76" s="3">
        <v>4</v>
      </c>
      <c r="E76" s="4">
        <v>1</v>
      </c>
      <c r="F76" s="3">
        <v>500</v>
      </c>
      <c r="G76" s="6">
        <v>3</v>
      </c>
      <c r="H76" s="16">
        <v>1</v>
      </c>
      <c r="O76" s="4">
        <v>75</v>
      </c>
      <c r="P76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142.36775499642431</v>
      </c>
      <c r="Q76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127.89763702100034</v>
      </c>
      <c r="R76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391.72923259142487</v>
      </c>
      <c r="S76" s="4">
        <f t="shared" si="1"/>
        <v>2</v>
      </c>
    </row>
    <row r="77" spans="1:19" x14ac:dyDescent="0.3">
      <c r="A77" s="3">
        <v>1</v>
      </c>
      <c r="B77" s="3">
        <v>3</v>
      </c>
      <c r="C77" s="3">
        <v>7</v>
      </c>
      <c r="D77" s="3">
        <v>4</v>
      </c>
      <c r="E77" s="4">
        <v>1</v>
      </c>
      <c r="F77" s="3">
        <v>400</v>
      </c>
      <c r="G77" s="6">
        <v>4</v>
      </c>
      <c r="H77" s="16">
        <v>1</v>
      </c>
      <c r="O77" s="4">
        <v>76</v>
      </c>
      <c r="P77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42.477151881366339</v>
      </c>
      <c r="Q77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28.363219532031653</v>
      </c>
      <c r="R77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491.67142653063195</v>
      </c>
      <c r="S77" s="4">
        <f t="shared" si="1"/>
        <v>2</v>
      </c>
    </row>
    <row r="78" spans="1:19" x14ac:dyDescent="0.3">
      <c r="A78" s="3">
        <v>2</v>
      </c>
      <c r="B78" s="3">
        <v>3</v>
      </c>
      <c r="C78" s="3">
        <v>8</v>
      </c>
      <c r="D78" s="3">
        <v>2</v>
      </c>
      <c r="E78" s="4">
        <v>1</v>
      </c>
      <c r="F78" s="3">
        <v>300</v>
      </c>
      <c r="G78" s="6">
        <v>4</v>
      </c>
      <c r="H78" s="16">
        <v>1</v>
      </c>
      <c r="O78" s="4">
        <v>77</v>
      </c>
      <c r="P78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57.832656209622201</v>
      </c>
      <c r="Q78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72.492719941001283</v>
      </c>
      <c r="R78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591.67301639785239</v>
      </c>
      <c r="S78" s="4">
        <f t="shared" si="1"/>
        <v>1</v>
      </c>
    </row>
    <row r="79" spans="1:19" x14ac:dyDescent="0.3">
      <c r="A79" s="3">
        <v>1</v>
      </c>
      <c r="B79" s="3">
        <v>3</v>
      </c>
      <c r="C79" s="3">
        <v>4</v>
      </c>
      <c r="D79" s="3">
        <v>2</v>
      </c>
      <c r="E79" s="4">
        <v>1</v>
      </c>
      <c r="F79" s="3">
        <v>400</v>
      </c>
      <c r="G79" s="6">
        <v>4</v>
      </c>
      <c r="H79" s="16">
        <v>1</v>
      </c>
      <c r="O79" s="4">
        <v>78</v>
      </c>
      <c r="P79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42.336572310823499</v>
      </c>
      <c r="Q79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28.178498501122757</v>
      </c>
      <c r="R79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491.68888367882926</v>
      </c>
      <c r="S79" s="4">
        <f t="shared" si="1"/>
        <v>2</v>
      </c>
    </row>
    <row r="80" spans="1:19" x14ac:dyDescent="0.3">
      <c r="A80" s="3">
        <v>1</v>
      </c>
      <c r="B80" s="3">
        <v>3</v>
      </c>
      <c r="C80" s="3">
        <v>9</v>
      </c>
      <c r="D80" s="3">
        <v>1</v>
      </c>
      <c r="E80" s="4">
        <v>4</v>
      </c>
      <c r="F80" s="3">
        <v>400</v>
      </c>
      <c r="G80" s="6">
        <v>1</v>
      </c>
      <c r="H80" s="16">
        <v>2</v>
      </c>
      <c r="O80" s="4">
        <v>79</v>
      </c>
      <c r="P80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42.720027383476378</v>
      </c>
      <c r="Q80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28.378884951863611</v>
      </c>
      <c r="R80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491.68515501961883</v>
      </c>
      <c r="S80" s="4">
        <f t="shared" si="1"/>
        <v>2</v>
      </c>
    </row>
    <row r="81" spans="1:19" x14ac:dyDescent="0.3">
      <c r="A81" s="3">
        <v>2</v>
      </c>
      <c r="B81" s="3">
        <v>3</v>
      </c>
      <c r="C81" s="3">
        <v>10</v>
      </c>
      <c r="D81" s="3">
        <v>3</v>
      </c>
      <c r="E81" s="4">
        <v>4</v>
      </c>
      <c r="F81" s="3">
        <v>400</v>
      </c>
      <c r="G81" s="6">
        <v>2</v>
      </c>
      <c r="H81" s="16">
        <v>2</v>
      </c>
      <c r="O81" s="4">
        <v>80</v>
      </c>
      <c r="P81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42.805921243341153</v>
      </c>
      <c r="Q81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28.490251744139506</v>
      </c>
      <c r="R81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491.67685017702428</v>
      </c>
      <c r="S81" s="4">
        <f t="shared" si="1"/>
        <v>2</v>
      </c>
    </row>
    <row r="82" spans="1:19" x14ac:dyDescent="0.3">
      <c r="A82" s="3">
        <v>2</v>
      </c>
      <c r="B82" s="3">
        <v>3</v>
      </c>
      <c r="C82" s="3">
        <v>3</v>
      </c>
      <c r="D82" s="3">
        <v>1</v>
      </c>
      <c r="E82" s="4">
        <v>1</v>
      </c>
      <c r="F82" s="3">
        <v>300</v>
      </c>
      <c r="G82" s="6">
        <v>2</v>
      </c>
      <c r="H82" s="16">
        <v>1</v>
      </c>
      <c r="O82" s="4">
        <v>81</v>
      </c>
      <c r="P82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57.742471780633679</v>
      </c>
      <c r="Q82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72.39072224164272</v>
      </c>
      <c r="R82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591.69724099407449</v>
      </c>
      <c r="S82" s="4">
        <f t="shared" si="1"/>
        <v>1</v>
      </c>
    </row>
    <row r="83" spans="1:19" x14ac:dyDescent="0.3">
      <c r="A83" s="3">
        <v>1</v>
      </c>
      <c r="B83" s="3">
        <v>3</v>
      </c>
      <c r="C83" s="3">
        <v>4</v>
      </c>
      <c r="D83" s="3">
        <v>1</v>
      </c>
      <c r="E83" s="4">
        <v>1</v>
      </c>
      <c r="F83" s="3">
        <v>100</v>
      </c>
      <c r="G83" s="6">
        <v>3</v>
      </c>
      <c r="H83" s="16">
        <v>1</v>
      </c>
      <c r="O83" s="4">
        <v>82</v>
      </c>
      <c r="P83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257.69764776326906</v>
      </c>
      <c r="Q83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272.26452619139025</v>
      </c>
      <c r="R83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791.68330684266243</v>
      </c>
      <c r="S83" s="4">
        <f t="shared" si="1"/>
        <v>1</v>
      </c>
    </row>
    <row r="84" spans="1:19" x14ac:dyDescent="0.3">
      <c r="A84" s="3">
        <v>1</v>
      </c>
      <c r="B84" s="3">
        <v>3</v>
      </c>
      <c r="C84" s="3">
        <v>7</v>
      </c>
      <c r="D84" s="3">
        <v>2</v>
      </c>
      <c r="E84" s="4">
        <v>1</v>
      </c>
      <c r="F84" s="3">
        <v>400</v>
      </c>
      <c r="G84" s="6">
        <v>2</v>
      </c>
      <c r="H84" s="16">
        <v>1</v>
      </c>
      <c r="O84" s="4">
        <v>83</v>
      </c>
      <c r="P84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42.437292757291296</v>
      </c>
      <c r="Q84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28.314209232193722</v>
      </c>
      <c r="R84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491.67651120087748</v>
      </c>
      <c r="S84" s="4">
        <f t="shared" si="1"/>
        <v>2</v>
      </c>
    </row>
    <row r="85" spans="1:19" x14ac:dyDescent="0.3">
      <c r="A85" s="3">
        <v>1</v>
      </c>
      <c r="B85" s="3">
        <v>3</v>
      </c>
      <c r="C85" s="3">
        <v>8</v>
      </c>
      <c r="D85" s="3">
        <v>1</v>
      </c>
      <c r="E85" s="4">
        <v>1</v>
      </c>
      <c r="F85" s="3">
        <v>300</v>
      </c>
      <c r="G85" s="6">
        <v>2</v>
      </c>
      <c r="H85" s="16">
        <v>1</v>
      </c>
      <c r="O85" s="4">
        <v>84</v>
      </c>
      <c r="P85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57.849612468208392</v>
      </c>
      <c r="Q85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72.496168481130397</v>
      </c>
      <c r="R85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591.67850927115251</v>
      </c>
      <c r="S85" s="4">
        <f t="shared" si="1"/>
        <v>1</v>
      </c>
    </row>
    <row r="86" spans="1:19" x14ac:dyDescent="0.3">
      <c r="A86" s="3">
        <v>1</v>
      </c>
      <c r="B86" s="3">
        <v>3</v>
      </c>
      <c r="C86" s="3">
        <v>1</v>
      </c>
      <c r="D86" s="3">
        <v>1</v>
      </c>
      <c r="E86" s="4">
        <v>1</v>
      </c>
      <c r="F86" s="3">
        <v>200</v>
      </c>
      <c r="G86" s="6">
        <v>1</v>
      </c>
      <c r="H86" s="16">
        <v>1</v>
      </c>
      <c r="O86" s="4">
        <v>85</v>
      </c>
      <c r="P86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157.75102330897755</v>
      </c>
      <c r="Q86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172.32100213780612</v>
      </c>
      <c r="R86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691.71233784958133</v>
      </c>
      <c r="S86" s="4">
        <f t="shared" si="1"/>
        <v>1</v>
      </c>
    </row>
    <row r="87" spans="1:19" x14ac:dyDescent="0.3">
      <c r="A87" s="3">
        <v>2</v>
      </c>
      <c r="B87" s="3">
        <v>3</v>
      </c>
      <c r="C87" s="3">
        <v>8</v>
      </c>
      <c r="D87" s="3">
        <v>4</v>
      </c>
      <c r="E87" s="4">
        <v>4</v>
      </c>
      <c r="F87" s="3">
        <v>800</v>
      </c>
      <c r="G87" s="6">
        <v>3</v>
      </c>
      <c r="H87" s="16">
        <v>3</v>
      </c>
      <c r="O87" s="4">
        <v>86</v>
      </c>
      <c r="P87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442.33615042229394</v>
      </c>
      <c r="Q87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427.80262193368259</v>
      </c>
      <c r="R87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91.680377762456118</v>
      </c>
      <c r="S87" s="4">
        <f t="shared" si="1"/>
        <v>3</v>
      </c>
    </row>
    <row r="88" spans="1:19" x14ac:dyDescent="0.3">
      <c r="A88" s="3">
        <v>1</v>
      </c>
      <c r="B88" s="3">
        <v>3</v>
      </c>
      <c r="C88" s="3">
        <v>4</v>
      </c>
      <c r="D88" s="3">
        <v>1</v>
      </c>
      <c r="E88" s="4">
        <v>4</v>
      </c>
      <c r="F88" s="3">
        <v>200</v>
      </c>
      <c r="G88" s="6">
        <v>4</v>
      </c>
      <c r="H88" s="16">
        <v>1</v>
      </c>
      <c r="O88" s="4">
        <v>87</v>
      </c>
      <c r="P88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157.71773950646636</v>
      </c>
      <c r="Q88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172.24457740214768</v>
      </c>
      <c r="R88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691.68523067457011</v>
      </c>
      <c r="S88" s="4">
        <f t="shared" si="1"/>
        <v>1</v>
      </c>
    </row>
    <row r="89" spans="1:19" x14ac:dyDescent="0.3">
      <c r="A89" s="3">
        <v>1</v>
      </c>
      <c r="B89" s="3">
        <v>3</v>
      </c>
      <c r="C89" s="3">
        <v>4</v>
      </c>
      <c r="D89" s="3">
        <v>1</v>
      </c>
      <c r="E89" s="4">
        <v>1</v>
      </c>
      <c r="F89" s="3">
        <v>100</v>
      </c>
      <c r="G89" s="6">
        <v>4</v>
      </c>
      <c r="H89" s="16">
        <v>1</v>
      </c>
      <c r="O89" s="4">
        <v>88</v>
      </c>
      <c r="P89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257.69846864047321</v>
      </c>
      <c r="Q89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272.26789299429993</v>
      </c>
      <c r="R89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791.6835173645253</v>
      </c>
      <c r="S89" s="4">
        <f t="shared" si="1"/>
        <v>1</v>
      </c>
    </row>
    <row r="90" spans="1:19" x14ac:dyDescent="0.3">
      <c r="A90" s="3">
        <v>1</v>
      </c>
      <c r="B90" s="3">
        <v>3</v>
      </c>
      <c r="C90" s="3">
        <v>3</v>
      </c>
      <c r="D90" s="3">
        <v>4</v>
      </c>
      <c r="E90" s="4">
        <v>1</v>
      </c>
      <c r="F90" s="3">
        <v>300</v>
      </c>
      <c r="G90" s="6">
        <v>4</v>
      </c>
      <c r="H90" s="16">
        <v>1</v>
      </c>
      <c r="O90" s="4">
        <v>89</v>
      </c>
      <c r="P90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57.766113047080168</v>
      </c>
      <c r="Q90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72.391105960761664</v>
      </c>
      <c r="R90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591.68921318543562</v>
      </c>
      <c r="S90" s="4">
        <f t="shared" si="1"/>
        <v>1</v>
      </c>
    </row>
    <row r="91" spans="1:19" x14ac:dyDescent="0.3">
      <c r="A91" s="3">
        <v>1</v>
      </c>
      <c r="B91" s="3">
        <v>3</v>
      </c>
      <c r="C91" s="3">
        <v>2</v>
      </c>
      <c r="D91" s="3">
        <v>4</v>
      </c>
      <c r="E91" s="4">
        <v>4</v>
      </c>
      <c r="F91" s="3">
        <v>400</v>
      </c>
      <c r="G91" s="6">
        <v>3</v>
      </c>
      <c r="H91" s="16">
        <v>2</v>
      </c>
      <c r="O91" s="4">
        <v>90</v>
      </c>
      <c r="P91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42.502044851607415</v>
      </c>
      <c r="Q91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27.926988141700249</v>
      </c>
      <c r="R91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491.70312011754947</v>
      </c>
      <c r="S91" s="4">
        <f t="shared" si="1"/>
        <v>2</v>
      </c>
    </row>
    <row r="92" spans="1:19" x14ac:dyDescent="0.3">
      <c r="A92" s="3">
        <v>2</v>
      </c>
      <c r="B92" s="3">
        <v>3</v>
      </c>
      <c r="C92" s="3">
        <v>2</v>
      </c>
      <c r="D92" s="3">
        <v>1</v>
      </c>
      <c r="E92" s="4">
        <v>1</v>
      </c>
      <c r="F92" s="3">
        <v>700</v>
      </c>
      <c r="G92" s="6">
        <v>4</v>
      </c>
      <c r="H92" s="16">
        <v>1</v>
      </c>
      <c r="O92" s="4">
        <v>91</v>
      </c>
      <c r="P92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342.31963354279833</v>
      </c>
      <c r="Q92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327.82189439456977</v>
      </c>
      <c r="R92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191.78492728401082</v>
      </c>
      <c r="S92" s="4">
        <f t="shared" si="1"/>
        <v>3</v>
      </c>
    </row>
    <row r="93" spans="1:19" x14ac:dyDescent="0.3">
      <c r="A93" s="3">
        <v>2</v>
      </c>
      <c r="B93" s="3">
        <v>3</v>
      </c>
      <c r="C93" s="3">
        <v>6</v>
      </c>
      <c r="D93" s="3">
        <v>4</v>
      </c>
      <c r="E93" s="4">
        <v>4</v>
      </c>
      <c r="F93" s="3">
        <v>100</v>
      </c>
      <c r="G93" s="6">
        <v>4</v>
      </c>
      <c r="H93" s="16">
        <v>1</v>
      </c>
      <c r="O93" s="4">
        <v>92</v>
      </c>
      <c r="P93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257.72078057394782</v>
      </c>
      <c r="Q93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272.24218180795486</v>
      </c>
      <c r="R93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791.67035964050922</v>
      </c>
      <c r="S93" s="4">
        <f t="shared" si="1"/>
        <v>1</v>
      </c>
    </row>
    <row r="94" spans="1:19" x14ac:dyDescent="0.3">
      <c r="A94" s="3">
        <v>2</v>
      </c>
      <c r="B94" s="3">
        <v>3</v>
      </c>
      <c r="C94" s="3">
        <v>8</v>
      </c>
      <c r="D94" s="3">
        <v>3</v>
      </c>
      <c r="E94" s="4">
        <v>4</v>
      </c>
      <c r="F94" s="3">
        <v>800</v>
      </c>
      <c r="G94" s="6">
        <v>4</v>
      </c>
      <c r="H94" s="16">
        <v>3</v>
      </c>
      <c r="O94" s="4">
        <v>93</v>
      </c>
      <c r="P94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442.33293322628379</v>
      </c>
      <c r="Q94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427.80294659002885</v>
      </c>
      <c r="R94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91.686740226345307</v>
      </c>
      <c r="S94" s="4">
        <f t="shared" si="1"/>
        <v>3</v>
      </c>
    </row>
    <row r="95" spans="1:19" x14ac:dyDescent="0.3">
      <c r="A95" s="3">
        <v>2</v>
      </c>
      <c r="B95" s="3">
        <v>3</v>
      </c>
      <c r="C95" s="3">
        <v>4</v>
      </c>
      <c r="D95" s="3">
        <v>3</v>
      </c>
      <c r="E95" s="4">
        <v>4</v>
      </c>
      <c r="F95" s="3">
        <v>300</v>
      </c>
      <c r="G95" s="6">
        <v>3</v>
      </c>
      <c r="H95" s="16">
        <v>2</v>
      </c>
      <c r="O95" s="4">
        <v>94</v>
      </c>
      <c r="P95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57.762118019568042</v>
      </c>
      <c r="Q95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72.2447614402287</v>
      </c>
      <c r="R95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591.68132610947475</v>
      </c>
      <c r="S95" s="4">
        <f t="shared" si="1"/>
        <v>1</v>
      </c>
    </row>
    <row r="96" spans="1:19" x14ac:dyDescent="0.3">
      <c r="A96" s="3">
        <v>2</v>
      </c>
      <c r="B96" s="3">
        <v>3</v>
      </c>
      <c r="C96" s="3">
        <v>6</v>
      </c>
      <c r="D96" s="3">
        <v>2</v>
      </c>
      <c r="E96" s="4">
        <v>7</v>
      </c>
      <c r="F96" s="3">
        <v>300</v>
      </c>
      <c r="G96" s="6">
        <v>1</v>
      </c>
      <c r="H96" s="16">
        <v>2</v>
      </c>
      <c r="O96" s="4">
        <v>95</v>
      </c>
      <c r="P96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58.018239582568803</v>
      </c>
      <c r="Q96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72.298954964016531</v>
      </c>
      <c r="R96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591.69329752273961</v>
      </c>
      <c r="S96" s="4">
        <f t="shared" si="1"/>
        <v>1</v>
      </c>
    </row>
    <row r="97" spans="1:19" x14ac:dyDescent="0.3">
      <c r="A97" s="3">
        <v>2</v>
      </c>
      <c r="B97" s="3">
        <v>3</v>
      </c>
      <c r="C97" s="3">
        <v>3</v>
      </c>
      <c r="D97" s="3">
        <v>2</v>
      </c>
      <c r="E97" s="4">
        <v>7</v>
      </c>
      <c r="F97" s="3">
        <v>400</v>
      </c>
      <c r="G97" s="6">
        <v>1</v>
      </c>
      <c r="H97" s="16">
        <v>2</v>
      </c>
      <c r="O97" s="4">
        <v>96</v>
      </c>
      <c r="P97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42.734880021057762</v>
      </c>
      <c r="Q97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27.917039798501396</v>
      </c>
      <c r="R97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491.71854246103015</v>
      </c>
      <c r="S97" s="4">
        <f t="shared" si="1"/>
        <v>2</v>
      </c>
    </row>
    <row r="98" spans="1:19" x14ac:dyDescent="0.3">
      <c r="A98" s="3">
        <v>1</v>
      </c>
      <c r="B98" s="3">
        <v>3</v>
      </c>
      <c r="C98" s="3">
        <v>1</v>
      </c>
      <c r="D98" s="3">
        <v>1</v>
      </c>
      <c r="E98" s="4">
        <v>7</v>
      </c>
      <c r="F98" s="3">
        <v>100</v>
      </c>
      <c r="G98" s="6">
        <v>1</v>
      </c>
      <c r="H98" s="16">
        <v>2</v>
      </c>
      <c r="O98" s="4">
        <v>97</v>
      </c>
      <c r="P98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257.78196058138639</v>
      </c>
      <c r="Q98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272.25473161891767</v>
      </c>
      <c r="R98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791.71667385919477</v>
      </c>
      <c r="S98" s="4">
        <f t="shared" si="1"/>
        <v>1</v>
      </c>
    </row>
    <row r="99" spans="1:19" x14ac:dyDescent="0.3">
      <c r="A99" s="3">
        <v>1</v>
      </c>
      <c r="B99" s="3">
        <v>3</v>
      </c>
      <c r="C99" s="3">
        <v>3</v>
      </c>
      <c r="D99" s="3">
        <v>1</v>
      </c>
      <c r="E99" s="4">
        <v>7</v>
      </c>
      <c r="F99" s="3">
        <v>200</v>
      </c>
      <c r="G99" s="6">
        <v>3</v>
      </c>
      <c r="H99" s="16">
        <v>2</v>
      </c>
      <c r="O99" s="4">
        <v>98</v>
      </c>
      <c r="P99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157.79368458050254</v>
      </c>
      <c r="Q99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172.24425486306745</v>
      </c>
      <c r="R99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691.70342271814729</v>
      </c>
      <c r="S99" s="4">
        <f t="shared" si="1"/>
        <v>1</v>
      </c>
    </row>
    <row r="100" spans="1:19" x14ac:dyDescent="0.3">
      <c r="A100" s="3">
        <v>2</v>
      </c>
      <c r="B100" s="3">
        <v>3</v>
      </c>
      <c r="C100" s="3">
        <v>1</v>
      </c>
      <c r="D100" s="3">
        <v>2</v>
      </c>
      <c r="E100" s="4">
        <v>7</v>
      </c>
      <c r="F100" s="3">
        <v>200</v>
      </c>
      <c r="G100" s="6">
        <v>2</v>
      </c>
      <c r="H100" s="16">
        <v>2</v>
      </c>
      <c r="O100" s="4">
        <v>99</v>
      </c>
      <c r="P100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157.82488095144336</v>
      </c>
      <c r="Q100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172.26102609444516</v>
      </c>
      <c r="R100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691.71751821101077</v>
      </c>
      <c r="S100" s="4">
        <f t="shared" si="1"/>
        <v>1</v>
      </c>
    </row>
    <row r="101" spans="1:19" x14ac:dyDescent="0.3">
      <c r="A101" s="9">
        <v>2</v>
      </c>
      <c r="B101" s="9">
        <v>3</v>
      </c>
      <c r="C101" s="9">
        <v>2</v>
      </c>
      <c r="D101" s="9">
        <v>2</v>
      </c>
      <c r="E101" s="10">
        <v>7</v>
      </c>
      <c r="F101" s="9">
        <v>300</v>
      </c>
      <c r="G101" s="11">
        <v>4</v>
      </c>
      <c r="H101" s="18">
        <v>2</v>
      </c>
      <c r="O101" s="4">
        <v>100</v>
      </c>
      <c r="P101" s="5">
        <f xml:space="preserve">  SQRT((Table245[[#This Row],[Giới tính]]-$K$2)^2+(Table245[[#This Row],[Khu vực]]-$K$3)^2+(Table245[[#This Row],[Tần suất mua hàng (tháng)]]-$K$4)^2+(Table245[[#This Row],[Số lượng sản phẩm mỗi đơn]]-$K$5)^2+(Table245[[#This Row],[Loại sản phẩm quan tâm]]-$K$6)^2+(Table245[[#This Row],[Giá trị mỗi đơn (Nghìn)]]-$K$7)^2+(Table245[[#This Row],[Thời gian]]-$K$8)^2)</f>
        <v>57.99602746036517</v>
      </c>
      <c r="Q101" s="5">
        <f xml:space="preserve">  SQRT((Table245[[#This Row],[Giới tính]]-$L$2)^2+(Table245[[#This Row],[Khu vực]]-$L$3)^2+(Table245[[#This Row],[Tần suất mua hàng (tháng)]]-$L$4)^2+(Table245[[#This Row],[Số lượng sản phẩm mỗi đơn]]-$L$5)^2+(Table245[[#This Row],[Loại sản phẩm quan tâm]]-$L$6)^2+(Table245[[#This Row],[Giá trị mỗi đơn (Nghìn)]]-$L$7)^2+(Table245[[#This Row],[Thời gian]]-$L$8)^2)</f>
        <v>72.292423146858525</v>
      </c>
      <c r="R101" s="5">
        <f xml:space="preserve">  SQRT((Table245[[#This Row],[Giới tính]]-$M$2)^2+(Table245[[#This Row],[Khu vực]]-$M$3)^2+(Table245[[#This Row],[Tần suất mua hàng (tháng)]]-$M$4)^2+(Table245[[#This Row],[Số lượng sản phẩm mỗi đơn]]-$M$5)^2+(Table245[[#This Row],[Loại sản phẩm quan tâm]]-$M$6)^2+(Table245[[#This Row],[Giá trị mỗi đơn (Nghìn)]]-$M$7)^2+(Table245[[#This Row],[Thời gian]]-$M$8)^2)</f>
        <v>591.71442295530812</v>
      </c>
      <c r="S101" s="4">
        <f t="shared" si="1"/>
        <v>1</v>
      </c>
    </row>
  </sheetData>
  <mergeCells count="5">
    <mergeCell ref="J11:M12"/>
    <mergeCell ref="U2:U8"/>
    <mergeCell ref="U9:U15"/>
    <mergeCell ref="U16:U22"/>
    <mergeCell ref="J10:M10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4BE6-6305-43A2-82C7-8878605F450C}">
  <dimension ref="A1:AC101"/>
  <sheetViews>
    <sheetView topLeftCell="I1" zoomScale="96" zoomScaleNormal="96" workbookViewId="0">
      <selection activeCell="N13" sqref="N13"/>
    </sheetView>
  </sheetViews>
  <sheetFormatPr defaultRowHeight="14.4" x14ac:dyDescent="0.3"/>
  <cols>
    <col min="1" max="1" width="9.6640625" style="1" customWidth="1"/>
    <col min="2" max="2" width="11.33203125" style="1" customWidth="1"/>
    <col min="3" max="3" width="24.21875" style="1" customWidth="1"/>
    <col min="4" max="4" width="25.44140625" style="1" customWidth="1"/>
    <col min="5" max="5" width="22.6640625" style="1" customWidth="1"/>
    <col min="6" max="6" width="21.21875" style="1" customWidth="1"/>
    <col min="7" max="7" width="10.21875" style="1" customWidth="1"/>
    <col min="8" max="8" width="14.77734375" customWidth="1"/>
    <col min="9" max="9" width="13.44140625" customWidth="1"/>
    <col min="11" max="11" width="14" customWidth="1"/>
    <col min="23" max="23" width="12.88671875" customWidth="1"/>
    <col min="24" max="24" width="14" customWidth="1"/>
    <col min="25" max="25" width="13.44140625" customWidth="1"/>
    <col min="26" max="26" width="14" customWidth="1"/>
    <col min="27" max="27" width="18.109375" customWidth="1"/>
  </cols>
  <sheetData>
    <row r="1" spans="1:29" x14ac:dyDescent="0.3">
      <c r="A1" s="7" t="s">
        <v>104</v>
      </c>
      <c r="B1" s="7" t="s">
        <v>112</v>
      </c>
      <c r="C1" s="7" t="s">
        <v>106</v>
      </c>
      <c r="D1" s="7" t="s">
        <v>107</v>
      </c>
      <c r="E1" s="7" t="s">
        <v>115</v>
      </c>
      <c r="F1" s="7" t="s">
        <v>114</v>
      </c>
      <c r="G1" s="8" t="s">
        <v>113</v>
      </c>
      <c r="H1" s="19" t="s">
        <v>150</v>
      </c>
      <c r="I1" s="4" t="s">
        <v>151</v>
      </c>
      <c r="K1" s="15" t="s">
        <v>144</v>
      </c>
      <c r="L1" s="15">
        <v>1</v>
      </c>
      <c r="M1" s="15">
        <v>2</v>
      </c>
      <c r="N1" s="15">
        <v>3</v>
      </c>
      <c r="P1" s="15" t="s">
        <v>143</v>
      </c>
      <c r="Q1" s="15" t="s">
        <v>145</v>
      </c>
      <c r="R1" s="15" t="s">
        <v>146</v>
      </c>
      <c r="S1" s="15" t="s">
        <v>147</v>
      </c>
      <c r="T1" s="15" t="s">
        <v>148</v>
      </c>
      <c r="W1" s="15" t="s">
        <v>143</v>
      </c>
      <c r="X1" s="15" t="s">
        <v>142</v>
      </c>
      <c r="Y1" s="15" t="s">
        <v>152</v>
      </c>
      <c r="Z1" s="15" t="s">
        <v>153</v>
      </c>
      <c r="AA1" s="15" t="s">
        <v>157</v>
      </c>
      <c r="AB1" s="15" t="s">
        <v>158</v>
      </c>
      <c r="AC1" s="15" t="s">
        <v>159</v>
      </c>
    </row>
    <row r="2" spans="1:29" x14ac:dyDescent="0.3">
      <c r="A2" s="3">
        <v>2</v>
      </c>
      <c r="B2" s="3">
        <v>1</v>
      </c>
      <c r="C2" s="3">
        <v>1</v>
      </c>
      <c r="D2" s="3">
        <v>1</v>
      </c>
      <c r="E2" s="4">
        <v>2</v>
      </c>
      <c r="F2" s="3">
        <v>600</v>
      </c>
      <c r="G2" s="6">
        <v>4</v>
      </c>
      <c r="H2" s="17">
        <v>1</v>
      </c>
      <c r="I2" s="16">
        <v>2</v>
      </c>
      <c r="K2" s="4" t="s">
        <v>104</v>
      </c>
      <c r="L2" s="4">
        <f xml:space="preserve"> AVERAGEIF(Table2456[Cụm lần 2],1,Table2456[Giới tính])</f>
        <v>1.5116279069767442</v>
      </c>
      <c r="M2" s="4">
        <f xml:space="preserve"> AVERAGEIF(Table2456[Cụm lần 2],2,Table2456[Giới tính])</f>
        <v>1.4102564102564104</v>
      </c>
      <c r="N2" s="4">
        <f xml:space="preserve"> AVERAGEIF(Table2456[Cụm lần 2],3,Table2456[Giới tính])</f>
        <v>1.6111111111111112</v>
      </c>
      <c r="P2" s="4">
        <v>1</v>
      </c>
      <c r="Q2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374.44185902074548</v>
      </c>
      <c r="R2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138.51545483971924</v>
      </c>
      <c r="S2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233.40543198266053</v>
      </c>
      <c r="T2" s="4">
        <f>IF(MIN(Q2,R2,S2) = Q2, 1, IF(MIN(Q2,R2,S2) = R2, 2,3))</f>
        <v>2</v>
      </c>
      <c r="W2" s="31" t="s">
        <v>154</v>
      </c>
      <c r="X2" s="4" t="s">
        <v>104</v>
      </c>
      <c r="Y2" s="4">
        <v>2</v>
      </c>
      <c r="Z2" s="4">
        <f xml:space="preserve"> AVERAGEIF(Table2456[Cụm lần 1],1,Table2456[Giới tính])</f>
        <v>1.5384615384615385</v>
      </c>
      <c r="AA2" s="4">
        <v>1.5116279069767442</v>
      </c>
      <c r="AB2" s="4"/>
      <c r="AC2" s="4"/>
    </row>
    <row r="3" spans="1:29" x14ac:dyDescent="0.3">
      <c r="A3" s="3">
        <v>1</v>
      </c>
      <c r="B3" s="3">
        <v>1</v>
      </c>
      <c r="C3" s="3">
        <v>1</v>
      </c>
      <c r="D3" s="3">
        <v>1</v>
      </c>
      <c r="E3" s="4">
        <v>2</v>
      </c>
      <c r="F3" s="3">
        <v>200</v>
      </c>
      <c r="G3" s="6">
        <v>1</v>
      </c>
      <c r="H3" s="16">
        <v>1</v>
      </c>
      <c r="I3" s="16">
        <v>1</v>
      </c>
      <c r="K3" s="4" t="s">
        <v>112</v>
      </c>
      <c r="L3" s="4">
        <f xml:space="preserve"> AVERAGEIF(Table2456[Cụm lần 2],1,Table2456[Khu vực])</f>
        <v>2.13953488372093</v>
      </c>
      <c r="M3" s="4">
        <f xml:space="preserve"> AVERAGEIF(Table2456[Cụm lần 2],2,Table2456[Khu vực])</f>
        <v>1.9230769230769231</v>
      </c>
      <c r="N3" s="4">
        <f xml:space="preserve"> AVERAGEIF(Table2456[Cụm lần 2],3,Table2456[Khu vực])</f>
        <v>2.2222222222222223</v>
      </c>
      <c r="P3" s="4">
        <v>2</v>
      </c>
      <c r="Q3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25.99657796675578</v>
      </c>
      <c r="R3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261.57034245106445</v>
      </c>
      <c r="S3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633.36349587044776</v>
      </c>
      <c r="T3" s="4">
        <f>IF(MIN(Q3,R3,S3) = Q3, 1, IF(MIN(Q3,R3,S3) = R3, 2,3))</f>
        <v>1</v>
      </c>
      <c r="W3" s="31"/>
      <c r="X3" s="4" t="s">
        <v>112</v>
      </c>
      <c r="Y3" s="4">
        <v>1</v>
      </c>
      <c r="Z3" s="4">
        <f xml:space="preserve"> AVERAGEIF(Table2456[Cụm lần 1],1,Table2456[Khu vực])</f>
        <v>1.9615384615384615</v>
      </c>
      <c r="AA3" s="4">
        <v>2.13953488372093</v>
      </c>
      <c r="AB3" s="4"/>
      <c r="AC3" s="4"/>
    </row>
    <row r="4" spans="1:29" x14ac:dyDescent="0.3">
      <c r="A4" s="3">
        <v>2</v>
      </c>
      <c r="B4" s="3">
        <v>1</v>
      </c>
      <c r="C4" s="3">
        <v>15</v>
      </c>
      <c r="D4" s="3">
        <v>1</v>
      </c>
      <c r="E4" s="4">
        <v>2</v>
      </c>
      <c r="F4" s="3">
        <v>200</v>
      </c>
      <c r="G4" s="6">
        <v>4</v>
      </c>
      <c r="H4" s="16">
        <v>1</v>
      </c>
      <c r="I4" s="16">
        <v>1</v>
      </c>
      <c r="K4" s="4" t="s">
        <v>140</v>
      </c>
      <c r="L4" s="4">
        <f xml:space="preserve"> AVERAGEIF(Table2456[Cụm lần 2],1,Table2456[Tần suất mua hàng (tháng)])</f>
        <v>4.6511627906976747</v>
      </c>
      <c r="M4" s="4">
        <f xml:space="preserve"> AVERAGEIF(Table2456[Cụm lần 2],2,Table2456[Tần suất mua hàng (tháng)])</f>
        <v>3.8205128205128207</v>
      </c>
      <c r="N4" s="4">
        <f xml:space="preserve"> AVERAGEIF(Table2456[Cụm lần 2],3,Table2456[Tần suất mua hàng (tháng)])</f>
        <v>6</v>
      </c>
      <c r="P4" s="4">
        <v>3</v>
      </c>
      <c r="Q4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27.669288170136888</v>
      </c>
      <c r="R4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261.79061499841657</v>
      </c>
      <c r="S4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633.40410666941455</v>
      </c>
      <c r="T4" s="4">
        <f>IF(MIN(Q4,R4,S4) = Q4, 1, IF(MIN(Q4,R4,S4) = R4, 2,3))</f>
        <v>1</v>
      </c>
      <c r="W4" s="31"/>
      <c r="X4" s="4" t="s">
        <v>140</v>
      </c>
      <c r="Y4" s="4">
        <v>1</v>
      </c>
      <c r="Z4" s="4">
        <f xml:space="preserve"> AVERAGEIF(Table2456[Cụm lần 1],1,Table2456[Tần suất mua hàng (tháng)])</f>
        <v>4.2692307692307692</v>
      </c>
      <c r="AA4" s="4">
        <v>4.6511627906976747</v>
      </c>
      <c r="AB4" s="4"/>
      <c r="AC4" s="4"/>
    </row>
    <row r="5" spans="1:29" x14ac:dyDescent="0.3">
      <c r="A5" s="3">
        <v>2</v>
      </c>
      <c r="B5" s="3">
        <v>1</v>
      </c>
      <c r="C5" s="3">
        <v>2</v>
      </c>
      <c r="D5" s="3">
        <v>2</v>
      </c>
      <c r="E5" s="4">
        <v>3</v>
      </c>
      <c r="F5" s="3">
        <v>500</v>
      </c>
      <c r="G5" s="6">
        <v>1</v>
      </c>
      <c r="H5" s="16">
        <v>2</v>
      </c>
      <c r="I5" s="16">
        <v>2</v>
      </c>
      <c r="K5" s="4" t="s">
        <v>139</v>
      </c>
      <c r="L5" s="4">
        <f xml:space="preserve"> AVERAGEIF(Table2456[Cụm lần 2],1,Table2456[Số lượng sản phẩm mỗi đơn])</f>
        <v>1.8372093023255813</v>
      </c>
      <c r="M5" s="4">
        <f xml:space="preserve"> AVERAGEIF(Table2456[Cụm lần 2],2,Table2456[Số lượng sản phẩm mỗi đơn])</f>
        <v>2.6153846153846154</v>
      </c>
      <c r="N5" s="4">
        <f xml:space="preserve"> AVERAGEIF(Table2456[Cụm lần 2],3,Table2456[Số lượng sản phẩm mỗi đơn])</f>
        <v>3.3888888888888888</v>
      </c>
      <c r="P5" s="4">
        <v>4</v>
      </c>
      <c r="Q5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274.44279061727161</v>
      </c>
      <c r="R5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38.569523623338007</v>
      </c>
      <c r="S5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333.37014148625838</v>
      </c>
      <c r="T5" s="4">
        <f t="shared" ref="T5:T68" si="0">IF(MIN(Q5,R5,S5) = Q5, 1, IF(MIN(Q5,R5,S5) = R5, 2,3))</f>
        <v>2</v>
      </c>
      <c r="W5" s="31"/>
      <c r="X5" s="4" t="s">
        <v>139</v>
      </c>
      <c r="Y5" s="4">
        <v>1</v>
      </c>
      <c r="Z5" s="4">
        <f xml:space="preserve"> AVERAGEIF(Table2456[Cụm lần 1],1,Table2456[Số lượng sản phẩm mỗi đơn])</f>
        <v>1.8653846153846154</v>
      </c>
      <c r="AA5" s="4">
        <v>1.8372093023255813</v>
      </c>
      <c r="AB5" s="4"/>
      <c r="AC5" s="4"/>
    </row>
    <row r="6" spans="1:29" x14ac:dyDescent="0.3">
      <c r="A6" s="3">
        <v>1</v>
      </c>
      <c r="B6" s="3">
        <v>1</v>
      </c>
      <c r="C6" s="3">
        <v>3</v>
      </c>
      <c r="D6" s="3">
        <v>1</v>
      </c>
      <c r="E6" s="4">
        <v>3</v>
      </c>
      <c r="F6" s="3">
        <v>800</v>
      </c>
      <c r="G6" s="6">
        <v>4</v>
      </c>
      <c r="H6" s="16">
        <v>1</v>
      </c>
      <c r="I6" s="16">
        <v>3</v>
      </c>
      <c r="K6" s="4" t="s">
        <v>141</v>
      </c>
      <c r="L6" s="4">
        <f xml:space="preserve"> AVERAGEIF(Table2456[Cụm lần 2],1,Table2456[Loại sản phẩm quan tâm])</f>
        <v>3.0697674418604652</v>
      </c>
      <c r="M6" s="4">
        <f xml:space="preserve"> AVERAGEIF(Table2456[Cụm lần 2],2,Table2456[Loại sản phẩm quan tâm])</f>
        <v>3.3333333333333335</v>
      </c>
      <c r="N6" s="4">
        <f xml:space="preserve"> AVERAGEIF(Table2456[Cụm lần 2],3,Table2456[Loại sản phẩm quan tâm])</f>
        <v>2.8333333333333335</v>
      </c>
      <c r="P6" s="4">
        <v>5</v>
      </c>
      <c r="Q6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574.42356037783168</v>
      </c>
      <c r="R6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338.47011449896354</v>
      </c>
      <c r="S6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33.590443599848015</v>
      </c>
      <c r="T6" s="4">
        <f t="shared" si="0"/>
        <v>3</v>
      </c>
      <c r="W6" s="31"/>
      <c r="X6" s="4" t="s">
        <v>141</v>
      </c>
      <c r="Y6" s="4">
        <v>2</v>
      </c>
      <c r="Z6" s="4">
        <f xml:space="preserve"> AVERAGEIF(Table2456[Cụm lần 1],1,Table2456[Loại sản phẩm quan tâm])</f>
        <v>1.6923076923076923</v>
      </c>
      <c r="AA6" s="4">
        <v>3.0697674418604652</v>
      </c>
      <c r="AB6" s="4"/>
      <c r="AC6" s="4"/>
    </row>
    <row r="7" spans="1:29" x14ac:dyDescent="0.3">
      <c r="A7" s="3">
        <v>2</v>
      </c>
      <c r="B7" s="3">
        <v>1</v>
      </c>
      <c r="C7" s="3">
        <v>1</v>
      </c>
      <c r="D7" s="3">
        <v>1</v>
      </c>
      <c r="E7" s="4">
        <v>3</v>
      </c>
      <c r="F7" s="3">
        <v>700</v>
      </c>
      <c r="G7" s="6">
        <v>2</v>
      </c>
      <c r="H7" s="16">
        <v>1</v>
      </c>
      <c r="I7" s="16">
        <v>3</v>
      </c>
      <c r="K7" s="4" t="s">
        <v>142</v>
      </c>
      <c r="L7" s="4">
        <f xml:space="preserve"> AVERAGEIF(Table2456[Cụm lần 2],1,Table2456[Giá trị mỗi đơn (Nghìn)])</f>
        <v>225.58139534883722</v>
      </c>
      <c r="M7" s="4">
        <f xml:space="preserve"> AVERAGEIF(Table2456[Cụm lần 2],2,Table2456[Giá trị mỗi đơn (Nghìn)])</f>
        <v>461.53846153846155</v>
      </c>
      <c r="N7" s="4">
        <f xml:space="preserve"> AVERAGEIF(Table2456[Cụm lần 2],3,Table2456[Giá trị mỗi đơn (Nghìn)])</f>
        <v>833.33333333333337</v>
      </c>
      <c r="P7" s="4">
        <v>6</v>
      </c>
      <c r="Q7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474.43644289309333</v>
      </c>
      <c r="R7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238.48784938939212</v>
      </c>
      <c r="S7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133.46029834586733</v>
      </c>
      <c r="T7" s="4">
        <f t="shared" si="0"/>
        <v>3</v>
      </c>
      <c r="W7" s="31"/>
      <c r="X7" s="4" t="s">
        <v>142</v>
      </c>
      <c r="Y7" s="4">
        <v>600</v>
      </c>
      <c r="Z7" s="4">
        <f xml:space="preserve"> AVERAGEIF(Table2456[Cụm lần 1],1,Table2456[Giá trị mỗi đơn (Nghìn)])</f>
        <v>357.69230769230768</v>
      </c>
      <c r="AA7" s="4">
        <v>225.58139534883722</v>
      </c>
      <c r="AB7" s="4"/>
      <c r="AC7" s="4"/>
    </row>
    <row r="8" spans="1:29" x14ac:dyDescent="0.3">
      <c r="A8" s="3">
        <v>1</v>
      </c>
      <c r="B8" s="3">
        <v>1</v>
      </c>
      <c r="C8" s="3">
        <v>1</v>
      </c>
      <c r="D8" s="3">
        <v>1</v>
      </c>
      <c r="E8" s="4">
        <v>3</v>
      </c>
      <c r="F8" s="3">
        <v>500</v>
      </c>
      <c r="G8" s="6">
        <v>4</v>
      </c>
      <c r="H8" s="16">
        <v>1</v>
      </c>
      <c r="I8" s="16">
        <v>2</v>
      </c>
      <c r="K8" s="4" t="s">
        <v>113</v>
      </c>
      <c r="L8" s="4">
        <f xml:space="preserve"> AVERAGEIF(Table2456[Cụm lần 2],1,Table2456[Thời gian])</f>
        <v>3.1627906976744184</v>
      </c>
      <c r="M8" s="4">
        <f xml:space="preserve"> AVERAGEIF(Table2456[Cụm lần 2],2,Table2456[Thời gian])</f>
        <v>2.8205128205128207</v>
      </c>
      <c r="N8" s="4">
        <f xml:space="preserve"> AVERAGEIF(Table2456[Cụm lần 2],3,Table2456[Thời gian])</f>
        <v>3.2222222222222223</v>
      </c>
      <c r="P8" s="4">
        <v>7</v>
      </c>
      <c r="Q8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274.4482985511288</v>
      </c>
      <c r="R8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38.631300564444622</v>
      </c>
      <c r="S8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333.38313979749273</v>
      </c>
      <c r="T8" s="4">
        <f t="shared" si="0"/>
        <v>2</v>
      </c>
      <c r="W8" s="31"/>
      <c r="X8" s="4" t="s">
        <v>113</v>
      </c>
      <c r="Y8" s="4">
        <v>4</v>
      </c>
      <c r="Z8" s="4">
        <f xml:space="preserve"> AVERAGEIF(Table2456[Cụm lần 1],1,Table2456[Thời gian])</f>
        <v>3.2884615384615383</v>
      </c>
      <c r="AA8" s="4">
        <v>3.1627906976744184</v>
      </c>
      <c r="AB8" s="4"/>
      <c r="AC8" s="4"/>
    </row>
    <row r="9" spans="1:29" x14ac:dyDescent="0.3">
      <c r="A9" s="3">
        <v>2</v>
      </c>
      <c r="B9" s="3">
        <v>1</v>
      </c>
      <c r="C9" s="3">
        <v>5</v>
      </c>
      <c r="D9" s="3">
        <v>1</v>
      </c>
      <c r="E9" s="4">
        <v>2</v>
      </c>
      <c r="F9" s="3">
        <v>200</v>
      </c>
      <c r="G9" s="6">
        <v>4</v>
      </c>
      <c r="H9" s="16">
        <v>1</v>
      </c>
      <c r="I9" s="16">
        <v>1</v>
      </c>
      <c r="P9" s="4">
        <v>8</v>
      </c>
      <c r="Q9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25.663451904528173</v>
      </c>
      <c r="R9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261.55446155181414</v>
      </c>
      <c r="S9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633.34095268321244</v>
      </c>
      <c r="T9" s="4">
        <f t="shared" si="0"/>
        <v>1</v>
      </c>
      <c r="W9" s="31" t="s">
        <v>155</v>
      </c>
      <c r="X9" s="4" t="s">
        <v>104</v>
      </c>
      <c r="Y9" s="4">
        <v>2</v>
      </c>
      <c r="Z9" s="4">
        <f xml:space="preserve"> AVERAGEIF(Table2456[Cụm lần 1],2,Table2456[Giới tính])</f>
        <v>1.3611111111111112</v>
      </c>
      <c r="AA9" s="4">
        <v>1.4102564102564104</v>
      </c>
      <c r="AB9" s="4"/>
      <c r="AC9" s="4"/>
    </row>
    <row r="10" spans="1:29" x14ac:dyDescent="0.3">
      <c r="A10" s="3">
        <v>2</v>
      </c>
      <c r="B10" s="3">
        <v>1</v>
      </c>
      <c r="C10" s="3">
        <v>1</v>
      </c>
      <c r="D10" s="3">
        <v>3</v>
      </c>
      <c r="E10" s="4">
        <v>2</v>
      </c>
      <c r="F10" s="3">
        <v>100</v>
      </c>
      <c r="G10" s="6">
        <v>4</v>
      </c>
      <c r="H10" s="16">
        <v>1</v>
      </c>
      <c r="I10" s="16">
        <v>1</v>
      </c>
      <c r="K10" s="36" t="s">
        <v>163</v>
      </c>
      <c r="L10" s="36"/>
      <c r="M10" s="36"/>
      <c r="N10" s="36"/>
      <c r="P10" s="4">
        <v>9</v>
      </c>
      <c r="Q10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125.65330198024942</v>
      </c>
      <c r="R10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361.55570971767867</v>
      </c>
      <c r="S10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733.35248922792255</v>
      </c>
      <c r="T10" s="4">
        <f t="shared" si="0"/>
        <v>1</v>
      </c>
      <c r="W10" s="31"/>
      <c r="X10" s="4" t="s">
        <v>112</v>
      </c>
      <c r="Y10" s="4">
        <v>2</v>
      </c>
      <c r="Z10" s="4">
        <f xml:space="preserve"> AVERAGEIF(Table2456[Cụm lần 1],2,Table2456[Khu vực])</f>
        <v>2.1388888888888888</v>
      </c>
      <c r="AA10" s="4">
        <v>1.9230769230769231</v>
      </c>
      <c r="AB10" s="4"/>
      <c r="AC10" s="4"/>
    </row>
    <row r="11" spans="1:29" x14ac:dyDescent="0.3">
      <c r="A11" s="3">
        <v>2</v>
      </c>
      <c r="B11" s="3">
        <v>1</v>
      </c>
      <c r="C11" s="3">
        <v>8</v>
      </c>
      <c r="D11" s="3">
        <v>1</v>
      </c>
      <c r="E11" s="4">
        <v>2</v>
      </c>
      <c r="F11" s="3">
        <v>600</v>
      </c>
      <c r="G11" s="6">
        <v>4</v>
      </c>
      <c r="H11" s="16">
        <v>1</v>
      </c>
      <c r="I11" s="16">
        <v>2</v>
      </c>
      <c r="K11" s="37" t="s">
        <v>149</v>
      </c>
      <c r="L11" s="38"/>
      <c r="M11" s="38"/>
      <c r="N11" s="39"/>
      <c r="P11" s="4">
        <v>10</v>
      </c>
      <c r="Q11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374.43903309863686</v>
      </c>
      <c r="R11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138.54978906504016</v>
      </c>
      <c r="S11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233.36044154700335</v>
      </c>
      <c r="T11" s="4">
        <f t="shared" si="0"/>
        <v>2</v>
      </c>
      <c r="W11" s="31"/>
      <c r="X11" s="4" t="s">
        <v>140</v>
      </c>
      <c r="Y11" s="4">
        <v>1</v>
      </c>
      <c r="Z11" s="4">
        <f xml:space="preserve"> AVERAGEIF(Table2456[Cụm lần 1],2,Table2456[Tần suất mua hàng (tháng)])</f>
        <v>3.9444444444444446</v>
      </c>
      <c r="AA11" s="4">
        <v>3.8205128205128207</v>
      </c>
      <c r="AB11" s="4"/>
      <c r="AC11" s="4"/>
    </row>
    <row r="12" spans="1:29" x14ac:dyDescent="0.3">
      <c r="A12" s="3">
        <v>1</v>
      </c>
      <c r="B12" s="3">
        <v>1</v>
      </c>
      <c r="C12" s="3">
        <v>3</v>
      </c>
      <c r="D12" s="3">
        <v>1</v>
      </c>
      <c r="E12" s="4">
        <v>1</v>
      </c>
      <c r="F12" s="3">
        <v>100</v>
      </c>
      <c r="G12" s="6">
        <v>4</v>
      </c>
      <c r="H12" s="16">
        <v>1</v>
      </c>
      <c r="I12" s="16">
        <v>1</v>
      </c>
      <c r="K12" s="40"/>
      <c r="L12" s="41"/>
      <c r="M12" s="41"/>
      <c r="N12" s="42"/>
      <c r="P12" s="4">
        <v>11</v>
      </c>
      <c r="Q12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125.6210940697618</v>
      </c>
      <c r="R12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361.55386582931317</v>
      </c>
      <c r="S12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733.34733782924081</v>
      </c>
      <c r="T12" s="4">
        <f t="shared" si="0"/>
        <v>1</v>
      </c>
      <c r="W12" s="31"/>
      <c r="X12" s="4" t="s">
        <v>139</v>
      </c>
      <c r="Y12" s="4">
        <v>1</v>
      </c>
      <c r="Z12" s="4">
        <f xml:space="preserve"> AVERAGEIF(Table2456[Cụm lần 1],2,Table2456[Số lượng sản phẩm mỗi đơn])</f>
        <v>2.7222222222222223</v>
      </c>
      <c r="AA12" s="4">
        <v>2.6153846153846154</v>
      </c>
      <c r="AB12" s="4"/>
      <c r="AC12" s="4"/>
    </row>
    <row r="13" spans="1:29" x14ac:dyDescent="0.3">
      <c r="A13" s="3">
        <v>2</v>
      </c>
      <c r="B13" s="3">
        <v>1</v>
      </c>
      <c r="C13" s="3">
        <v>1</v>
      </c>
      <c r="D13" s="3">
        <v>1</v>
      </c>
      <c r="E13" s="4">
        <v>1</v>
      </c>
      <c r="F13" s="3">
        <v>400</v>
      </c>
      <c r="G13" s="6">
        <v>4</v>
      </c>
      <c r="H13" s="16">
        <v>1</v>
      </c>
      <c r="I13" s="16">
        <v>2</v>
      </c>
      <c r="P13" s="4">
        <v>12</v>
      </c>
      <c r="Q13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174.47751563261795</v>
      </c>
      <c r="R13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61.689403559327666</v>
      </c>
      <c r="S13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433.37523657797101</v>
      </c>
      <c r="T13" s="4">
        <f t="shared" si="0"/>
        <v>2</v>
      </c>
      <c r="W13" s="31"/>
      <c r="X13" s="4" t="s">
        <v>141</v>
      </c>
      <c r="Y13" s="4">
        <v>5</v>
      </c>
      <c r="Z13" s="4">
        <f xml:space="preserve"> AVERAGEIF(Table2456[Cụm lần 1],2,Table2456[Loại sản phẩm quan tâm])</f>
        <v>5.3611111111111107</v>
      </c>
      <c r="AA13" s="4">
        <v>3.3333333333333335</v>
      </c>
      <c r="AB13" s="4"/>
      <c r="AC13" s="4"/>
    </row>
    <row r="14" spans="1:29" x14ac:dyDescent="0.3">
      <c r="A14" s="3">
        <v>2</v>
      </c>
      <c r="B14" s="3">
        <v>1</v>
      </c>
      <c r="C14" s="3">
        <v>4</v>
      </c>
      <c r="D14" s="3">
        <v>1</v>
      </c>
      <c r="E14" s="4">
        <v>3</v>
      </c>
      <c r="F14" s="3">
        <v>600</v>
      </c>
      <c r="G14" s="6">
        <v>3</v>
      </c>
      <c r="H14" s="16">
        <v>1</v>
      </c>
      <c r="I14" s="16">
        <v>2</v>
      </c>
      <c r="P14" s="4">
        <v>13</v>
      </c>
      <c r="Q14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374.42220134051786</v>
      </c>
      <c r="R14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138.47592755242908</v>
      </c>
      <c r="S14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233.35782278893103</v>
      </c>
      <c r="T14" s="4">
        <f t="shared" si="0"/>
        <v>2</v>
      </c>
      <c r="W14" s="31"/>
      <c r="X14" s="4" t="s">
        <v>142</v>
      </c>
      <c r="Y14" s="4">
        <v>600</v>
      </c>
      <c r="Z14" s="4">
        <f xml:space="preserve"> AVERAGEIF(Table2456[Cụm lần 1],2,Table2456[Giá trị mỗi đơn (Nghìn)])</f>
        <v>372.22222222222223</v>
      </c>
      <c r="AA14" s="4">
        <v>461.53846153846155</v>
      </c>
      <c r="AB14" s="4"/>
      <c r="AC14" s="4"/>
    </row>
    <row r="15" spans="1:29" x14ac:dyDescent="0.3">
      <c r="A15" s="3">
        <v>2</v>
      </c>
      <c r="B15" s="3">
        <v>1</v>
      </c>
      <c r="C15" s="3">
        <v>1</v>
      </c>
      <c r="D15" s="3">
        <v>4</v>
      </c>
      <c r="E15" s="4">
        <v>3</v>
      </c>
      <c r="F15" s="3">
        <v>500</v>
      </c>
      <c r="G15" s="6">
        <v>3</v>
      </c>
      <c r="H15" s="16">
        <v>1</v>
      </c>
      <c r="I15" s="16">
        <v>2</v>
      </c>
      <c r="K15" s="21"/>
      <c r="L15" s="21"/>
      <c r="M15" s="21"/>
      <c r="N15" s="21"/>
      <c r="P15" s="4">
        <v>14</v>
      </c>
      <c r="Q15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274.45427241596542</v>
      </c>
      <c r="R15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38.607066560782165</v>
      </c>
      <c r="S15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333.37397437431059</v>
      </c>
      <c r="T15" s="4">
        <f t="shared" si="0"/>
        <v>2</v>
      </c>
      <c r="W15" s="31"/>
      <c r="X15" s="4" t="s">
        <v>113</v>
      </c>
      <c r="Y15" s="4">
        <v>1</v>
      </c>
      <c r="Z15" s="4">
        <f xml:space="preserve"> AVERAGEIF(Table2456[Cụm lần 1],2,Table2456[Thời gian])</f>
        <v>2.5833333333333335</v>
      </c>
      <c r="AA15" s="4">
        <v>2.8205128205128207</v>
      </c>
      <c r="AB15" s="4"/>
      <c r="AC15" s="4"/>
    </row>
    <row r="16" spans="1:29" x14ac:dyDescent="0.3">
      <c r="A16" s="3">
        <v>1</v>
      </c>
      <c r="B16" s="3">
        <v>1</v>
      </c>
      <c r="C16" s="3">
        <v>10</v>
      </c>
      <c r="D16" s="3">
        <v>5</v>
      </c>
      <c r="E16" s="4">
        <v>3</v>
      </c>
      <c r="F16" s="3">
        <v>1000</v>
      </c>
      <c r="G16" s="6">
        <v>4</v>
      </c>
      <c r="H16" s="16">
        <v>3</v>
      </c>
      <c r="I16" s="16">
        <v>3</v>
      </c>
      <c r="K16" s="21"/>
      <c r="L16" s="21"/>
      <c r="M16" s="21"/>
      <c r="N16" s="21"/>
      <c r="P16" s="4">
        <v>15</v>
      </c>
      <c r="Q16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774.44499780431227</v>
      </c>
      <c r="R16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538.50461793483873</v>
      </c>
      <c r="S16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166.72994169251697</v>
      </c>
      <c r="T16" s="4">
        <f t="shared" si="0"/>
        <v>3</v>
      </c>
      <c r="W16" s="31" t="s">
        <v>156</v>
      </c>
      <c r="X16" s="4" t="s">
        <v>104</v>
      </c>
      <c r="Y16" s="4">
        <v>2</v>
      </c>
      <c r="Z16" s="4">
        <f xml:space="preserve"> AVERAGEIF(Table2456[Cụm lần 1],3,Table2456[Giới tính])</f>
        <v>1.6666666666666667</v>
      </c>
      <c r="AA16" s="4">
        <v>1.6111111111111112</v>
      </c>
      <c r="AB16" s="4"/>
      <c r="AC16" s="4"/>
    </row>
    <row r="17" spans="1:29" x14ac:dyDescent="0.3">
      <c r="A17" s="3">
        <v>2</v>
      </c>
      <c r="B17" s="3">
        <v>1</v>
      </c>
      <c r="C17" s="3">
        <v>1</v>
      </c>
      <c r="D17" s="3">
        <v>1</v>
      </c>
      <c r="E17" s="4">
        <v>3</v>
      </c>
      <c r="F17" s="3">
        <v>200</v>
      </c>
      <c r="G17" s="6">
        <v>4</v>
      </c>
      <c r="H17" s="16">
        <v>1</v>
      </c>
      <c r="I17" s="16">
        <v>1</v>
      </c>
      <c r="K17" s="21"/>
      <c r="L17" s="21"/>
      <c r="M17" s="21"/>
      <c r="N17" s="21"/>
      <c r="P17" s="4">
        <v>16</v>
      </c>
      <c r="Q17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25.897539093471629</v>
      </c>
      <c r="R17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261.56382355661663</v>
      </c>
      <c r="S17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633.35937324635245</v>
      </c>
      <c r="T17" s="4">
        <f t="shared" si="0"/>
        <v>1</v>
      </c>
      <c r="W17" s="31"/>
      <c r="X17" s="4" t="s">
        <v>112</v>
      </c>
      <c r="Y17" s="4">
        <v>3</v>
      </c>
      <c r="Z17" s="4">
        <f xml:space="preserve"> AVERAGEIF(Table2456[Cụm lần 1],3,Table2456[Khu vực])</f>
        <v>2.3333333333333335</v>
      </c>
      <c r="AA17" s="4">
        <v>2.2222222222222223</v>
      </c>
      <c r="AB17" s="4"/>
      <c r="AC17" s="4"/>
    </row>
    <row r="18" spans="1:29" x14ac:dyDescent="0.3">
      <c r="A18" s="3">
        <v>2</v>
      </c>
      <c r="B18" s="3">
        <v>1</v>
      </c>
      <c r="C18" s="3">
        <v>4</v>
      </c>
      <c r="D18" s="3">
        <v>1</v>
      </c>
      <c r="E18" s="4">
        <v>3</v>
      </c>
      <c r="F18" s="3">
        <v>200</v>
      </c>
      <c r="G18" s="6">
        <v>4</v>
      </c>
      <c r="H18" s="16">
        <v>1</v>
      </c>
      <c r="I18" s="16">
        <v>1</v>
      </c>
      <c r="K18" s="21"/>
      <c r="L18" s="21"/>
      <c r="M18" s="21"/>
      <c r="N18" s="21"/>
      <c r="P18" s="4">
        <v>17</v>
      </c>
      <c r="Q18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25.64713540249096</v>
      </c>
      <c r="R18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261.54867752797719</v>
      </c>
      <c r="S18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633.34279476363542</v>
      </c>
      <c r="T18" s="4">
        <f t="shared" si="0"/>
        <v>1</v>
      </c>
      <c r="W18" s="31"/>
      <c r="X18" s="4" t="s">
        <v>140</v>
      </c>
      <c r="Y18" s="4">
        <v>3</v>
      </c>
      <c r="Z18" s="4">
        <f xml:space="preserve"> AVERAGEIF(Table2456[Cụm lần 1],3,Table2456[Tần suất mua hàng (tháng)])</f>
        <v>7.75</v>
      </c>
      <c r="AA18" s="4">
        <v>6</v>
      </c>
      <c r="AB18" s="4"/>
      <c r="AC18" s="4"/>
    </row>
    <row r="19" spans="1:29" x14ac:dyDescent="0.3">
      <c r="A19" s="3">
        <v>2</v>
      </c>
      <c r="B19" s="3">
        <v>1</v>
      </c>
      <c r="C19" s="3">
        <v>4</v>
      </c>
      <c r="D19" s="3">
        <v>1</v>
      </c>
      <c r="E19" s="4">
        <v>2</v>
      </c>
      <c r="F19" s="3">
        <v>200</v>
      </c>
      <c r="G19" s="6">
        <v>4</v>
      </c>
      <c r="H19" s="16">
        <v>1</v>
      </c>
      <c r="I19" s="16">
        <v>1</v>
      </c>
      <c r="K19" s="21"/>
      <c r="L19" s="21"/>
      <c r="M19" s="21"/>
      <c r="N19" s="21"/>
      <c r="P19" s="4">
        <v>18</v>
      </c>
      <c r="Q19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25.669341425861049</v>
      </c>
      <c r="R19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261.55186365862596</v>
      </c>
      <c r="S19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633.34332107134367</v>
      </c>
      <c r="T19" s="4">
        <f t="shared" si="0"/>
        <v>1</v>
      </c>
      <c r="W19" s="31"/>
      <c r="X19" s="4" t="s">
        <v>139</v>
      </c>
      <c r="Y19" s="4">
        <v>5</v>
      </c>
      <c r="Z19" s="4">
        <f xml:space="preserve"> AVERAGEIF(Table2456[Cụm lần 1],3,Table2456[Số lượng sản phẩm mỗi đơn])</f>
        <v>3.9166666666666665</v>
      </c>
      <c r="AA19" s="4">
        <v>3.3888888888888888</v>
      </c>
      <c r="AB19" s="4"/>
      <c r="AC19" s="4"/>
    </row>
    <row r="20" spans="1:29" x14ac:dyDescent="0.3">
      <c r="A20" s="3">
        <v>2</v>
      </c>
      <c r="B20" s="3">
        <v>1</v>
      </c>
      <c r="C20" s="3">
        <v>8</v>
      </c>
      <c r="D20" s="3">
        <v>2</v>
      </c>
      <c r="E20" s="4">
        <v>2</v>
      </c>
      <c r="F20" s="3">
        <v>400</v>
      </c>
      <c r="G20" s="6">
        <v>4</v>
      </c>
      <c r="H20" s="16">
        <v>1</v>
      </c>
      <c r="I20" s="16">
        <v>2</v>
      </c>
      <c r="K20" s="21"/>
      <c r="L20" s="21"/>
      <c r="M20" s="21"/>
      <c r="N20" s="21"/>
      <c r="P20" s="4">
        <v>19</v>
      </c>
      <c r="Q20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174.46052054482786</v>
      </c>
      <c r="R20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61.718699728048172</v>
      </c>
      <c r="S20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433.34357181636824</v>
      </c>
      <c r="T20" s="4">
        <f t="shared" si="0"/>
        <v>2</v>
      </c>
      <c r="W20" s="31"/>
      <c r="X20" s="4" t="s">
        <v>141</v>
      </c>
      <c r="Y20" s="4">
        <v>1</v>
      </c>
      <c r="Z20" s="4">
        <f xml:space="preserve"> AVERAGEIF(Table2456[Cụm lần 1],3,Table2456[Loại sản phẩm quan tâm])</f>
        <v>2.6666666666666665</v>
      </c>
      <c r="AA20" s="4">
        <v>2.8333333333333335</v>
      </c>
      <c r="AB20" s="4"/>
      <c r="AC20" s="4"/>
    </row>
    <row r="21" spans="1:29" x14ac:dyDescent="0.3">
      <c r="A21" s="3">
        <v>2</v>
      </c>
      <c r="B21" s="3">
        <v>1</v>
      </c>
      <c r="C21" s="3">
        <v>6</v>
      </c>
      <c r="D21" s="3">
        <v>1</v>
      </c>
      <c r="E21" s="4">
        <v>2</v>
      </c>
      <c r="F21" s="3">
        <v>200</v>
      </c>
      <c r="G21" s="6">
        <v>4</v>
      </c>
      <c r="H21" s="16">
        <v>1</v>
      </c>
      <c r="I21" s="16">
        <v>1</v>
      </c>
      <c r="K21" s="21"/>
      <c r="L21" s="21"/>
      <c r="M21" s="21"/>
      <c r="N21" s="21"/>
      <c r="P21" s="4">
        <v>20</v>
      </c>
      <c r="Q21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25.696506339863312</v>
      </c>
      <c r="R21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261.56088264879827</v>
      </c>
      <c r="S21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633.3401632185338</v>
      </c>
      <c r="T21" s="4">
        <f t="shared" si="0"/>
        <v>1</v>
      </c>
      <c r="W21" s="31"/>
      <c r="X21" s="4" t="s">
        <v>142</v>
      </c>
      <c r="Y21" s="4">
        <v>1000</v>
      </c>
      <c r="Z21" s="4">
        <f xml:space="preserve"> AVERAGEIF(Table2456[Cụm lần 1],3,Table2456[Giá trị mỗi đơn (Nghìn)])</f>
        <v>891.66666666666663</v>
      </c>
      <c r="AA21" s="4">
        <v>833.33333333333337</v>
      </c>
      <c r="AB21" s="4"/>
      <c r="AC21" s="4"/>
    </row>
    <row r="22" spans="1:29" x14ac:dyDescent="0.3">
      <c r="A22" s="3">
        <v>2</v>
      </c>
      <c r="B22" s="3">
        <v>1</v>
      </c>
      <c r="C22" s="3">
        <v>4</v>
      </c>
      <c r="D22" s="3">
        <v>3</v>
      </c>
      <c r="E22" s="4">
        <v>1</v>
      </c>
      <c r="F22" s="3">
        <v>800</v>
      </c>
      <c r="G22" s="6">
        <v>4</v>
      </c>
      <c r="H22" s="16">
        <v>3</v>
      </c>
      <c r="I22" s="16">
        <v>3</v>
      </c>
      <c r="K22" s="21"/>
      <c r="L22" s="21"/>
      <c r="M22" s="21"/>
      <c r="N22" s="21"/>
      <c r="P22" s="4">
        <v>21</v>
      </c>
      <c r="Q22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574.42582756027537</v>
      </c>
      <c r="R22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338.47367499607964</v>
      </c>
      <c r="S22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33.479448274876425</v>
      </c>
      <c r="T22" s="4">
        <f t="shared" si="0"/>
        <v>3</v>
      </c>
      <c r="W22" s="31"/>
      <c r="X22" s="4" t="s">
        <v>113</v>
      </c>
      <c r="Y22" s="4">
        <v>4</v>
      </c>
      <c r="Z22" s="4">
        <f xml:space="preserve"> AVERAGEIF(Table2456[Cụm lần 1],3,Table2456[Thời gian])</f>
        <v>3.3333333333333335</v>
      </c>
      <c r="AA22" s="4">
        <v>3.2222222222222223</v>
      </c>
      <c r="AB22" s="4"/>
      <c r="AC22" s="4"/>
    </row>
    <row r="23" spans="1:29" x14ac:dyDescent="0.3">
      <c r="A23" s="3">
        <v>1</v>
      </c>
      <c r="B23" s="3">
        <v>1</v>
      </c>
      <c r="C23" s="3">
        <v>1</v>
      </c>
      <c r="D23" s="3">
        <v>1</v>
      </c>
      <c r="E23" s="4">
        <v>1</v>
      </c>
      <c r="F23" s="3">
        <v>300</v>
      </c>
      <c r="G23" s="6">
        <v>4</v>
      </c>
      <c r="H23" s="16">
        <v>1</v>
      </c>
      <c r="I23" s="16">
        <v>1</v>
      </c>
      <c r="P23" s="4">
        <v>22</v>
      </c>
      <c r="Q23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74.556728649477662</v>
      </c>
      <c r="R23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161.5954681667107</v>
      </c>
      <c r="S23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533.36758859898987</v>
      </c>
      <c r="T23" s="4">
        <f t="shared" si="0"/>
        <v>1</v>
      </c>
    </row>
    <row r="24" spans="1:29" x14ac:dyDescent="0.3">
      <c r="A24" s="3">
        <v>1</v>
      </c>
      <c r="B24" s="3">
        <v>1</v>
      </c>
      <c r="C24" s="3">
        <v>4</v>
      </c>
      <c r="D24" s="3">
        <v>1</v>
      </c>
      <c r="E24" s="4">
        <v>1</v>
      </c>
      <c r="F24" s="3">
        <v>600</v>
      </c>
      <c r="G24" s="6">
        <v>1</v>
      </c>
      <c r="H24" s="16">
        <v>1</v>
      </c>
      <c r="I24" s="16">
        <v>2</v>
      </c>
      <c r="P24" s="4">
        <v>23</v>
      </c>
      <c r="Q24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374.43415755650733</v>
      </c>
      <c r="R24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138.50638400067155</v>
      </c>
      <c r="S24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233.37591542666647</v>
      </c>
      <c r="T24" s="4">
        <f t="shared" si="0"/>
        <v>2</v>
      </c>
    </row>
    <row r="25" spans="1:29" x14ac:dyDescent="0.3">
      <c r="A25" s="3">
        <v>1</v>
      </c>
      <c r="B25" s="3">
        <v>1</v>
      </c>
      <c r="C25" s="3">
        <v>4</v>
      </c>
      <c r="D25" s="3">
        <v>4</v>
      </c>
      <c r="E25" s="4">
        <v>2</v>
      </c>
      <c r="F25" s="3">
        <v>400</v>
      </c>
      <c r="G25" s="6">
        <v>4</v>
      </c>
      <c r="H25" s="16">
        <v>1</v>
      </c>
      <c r="I25" s="16">
        <v>2</v>
      </c>
      <c r="P25" s="4">
        <v>24</v>
      </c>
      <c r="Q25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174.44299054333635</v>
      </c>
      <c r="R25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61.588318478783386</v>
      </c>
      <c r="S25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433.34203338844782</v>
      </c>
      <c r="T25" s="4">
        <f t="shared" si="0"/>
        <v>2</v>
      </c>
    </row>
    <row r="26" spans="1:29" x14ac:dyDescent="0.3">
      <c r="A26" s="3">
        <v>1</v>
      </c>
      <c r="B26" s="3">
        <v>1</v>
      </c>
      <c r="C26" s="3">
        <v>4</v>
      </c>
      <c r="D26" s="3">
        <v>2</v>
      </c>
      <c r="E26" s="4">
        <v>3</v>
      </c>
      <c r="F26" s="3">
        <v>300</v>
      </c>
      <c r="G26" s="6">
        <v>2</v>
      </c>
      <c r="H26" s="16">
        <v>1</v>
      </c>
      <c r="I26" s="16">
        <v>1</v>
      </c>
      <c r="P26" s="4">
        <v>25</v>
      </c>
      <c r="Q26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74.441228392512855</v>
      </c>
      <c r="R26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161.54531934975176</v>
      </c>
      <c r="S26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533.34206879420185</v>
      </c>
      <c r="T26" s="4">
        <f t="shared" si="0"/>
        <v>1</v>
      </c>
    </row>
    <row r="27" spans="1:29" x14ac:dyDescent="0.3">
      <c r="A27" s="3">
        <v>1</v>
      </c>
      <c r="B27" s="3">
        <v>1</v>
      </c>
      <c r="C27" s="3">
        <v>4</v>
      </c>
      <c r="D27" s="3">
        <v>4</v>
      </c>
      <c r="E27" s="4">
        <v>3</v>
      </c>
      <c r="F27" s="3">
        <v>400</v>
      </c>
      <c r="G27" s="6">
        <v>3</v>
      </c>
      <c r="H27" s="16">
        <v>1</v>
      </c>
      <c r="I27" s="16">
        <v>2</v>
      </c>
      <c r="P27" s="4">
        <v>26</v>
      </c>
      <c r="Q27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174.43779119277499</v>
      </c>
      <c r="R27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61.56375014583184</v>
      </c>
      <c r="S27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433.34062315805608</v>
      </c>
      <c r="T27" s="4">
        <f t="shared" si="0"/>
        <v>2</v>
      </c>
    </row>
    <row r="28" spans="1:29" x14ac:dyDescent="0.3">
      <c r="A28" s="3">
        <v>1</v>
      </c>
      <c r="B28" s="3">
        <v>1</v>
      </c>
      <c r="C28" s="3">
        <v>3</v>
      </c>
      <c r="D28" s="3">
        <v>3</v>
      </c>
      <c r="E28" s="4">
        <v>6</v>
      </c>
      <c r="F28" s="3">
        <v>400</v>
      </c>
      <c r="G28" s="6">
        <v>4</v>
      </c>
      <c r="H28" s="16">
        <v>2</v>
      </c>
      <c r="I28" s="16">
        <v>2</v>
      </c>
      <c r="P28" s="4">
        <v>27</v>
      </c>
      <c r="Q28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174.46138700111752</v>
      </c>
      <c r="R28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61.622448030317479</v>
      </c>
      <c r="S28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433.35831480698016</v>
      </c>
      <c r="T28" s="4">
        <f t="shared" si="0"/>
        <v>2</v>
      </c>
    </row>
    <row r="29" spans="1:29" x14ac:dyDescent="0.3">
      <c r="A29" s="3">
        <v>1</v>
      </c>
      <c r="B29" s="3">
        <v>1</v>
      </c>
      <c r="C29" s="3">
        <v>5</v>
      </c>
      <c r="D29" s="3">
        <v>2</v>
      </c>
      <c r="E29" s="4">
        <v>6</v>
      </c>
      <c r="F29" s="3">
        <v>400</v>
      </c>
      <c r="G29" s="6">
        <v>2</v>
      </c>
      <c r="H29" s="16">
        <v>2</v>
      </c>
      <c r="I29" s="16">
        <v>2</v>
      </c>
      <c r="P29" s="4">
        <v>28</v>
      </c>
      <c r="Q29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174.45198905310957</v>
      </c>
      <c r="R29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61.624320446394769</v>
      </c>
      <c r="S29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433.35216127188335</v>
      </c>
      <c r="T29" s="4">
        <f t="shared" si="0"/>
        <v>2</v>
      </c>
    </row>
    <row r="30" spans="1:29" x14ac:dyDescent="0.3">
      <c r="A30" s="3">
        <v>1</v>
      </c>
      <c r="B30" s="3">
        <v>1</v>
      </c>
      <c r="C30" s="3">
        <v>3</v>
      </c>
      <c r="D30" s="3">
        <v>3</v>
      </c>
      <c r="E30" s="4">
        <v>6</v>
      </c>
      <c r="F30" s="3">
        <v>300</v>
      </c>
      <c r="G30" s="6">
        <v>1</v>
      </c>
      <c r="H30" s="16">
        <v>2</v>
      </c>
      <c r="I30" s="16">
        <v>1</v>
      </c>
      <c r="P30" s="4">
        <v>29</v>
      </c>
      <c r="Q30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74.54549864550637</v>
      </c>
      <c r="R30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161.57642614522877</v>
      </c>
      <c r="S30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533.35769330942037</v>
      </c>
      <c r="T30" s="4">
        <f t="shared" si="0"/>
        <v>1</v>
      </c>
    </row>
    <row r="31" spans="1:29" x14ac:dyDescent="0.3">
      <c r="A31" s="3">
        <v>1</v>
      </c>
      <c r="B31" s="3">
        <v>1</v>
      </c>
      <c r="C31" s="3">
        <v>7</v>
      </c>
      <c r="D31" s="3">
        <v>4</v>
      </c>
      <c r="E31" s="4">
        <v>6</v>
      </c>
      <c r="F31" s="3">
        <v>400</v>
      </c>
      <c r="G31" s="6">
        <v>3</v>
      </c>
      <c r="H31" s="16">
        <v>2</v>
      </c>
      <c r="I31" s="16">
        <v>2</v>
      </c>
      <c r="P31" s="4">
        <v>30</v>
      </c>
      <c r="Q31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174.47698247854592</v>
      </c>
      <c r="R31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61.702287276042959</v>
      </c>
      <c r="S31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433.34869986999195</v>
      </c>
      <c r="T31" s="4">
        <f t="shared" si="0"/>
        <v>2</v>
      </c>
    </row>
    <row r="32" spans="1:29" x14ac:dyDescent="0.3">
      <c r="A32" s="3">
        <v>1</v>
      </c>
      <c r="B32" s="3">
        <v>1</v>
      </c>
      <c r="C32" s="3">
        <v>4</v>
      </c>
      <c r="D32" s="3">
        <v>2</v>
      </c>
      <c r="E32" s="4">
        <v>1</v>
      </c>
      <c r="F32" s="3">
        <v>300</v>
      </c>
      <c r="G32" s="6">
        <v>2</v>
      </c>
      <c r="H32" s="16">
        <v>1</v>
      </c>
      <c r="I32" s="16">
        <v>1</v>
      </c>
      <c r="P32" s="4">
        <v>31</v>
      </c>
      <c r="Q32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74.469964108717704</v>
      </c>
      <c r="R32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161.56182574218025</v>
      </c>
      <c r="S32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533.34519373386354</v>
      </c>
      <c r="T32" s="4">
        <f t="shared" si="0"/>
        <v>1</v>
      </c>
    </row>
    <row r="33" spans="1:20" x14ac:dyDescent="0.3">
      <c r="A33" s="3">
        <v>2</v>
      </c>
      <c r="B33" s="3">
        <v>1</v>
      </c>
      <c r="C33" s="3">
        <v>3</v>
      </c>
      <c r="D33" s="3">
        <v>3</v>
      </c>
      <c r="E33" s="4">
        <v>3</v>
      </c>
      <c r="F33" s="3">
        <v>500</v>
      </c>
      <c r="G33" s="6">
        <v>2</v>
      </c>
      <c r="H33" s="16">
        <v>1</v>
      </c>
      <c r="I33" s="16">
        <v>2</v>
      </c>
      <c r="P33" s="4">
        <v>32</v>
      </c>
      <c r="Q33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274.43130833819629</v>
      </c>
      <c r="R33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38.497991272511975</v>
      </c>
      <c r="S33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333.35180967312255</v>
      </c>
      <c r="T33" s="4">
        <f t="shared" si="0"/>
        <v>2</v>
      </c>
    </row>
    <row r="34" spans="1:20" x14ac:dyDescent="0.3">
      <c r="A34" s="3">
        <v>2</v>
      </c>
      <c r="B34" s="3">
        <v>1</v>
      </c>
      <c r="C34" s="3">
        <v>9</v>
      </c>
      <c r="D34" s="3">
        <v>2</v>
      </c>
      <c r="E34" s="4">
        <v>1</v>
      </c>
      <c r="F34" s="3">
        <v>300</v>
      </c>
      <c r="G34" s="6">
        <v>4</v>
      </c>
      <c r="H34" s="16">
        <v>1</v>
      </c>
      <c r="I34" s="16">
        <v>1</v>
      </c>
      <c r="P34" s="4">
        <v>33</v>
      </c>
      <c r="Q34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74.589473170428519</v>
      </c>
      <c r="R34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161.64750491374411</v>
      </c>
      <c r="S34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533.34883947366131</v>
      </c>
      <c r="T34" s="4">
        <f t="shared" si="0"/>
        <v>1</v>
      </c>
    </row>
    <row r="35" spans="1:20" x14ac:dyDescent="0.3">
      <c r="A35" s="3">
        <v>2</v>
      </c>
      <c r="B35" s="3">
        <v>2</v>
      </c>
      <c r="C35" s="3">
        <v>3</v>
      </c>
      <c r="D35" s="3">
        <v>4</v>
      </c>
      <c r="E35" s="4">
        <v>1</v>
      </c>
      <c r="F35" s="3">
        <v>500</v>
      </c>
      <c r="G35" s="6">
        <v>2</v>
      </c>
      <c r="H35" s="16">
        <v>1</v>
      </c>
      <c r="I35" s="16">
        <v>2</v>
      </c>
      <c r="P35" s="4">
        <v>34</v>
      </c>
      <c r="Q35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274.44283298641545</v>
      </c>
      <c r="R35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38.579162021417964</v>
      </c>
      <c r="S35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333.35497614923469</v>
      </c>
      <c r="T35" s="4">
        <f t="shared" si="0"/>
        <v>2</v>
      </c>
    </row>
    <row r="36" spans="1:20" x14ac:dyDescent="0.3">
      <c r="A36" s="3">
        <v>2</v>
      </c>
      <c r="B36" s="3">
        <v>2</v>
      </c>
      <c r="C36" s="3">
        <v>8</v>
      </c>
      <c r="D36" s="3">
        <v>2</v>
      </c>
      <c r="E36" s="4">
        <v>1</v>
      </c>
      <c r="F36" s="3">
        <v>900</v>
      </c>
      <c r="G36" s="6">
        <v>2</v>
      </c>
      <c r="H36" s="16">
        <v>3</v>
      </c>
      <c r="I36" s="16">
        <v>3</v>
      </c>
      <c r="P36" s="4">
        <v>35</v>
      </c>
      <c r="Q36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674.43130822037176</v>
      </c>
      <c r="R36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438.48926887868305</v>
      </c>
      <c r="S36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66.7490000849876</v>
      </c>
      <c r="T36" s="4">
        <f t="shared" si="0"/>
        <v>3</v>
      </c>
    </row>
    <row r="37" spans="1:20" x14ac:dyDescent="0.3">
      <c r="A37" s="3">
        <v>2</v>
      </c>
      <c r="B37" s="3">
        <v>2</v>
      </c>
      <c r="C37" s="3">
        <v>8</v>
      </c>
      <c r="D37" s="3">
        <v>4</v>
      </c>
      <c r="E37" s="4">
        <v>1</v>
      </c>
      <c r="F37" s="3">
        <v>300</v>
      </c>
      <c r="G37" s="6">
        <v>4</v>
      </c>
      <c r="H37" s="16">
        <v>1</v>
      </c>
      <c r="I37" s="16">
        <v>1</v>
      </c>
      <c r="P37" s="4">
        <v>36</v>
      </c>
      <c r="Q37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74.560471608263896</v>
      </c>
      <c r="R37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161.62069538945889</v>
      </c>
      <c r="S37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533.34133963897955</v>
      </c>
      <c r="T37" s="4">
        <f t="shared" si="0"/>
        <v>1</v>
      </c>
    </row>
    <row r="38" spans="1:20" x14ac:dyDescent="0.3">
      <c r="A38" s="3">
        <v>2</v>
      </c>
      <c r="B38" s="3">
        <v>2</v>
      </c>
      <c r="C38" s="3">
        <v>10</v>
      </c>
      <c r="D38" s="3">
        <v>5</v>
      </c>
      <c r="E38" s="4">
        <v>5</v>
      </c>
      <c r="F38" s="3">
        <v>800</v>
      </c>
      <c r="G38" s="6">
        <v>2</v>
      </c>
      <c r="H38" s="16">
        <v>3</v>
      </c>
      <c r="I38" s="16">
        <v>3</v>
      </c>
      <c r="P38" s="4">
        <v>37</v>
      </c>
      <c r="Q38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574.4568587205639</v>
      </c>
      <c r="R38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338.53196334144474</v>
      </c>
      <c r="S38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33.706018439031745</v>
      </c>
      <c r="T38" s="4">
        <f t="shared" si="0"/>
        <v>3</v>
      </c>
    </row>
    <row r="39" spans="1:20" x14ac:dyDescent="0.3">
      <c r="A39" s="3">
        <v>2</v>
      </c>
      <c r="B39" s="3">
        <v>2</v>
      </c>
      <c r="C39" s="3">
        <v>1</v>
      </c>
      <c r="D39" s="3">
        <v>1</v>
      </c>
      <c r="E39" s="4">
        <v>5</v>
      </c>
      <c r="F39" s="3">
        <v>600</v>
      </c>
      <c r="G39" s="6">
        <v>1</v>
      </c>
      <c r="H39" s="16">
        <v>2</v>
      </c>
      <c r="I39" s="16">
        <v>2</v>
      </c>
      <c r="P39" s="4">
        <v>38</v>
      </c>
      <c r="Q39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374.44890820601853</v>
      </c>
      <c r="R39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138.52295171750862</v>
      </c>
      <c r="S39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233.42018886099217</v>
      </c>
      <c r="T39" s="4">
        <f t="shared" si="0"/>
        <v>2</v>
      </c>
    </row>
    <row r="40" spans="1:20" x14ac:dyDescent="0.3">
      <c r="A40" s="3">
        <v>1</v>
      </c>
      <c r="B40" s="3">
        <v>2</v>
      </c>
      <c r="C40" s="3">
        <v>3</v>
      </c>
      <c r="D40" s="3">
        <v>3</v>
      </c>
      <c r="E40" s="4">
        <v>5</v>
      </c>
      <c r="F40" s="3">
        <v>500</v>
      </c>
      <c r="G40" s="6">
        <v>2</v>
      </c>
      <c r="H40" s="16">
        <v>2</v>
      </c>
      <c r="I40" s="16">
        <v>2</v>
      </c>
      <c r="P40" s="4">
        <v>39</v>
      </c>
      <c r="Q40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274.43579961895142</v>
      </c>
      <c r="R40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38.519298509441136</v>
      </c>
      <c r="S40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333.3569760133874</v>
      </c>
      <c r="T40" s="4">
        <f t="shared" si="0"/>
        <v>2</v>
      </c>
    </row>
    <row r="41" spans="1:20" x14ac:dyDescent="0.3">
      <c r="A41" s="3">
        <v>2</v>
      </c>
      <c r="B41" s="3">
        <v>2</v>
      </c>
      <c r="C41" s="3">
        <v>3</v>
      </c>
      <c r="D41" s="3">
        <v>1</v>
      </c>
      <c r="E41" s="4">
        <v>5</v>
      </c>
      <c r="F41" s="3">
        <v>200</v>
      </c>
      <c r="G41" s="6">
        <v>3</v>
      </c>
      <c r="H41" s="16">
        <v>2</v>
      </c>
      <c r="I41" s="16">
        <v>1</v>
      </c>
      <c r="P41" s="4">
        <v>40</v>
      </c>
      <c r="Q41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25.726354615366045</v>
      </c>
      <c r="R41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261.55078528029003</v>
      </c>
      <c r="S41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633.34884727587462</v>
      </c>
      <c r="T41" s="4">
        <f t="shared" si="0"/>
        <v>1</v>
      </c>
    </row>
    <row r="42" spans="1:20" x14ac:dyDescent="0.3">
      <c r="A42" s="3">
        <v>2</v>
      </c>
      <c r="B42" s="3">
        <v>2</v>
      </c>
      <c r="C42" s="3">
        <v>4</v>
      </c>
      <c r="D42" s="3">
        <v>4</v>
      </c>
      <c r="E42" s="4">
        <v>5</v>
      </c>
      <c r="F42" s="3">
        <v>500</v>
      </c>
      <c r="G42" s="6">
        <v>2</v>
      </c>
      <c r="H42" s="16">
        <v>2</v>
      </c>
      <c r="I42" s="16">
        <v>2</v>
      </c>
      <c r="P42" s="4">
        <v>41</v>
      </c>
      <c r="Q42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274.43762153264129</v>
      </c>
      <c r="R42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38.536269279305259</v>
      </c>
      <c r="S42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333.34947646095105</v>
      </c>
      <c r="T42" s="4">
        <f t="shared" si="0"/>
        <v>2</v>
      </c>
    </row>
    <row r="43" spans="1:20" x14ac:dyDescent="0.3">
      <c r="A43" s="3">
        <v>2</v>
      </c>
      <c r="B43" s="3">
        <v>2</v>
      </c>
      <c r="C43" s="3">
        <v>8</v>
      </c>
      <c r="D43" s="3">
        <v>2</v>
      </c>
      <c r="E43" s="4">
        <v>5</v>
      </c>
      <c r="F43" s="3">
        <v>200</v>
      </c>
      <c r="G43" s="6">
        <v>4</v>
      </c>
      <c r="H43" s="16">
        <v>2</v>
      </c>
      <c r="I43" s="16">
        <v>1</v>
      </c>
      <c r="P43" s="4">
        <v>42</v>
      </c>
      <c r="Q43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25.890803268508083</v>
      </c>
      <c r="R43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261.58122325132484</v>
      </c>
      <c r="S43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633.34235617354454</v>
      </c>
      <c r="T43" s="4">
        <f t="shared" si="0"/>
        <v>1</v>
      </c>
    </row>
    <row r="44" spans="1:20" x14ac:dyDescent="0.3">
      <c r="A44" s="3">
        <v>1</v>
      </c>
      <c r="B44" s="3">
        <v>2</v>
      </c>
      <c r="C44" s="3">
        <v>3</v>
      </c>
      <c r="D44" s="3">
        <v>3</v>
      </c>
      <c r="E44" s="4">
        <v>5</v>
      </c>
      <c r="F44" s="3">
        <v>400</v>
      </c>
      <c r="G44" s="6">
        <v>4</v>
      </c>
      <c r="H44" s="16">
        <v>2</v>
      </c>
      <c r="I44" s="16">
        <v>2</v>
      </c>
      <c r="P44" s="4">
        <v>43</v>
      </c>
      <c r="Q44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174.44379042966813</v>
      </c>
      <c r="R44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61.580407712759516</v>
      </c>
      <c r="S44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433.35049467442394</v>
      </c>
      <c r="T44" s="4">
        <f t="shared" si="0"/>
        <v>2</v>
      </c>
    </row>
    <row r="45" spans="1:20" x14ac:dyDescent="0.3">
      <c r="A45" s="3">
        <v>1</v>
      </c>
      <c r="B45" s="3">
        <v>2</v>
      </c>
      <c r="C45" s="3">
        <v>5</v>
      </c>
      <c r="D45" s="3">
        <v>5</v>
      </c>
      <c r="E45" s="4">
        <v>5</v>
      </c>
      <c r="F45" s="3">
        <v>500</v>
      </c>
      <c r="G45" s="6">
        <v>3</v>
      </c>
      <c r="H45" s="16">
        <v>2</v>
      </c>
      <c r="I45" s="16">
        <v>2</v>
      </c>
      <c r="P45" s="4">
        <v>44</v>
      </c>
      <c r="Q45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274.44440064014026</v>
      </c>
      <c r="R45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38.592120209633705</v>
      </c>
      <c r="S45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333.34647659273401</v>
      </c>
      <c r="T45" s="4">
        <f t="shared" si="0"/>
        <v>2</v>
      </c>
    </row>
    <row r="46" spans="1:20" x14ac:dyDescent="0.3">
      <c r="A46" s="3">
        <v>1</v>
      </c>
      <c r="B46" s="3">
        <v>2</v>
      </c>
      <c r="C46" s="3">
        <v>3</v>
      </c>
      <c r="D46" s="3">
        <v>4</v>
      </c>
      <c r="E46" s="4">
        <v>5</v>
      </c>
      <c r="F46" s="3">
        <v>500</v>
      </c>
      <c r="G46" s="6">
        <v>4</v>
      </c>
      <c r="H46" s="16">
        <v>2</v>
      </c>
      <c r="I46" s="16">
        <v>2</v>
      </c>
      <c r="P46" s="4">
        <v>45</v>
      </c>
      <c r="Q46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274.44067215173828</v>
      </c>
      <c r="R46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38.551569840236255</v>
      </c>
      <c r="S46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333.35597608281074</v>
      </c>
      <c r="T46" s="4">
        <f t="shared" si="0"/>
        <v>2</v>
      </c>
    </row>
    <row r="47" spans="1:20" x14ac:dyDescent="0.3">
      <c r="A47" s="3">
        <v>1</v>
      </c>
      <c r="B47" s="3">
        <v>2</v>
      </c>
      <c r="C47" s="3">
        <v>5</v>
      </c>
      <c r="D47" s="3">
        <v>3</v>
      </c>
      <c r="E47" s="4">
        <v>5</v>
      </c>
      <c r="F47" s="3">
        <v>300</v>
      </c>
      <c r="G47" s="6">
        <v>3</v>
      </c>
      <c r="H47" s="16">
        <v>2</v>
      </c>
      <c r="I47" s="16">
        <v>1</v>
      </c>
      <c r="P47" s="4">
        <v>46</v>
      </c>
      <c r="Q47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74.455597636913652</v>
      </c>
      <c r="R47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161.55246174577772</v>
      </c>
      <c r="S47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533.33925633285151</v>
      </c>
      <c r="T47" s="4">
        <f t="shared" si="0"/>
        <v>1</v>
      </c>
    </row>
    <row r="48" spans="1:20" x14ac:dyDescent="0.3">
      <c r="A48" s="3">
        <v>1</v>
      </c>
      <c r="B48" s="3">
        <v>2</v>
      </c>
      <c r="C48" s="3">
        <v>2</v>
      </c>
      <c r="D48" s="3">
        <v>4</v>
      </c>
      <c r="E48" s="4">
        <v>5</v>
      </c>
      <c r="F48" s="3">
        <v>400</v>
      </c>
      <c r="G48" s="6">
        <v>3</v>
      </c>
      <c r="H48" s="16">
        <v>2</v>
      </c>
      <c r="I48" s="16">
        <v>2</v>
      </c>
      <c r="P48" s="4">
        <v>47</v>
      </c>
      <c r="Q48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174.46371974666272</v>
      </c>
      <c r="R48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61.60517751066849</v>
      </c>
      <c r="S48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433.35818660922348</v>
      </c>
      <c r="T48" s="4">
        <f t="shared" si="0"/>
        <v>2</v>
      </c>
    </row>
    <row r="49" spans="1:20" x14ac:dyDescent="0.3">
      <c r="A49" s="3">
        <v>1</v>
      </c>
      <c r="B49" s="3">
        <v>2</v>
      </c>
      <c r="C49" s="3">
        <v>3</v>
      </c>
      <c r="D49" s="3">
        <v>4</v>
      </c>
      <c r="E49" s="4">
        <v>5</v>
      </c>
      <c r="F49" s="3">
        <v>300</v>
      </c>
      <c r="G49" s="6">
        <v>4</v>
      </c>
      <c r="H49" s="16">
        <v>2</v>
      </c>
      <c r="I49" s="16">
        <v>1</v>
      </c>
      <c r="P49" s="4">
        <v>48</v>
      </c>
      <c r="Q49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74.499937386770824</v>
      </c>
      <c r="R49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161.55992124450677</v>
      </c>
      <c r="S49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533.34748534464552</v>
      </c>
      <c r="T49" s="4">
        <f t="shared" si="0"/>
        <v>1</v>
      </c>
    </row>
    <row r="50" spans="1:20" x14ac:dyDescent="0.3">
      <c r="A50" s="3">
        <v>1</v>
      </c>
      <c r="B50" s="3">
        <v>2</v>
      </c>
      <c r="C50" s="3">
        <v>2</v>
      </c>
      <c r="D50" s="3">
        <v>3</v>
      </c>
      <c r="E50" s="4">
        <v>5</v>
      </c>
      <c r="F50" s="3">
        <v>400</v>
      </c>
      <c r="G50" s="6">
        <v>1</v>
      </c>
      <c r="H50" s="16">
        <v>2</v>
      </c>
      <c r="I50" s="16">
        <v>2</v>
      </c>
      <c r="P50" s="4">
        <v>49</v>
      </c>
      <c r="Q50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174.4675187226477</v>
      </c>
      <c r="R50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61.61745464260752</v>
      </c>
      <c r="S50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433.36357088234962</v>
      </c>
      <c r="T50" s="4">
        <f t="shared" si="0"/>
        <v>2</v>
      </c>
    </row>
    <row r="51" spans="1:20" x14ac:dyDescent="0.3">
      <c r="A51" s="3">
        <v>1</v>
      </c>
      <c r="B51" s="3">
        <v>2</v>
      </c>
      <c r="C51" s="3">
        <v>2</v>
      </c>
      <c r="D51" s="3">
        <v>2</v>
      </c>
      <c r="E51" s="4">
        <v>5</v>
      </c>
      <c r="F51" s="3">
        <v>400</v>
      </c>
      <c r="G51" s="6">
        <v>2</v>
      </c>
      <c r="H51" s="16">
        <v>2</v>
      </c>
      <c r="I51" s="16">
        <v>2</v>
      </c>
      <c r="P51" s="4">
        <v>50</v>
      </c>
      <c r="Q51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174.45418861823501</v>
      </c>
      <c r="R51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61.597893309946386</v>
      </c>
      <c r="S51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433.36164793534118</v>
      </c>
      <c r="T51" s="4">
        <f t="shared" si="0"/>
        <v>2</v>
      </c>
    </row>
    <row r="52" spans="1:20" x14ac:dyDescent="0.3">
      <c r="A52" s="3">
        <v>1</v>
      </c>
      <c r="B52" s="3">
        <v>2</v>
      </c>
      <c r="C52" s="3">
        <v>8</v>
      </c>
      <c r="D52" s="3">
        <v>2</v>
      </c>
      <c r="E52" s="4">
        <v>5</v>
      </c>
      <c r="F52" s="3">
        <v>200</v>
      </c>
      <c r="G52" s="6">
        <v>3</v>
      </c>
      <c r="H52" s="16">
        <v>2</v>
      </c>
      <c r="I52" s="16">
        <v>1</v>
      </c>
      <c r="P52" s="4">
        <v>51</v>
      </c>
      <c r="Q52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25.878225037623643</v>
      </c>
      <c r="R52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261.5782825391301</v>
      </c>
      <c r="S52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633.34209301934413</v>
      </c>
      <c r="T52" s="4">
        <f t="shared" si="0"/>
        <v>1</v>
      </c>
    </row>
    <row r="53" spans="1:20" x14ac:dyDescent="0.3">
      <c r="A53" s="3">
        <v>1</v>
      </c>
      <c r="B53" s="3">
        <v>2</v>
      </c>
      <c r="C53" s="3">
        <v>4</v>
      </c>
      <c r="D53" s="3">
        <v>5</v>
      </c>
      <c r="E53" s="4">
        <v>5</v>
      </c>
      <c r="F53" s="3">
        <v>700</v>
      </c>
      <c r="G53" s="6">
        <v>4</v>
      </c>
      <c r="H53" s="16">
        <v>2</v>
      </c>
      <c r="I53" s="16">
        <v>3</v>
      </c>
      <c r="P53" s="4">
        <v>52</v>
      </c>
      <c r="Q53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474.43455570539652</v>
      </c>
      <c r="R53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238.48263485396623</v>
      </c>
      <c r="S53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133.37951746431068</v>
      </c>
      <c r="T53" s="4">
        <f t="shared" si="0"/>
        <v>3</v>
      </c>
    </row>
    <row r="54" spans="1:20" x14ac:dyDescent="0.3">
      <c r="A54" s="3">
        <v>2</v>
      </c>
      <c r="B54" s="3">
        <v>2</v>
      </c>
      <c r="C54" s="3">
        <v>10</v>
      </c>
      <c r="D54" s="3">
        <v>5</v>
      </c>
      <c r="E54" s="4">
        <v>5</v>
      </c>
      <c r="F54" s="3">
        <v>1000</v>
      </c>
      <c r="G54" s="6">
        <v>4</v>
      </c>
      <c r="H54" s="16">
        <v>3</v>
      </c>
      <c r="I54" s="16">
        <v>3</v>
      </c>
      <c r="P54" s="4">
        <v>53</v>
      </c>
      <c r="Q54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774.44655931108139</v>
      </c>
      <c r="R54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538.50647492592566</v>
      </c>
      <c r="S54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166.73893803425196</v>
      </c>
      <c r="T54" s="4">
        <f t="shared" si="0"/>
        <v>3</v>
      </c>
    </row>
    <row r="55" spans="1:20" x14ac:dyDescent="0.3">
      <c r="A55" s="3">
        <v>1</v>
      </c>
      <c r="B55" s="3">
        <v>2</v>
      </c>
      <c r="C55" s="3">
        <v>8</v>
      </c>
      <c r="D55" s="3">
        <v>4</v>
      </c>
      <c r="E55" s="4">
        <v>5</v>
      </c>
      <c r="F55" s="3">
        <v>800</v>
      </c>
      <c r="G55" s="6">
        <v>1</v>
      </c>
      <c r="H55" s="16">
        <v>3</v>
      </c>
      <c r="I55" s="16">
        <v>3</v>
      </c>
      <c r="P55" s="4">
        <v>54</v>
      </c>
      <c r="Q55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574.43999724781929</v>
      </c>
      <c r="R55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338.49943066833606</v>
      </c>
      <c r="S55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33.549070381409862</v>
      </c>
      <c r="T55" s="4">
        <f t="shared" si="0"/>
        <v>3</v>
      </c>
    </row>
    <row r="56" spans="1:20" x14ac:dyDescent="0.3">
      <c r="A56" s="3">
        <v>1</v>
      </c>
      <c r="B56" s="3">
        <v>2</v>
      </c>
      <c r="C56" s="3">
        <v>7</v>
      </c>
      <c r="D56" s="3">
        <v>2</v>
      </c>
      <c r="E56" s="4">
        <v>5</v>
      </c>
      <c r="F56" s="3">
        <v>300</v>
      </c>
      <c r="G56" s="6">
        <v>2</v>
      </c>
      <c r="H56" s="16">
        <v>2</v>
      </c>
      <c r="I56" s="16">
        <v>1</v>
      </c>
      <c r="P56" s="4">
        <v>55</v>
      </c>
      <c r="Q56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74.491820814819604</v>
      </c>
      <c r="R56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161.58213898729872</v>
      </c>
      <c r="S56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533.34227712408222</v>
      </c>
      <c r="T56" s="4">
        <f t="shared" si="0"/>
        <v>1</v>
      </c>
    </row>
    <row r="57" spans="1:20" x14ac:dyDescent="0.3">
      <c r="A57" s="3">
        <v>1</v>
      </c>
      <c r="B57" s="3">
        <v>2</v>
      </c>
      <c r="C57" s="3">
        <v>4</v>
      </c>
      <c r="D57" s="3">
        <v>2</v>
      </c>
      <c r="E57" s="4">
        <v>5</v>
      </c>
      <c r="F57" s="3">
        <v>200</v>
      </c>
      <c r="G57" s="6">
        <v>4</v>
      </c>
      <c r="H57" s="16">
        <v>2</v>
      </c>
      <c r="I57" s="16">
        <v>1</v>
      </c>
      <c r="P57" s="4">
        <v>56</v>
      </c>
      <c r="Q57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25.682021961444622</v>
      </c>
      <c r="R57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261.54755011860476</v>
      </c>
      <c r="S57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633.34253160961737</v>
      </c>
      <c r="T57" s="4">
        <f t="shared" si="0"/>
        <v>1</v>
      </c>
    </row>
    <row r="58" spans="1:20" x14ac:dyDescent="0.3">
      <c r="A58" s="3">
        <v>2</v>
      </c>
      <c r="B58" s="3">
        <v>2</v>
      </c>
      <c r="C58" s="3">
        <v>4</v>
      </c>
      <c r="D58" s="3">
        <v>5</v>
      </c>
      <c r="E58" s="4">
        <v>6</v>
      </c>
      <c r="F58" s="3">
        <v>700</v>
      </c>
      <c r="G58" s="6">
        <v>3</v>
      </c>
      <c r="H58" s="16">
        <v>2</v>
      </c>
      <c r="I58" s="16">
        <v>3</v>
      </c>
      <c r="P58" s="4">
        <v>57</v>
      </c>
      <c r="Q58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474.43894279251009</v>
      </c>
      <c r="R58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238.4892470805425</v>
      </c>
      <c r="S58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133.39659378922653</v>
      </c>
      <c r="T58" s="4">
        <f t="shared" si="0"/>
        <v>3</v>
      </c>
    </row>
    <row r="59" spans="1:20" x14ac:dyDescent="0.3">
      <c r="A59" s="3">
        <v>1</v>
      </c>
      <c r="B59" s="3">
        <v>2</v>
      </c>
      <c r="C59" s="3">
        <v>4</v>
      </c>
      <c r="D59" s="3">
        <v>3</v>
      </c>
      <c r="E59" s="4">
        <v>6</v>
      </c>
      <c r="F59" s="3">
        <v>400</v>
      </c>
      <c r="G59" s="6">
        <v>4</v>
      </c>
      <c r="H59" s="16">
        <v>2</v>
      </c>
      <c r="I59" s="16">
        <v>2</v>
      </c>
      <c r="P59" s="4">
        <v>58</v>
      </c>
      <c r="Q59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174.45112255014257</v>
      </c>
      <c r="R59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61.610379983911798</v>
      </c>
      <c r="S59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433.35087927440651</v>
      </c>
      <c r="T59" s="4">
        <f t="shared" si="0"/>
        <v>2</v>
      </c>
    </row>
    <row r="60" spans="1:20" x14ac:dyDescent="0.3">
      <c r="A60" s="3">
        <v>1</v>
      </c>
      <c r="B60" s="3">
        <v>2</v>
      </c>
      <c r="C60" s="3">
        <v>2</v>
      </c>
      <c r="D60" s="3">
        <v>2</v>
      </c>
      <c r="E60" s="4">
        <v>6</v>
      </c>
      <c r="F60" s="3">
        <v>300</v>
      </c>
      <c r="G60" s="6">
        <v>1</v>
      </c>
      <c r="H60" s="16">
        <v>2</v>
      </c>
      <c r="I60" s="16">
        <v>1</v>
      </c>
      <c r="P60" s="4">
        <v>59</v>
      </c>
      <c r="Q60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74.556884609845355</v>
      </c>
      <c r="R60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161.58269439172687</v>
      </c>
      <c r="S60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533.36456795111451</v>
      </c>
      <c r="T60" s="4">
        <f t="shared" si="0"/>
        <v>1</v>
      </c>
    </row>
    <row r="61" spans="1:20" x14ac:dyDescent="0.3">
      <c r="A61" s="3">
        <v>2</v>
      </c>
      <c r="B61" s="3">
        <v>2</v>
      </c>
      <c r="C61" s="3">
        <v>4</v>
      </c>
      <c r="D61" s="3">
        <v>3</v>
      </c>
      <c r="E61" s="4">
        <v>5</v>
      </c>
      <c r="F61" s="3">
        <v>400</v>
      </c>
      <c r="G61" s="6">
        <v>4</v>
      </c>
      <c r="H61" s="16">
        <v>2</v>
      </c>
      <c r="I61" s="16">
        <v>2</v>
      </c>
      <c r="P61" s="4">
        <v>60</v>
      </c>
      <c r="Q61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174.4371245981618</v>
      </c>
      <c r="R61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61.576660153081974</v>
      </c>
      <c r="S61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433.34446923013303</v>
      </c>
      <c r="T61" s="4">
        <f t="shared" si="0"/>
        <v>2</v>
      </c>
    </row>
    <row r="62" spans="1:20" x14ac:dyDescent="0.3">
      <c r="A62" s="3">
        <v>1</v>
      </c>
      <c r="B62" s="3">
        <v>3</v>
      </c>
      <c r="C62" s="3">
        <v>5</v>
      </c>
      <c r="D62" s="3">
        <v>3</v>
      </c>
      <c r="E62" s="4">
        <v>1</v>
      </c>
      <c r="F62" s="3">
        <v>500</v>
      </c>
      <c r="G62" s="6">
        <v>4</v>
      </c>
      <c r="H62" s="16">
        <v>1</v>
      </c>
      <c r="I62" s="16">
        <v>2</v>
      </c>
      <c r="P62" s="4">
        <v>61</v>
      </c>
      <c r="Q62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274.43219812607123</v>
      </c>
      <c r="R62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38.587469052994962</v>
      </c>
      <c r="S62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333.34247672644943</v>
      </c>
      <c r="T62" s="4">
        <f t="shared" si="0"/>
        <v>2</v>
      </c>
    </row>
    <row r="63" spans="1:20" x14ac:dyDescent="0.3">
      <c r="A63" s="3">
        <v>1</v>
      </c>
      <c r="B63" s="3">
        <v>3</v>
      </c>
      <c r="C63" s="3">
        <v>10</v>
      </c>
      <c r="D63" s="3">
        <v>5</v>
      </c>
      <c r="E63" s="4">
        <v>1</v>
      </c>
      <c r="F63" s="3">
        <v>1000</v>
      </c>
      <c r="G63" s="6">
        <v>4</v>
      </c>
      <c r="H63" s="16">
        <v>3</v>
      </c>
      <c r="I63" s="16">
        <v>3</v>
      </c>
      <c r="P63" s="4">
        <v>62</v>
      </c>
      <c r="Q63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774.44740012111458</v>
      </c>
      <c r="R63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538.50985558556647</v>
      </c>
      <c r="S63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166.73727208166312</v>
      </c>
      <c r="T63" s="4">
        <f t="shared" si="0"/>
        <v>3</v>
      </c>
    </row>
    <row r="64" spans="1:20" x14ac:dyDescent="0.3">
      <c r="A64" s="3">
        <v>2</v>
      </c>
      <c r="B64" s="3">
        <v>3</v>
      </c>
      <c r="C64" s="3">
        <v>10</v>
      </c>
      <c r="D64" s="3">
        <v>2</v>
      </c>
      <c r="E64" s="4">
        <v>1</v>
      </c>
      <c r="F64" s="3">
        <v>300</v>
      </c>
      <c r="G64" s="6">
        <v>4</v>
      </c>
      <c r="H64" s="16">
        <v>1</v>
      </c>
      <c r="I64" s="16">
        <v>1</v>
      </c>
      <c r="P64" s="4">
        <v>63</v>
      </c>
      <c r="Q64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74.650713611631318</v>
      </c>
      <c r="R64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161.68358763803329</v>
      </c>
      <c r="S64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533.35456844299404</v>
      </c>
      <c r="T64" s="4">
        <f t="shared" si="0"/>
        <v>1</v>
      </c>
    </row>
    <row r="65" spans="1:20" x14ac:dyDescent="0.3">
      <c r="A65" s="3">
        <v>2</v>
      </c>
      <c r="B65" s="3">
        <v>3</v>
      </c>
      <c r="C65" s="3">
        <v>2</v>
      </c>
      <c r="D65" s="3">
        <v>1</v>
      </c>
      <c r="E65" s="4">
        <v>1</v>
      </c>
      <c r="F65" s="3">
        <v>100</v>
      </c>
      <c r="G65" s="6">
        <v>4</v>
      </c>
      <c r="H65" s="16">
        <v>1</v>
      </c>
      <c r="I65" s="16">
        <v>1</v>
      </c>
      <c r="P65" s="4">
        <v>64</v>
      </c>
      <c r="Q65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125.63590332988615</v>
      </c>
      <c r="R65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361.55819186024422</v>
      </c>
      <c r="S65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733.35135289308869</v>
      </c>
      <c r="T65" s="4">
        <f t="shared" si="0"/>
        <v>1</v>
      </c>
    </row>
    <row r="66" spans="1:20" x14ac:dyDescent="0.3">
      <c r="A66" s="3">
        <v>1</v>
      </c>
      <c r="B66" s="3">
        <v>3</v>
      </c>
      <c r="C66" s="3">
        <v>6</v>
      </c>
      <c r="D66" s="3">
        <v>5</v>
      </c>
      <c r="E66" s="4">
        <v>1</v>
      </c>
      <c r="F66" s="3">
        <v>900</v>
      </c>
      <c r="G66" s="6">
        <v>4</v>
      </c>
      <c r="H66" s="16">
        <v>3</v>
      </c>
      <c r="I66" s="16">
        <v>3</v>
      </c>
      <c r="P66" s="4">
        <v>65</v>
      </c>
      <c r="Q66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674.43180821076851</v>
      </c>
      <c r="R66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438.48274877473119</v>
      </c>
      <c r="S66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66.723193627862486</v>
      </c>
      <c r="T66" s="4">
        <f t="shared" si="0"/>
        <v>3</v>
      </c>
    </row>
    <row r="67" spans="1:20" x14ac:dyDescent="0.3">
      <c r="A67" s="3">
        <v>1</v>
      </c>
      <c r="B67" s="3">
        <v>3</v>
      </c>
      <c r="C67" s="3">
        <v>1</v>
      </c>
      <c r="D67" s="3">
        <v>1</v>
      </c>
      <c r="E67" s="4">
        <v>1</v>
      </c>
      <c r="F67" s="3">
        <v>400</v>
      </c>
      <c r="G67" s="6">
        <v>4</v>
      </c>
      <c r="H67" s="16">
        <v>1</v>
      </c>
      <c r="I67" s="16">
        <v>2</v>
      </c>
      <c r="P67" s="4">
        <v>66</v>
      </c>
      <c r="Q67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174.47598281026964</v>
      </c>
      <c r="R67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61.690442668486298</v>
      </c>
      <c r="S67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433.37446742089651</v>
      </c>
      <c r="T67" s="4">
        <f t="shared" si="0"/>
        <v>2</v>
      </c>
    </row>
    <row r="68" spans="1:20" x14ac:dyDescent="0.3">
      <c r="A68" s="3">
        <v>1</v>
      </c>
      <c r="B68" s="3">
        <v>3</v>
      </c>
      <c r="C68" s="3">
        <v>1</v>
      </c>
      <c r="D68" s="3">
        <v>1</v>
      </c>
      <c r="E68" s="4">
        <v>1</v>
      </c>
      <c r="F68" s="3">
        <v>600</v>
      </c>
      <c r="G68" s="6">
        <v>1</v>
      </c>
      <c r="H68" s="16">
        <v>1</v>
      </c>
      <c r="I68" s="16">
        <v>2</v>
      </c>
      <c r="P68" s="4">
        <v>67</v>
      </c>
      <c r="Q68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374.45064719167021</v>
      </c>
      <c r="R68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138.53609341313276</v>
      </c>
      <c r="S68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233.41899882474368</v>
      </c>
      <c r="T68" s="4">
        <f t="shared" si="0"/>
        <v>2</v>
      </c>
    </row>
    <row r="69" spans="1:20" x14ac:dyDescent="0.3">
      <c r="A69" s="3">
        <v>2</v>
      </c>
      <c r="B69" s="3">
        <v>3</v>
      </c>
      <c r="C69" s="3">
        <v>7</v>
      </c>
      <c r="D69" s="3">
        <v>2</v>
      </c>
      <c r="E69" s="4">
        <v>1</v>
      </c>
      <c r="F69" s="3">
        <v>500</v>
      </c>
      <c r="G69" s="6">
        <v>3</v>
      </c>
      <c r="H69" s="16">
        <v>1</v>
      </c>
      <c r="I69" s="16">
        <v>2</v>
      </c>
      <c r="P69" s="4">
        <v>68</v>
      </c>
      <c r="Q69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274.43834182076392</v>
      </c>
      <c r="R69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38.68800846108617</v>
      </c>
      <c r="S69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333.3439766819306</v>
      </c>
      <c r="T69" s="4">
        <f t="shared" ref="T69:T101" si="1">IF(MIN(Q69,R69,S69) = Q69, 1, IF(MIN(Q69,R69,S69) = R69, 2,3))</f>
        <v>2</v>
      </c>
    </row>
    <row r="70" spans="1:20" x14ac:dyDescent="0.3">
      <c r="A70" s="3">
        <v>1</v>
      </c>
      <c r="B70" s="3">
        <v>3</v>
      </c>
      <c r="C70" s="3">
        <v>1</v>
      </c>
      <c r="D70" s="3">
        <v>1</v>
      </c>
      <c r="E70" s="4">
        <v>1</v>
      </c>
      <c r="F70" s="3">
        <v>700</v>
      </c>
      <c r="G70" s="6">
        <v>1</v>
      </c>
      <c r="H70" s="16">
        <v>1</v>
      </c>
      <c r="I70" s="16">
        <v>3</v>
      </c>
      <c r="P70" s="4">
        <v>69</v>
      </c>
      <c r="Q70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474.44389353483439</v>
      </c>
      <c r="R70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238.50483615742459</v>
      </c>
      <c r="S70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133.4831912477336</v>
      </c>
      <c r="T70" s="4">
        <f t="shared" si="1"/>
        <v>3</v>
      </c>
    </row>
    <row r="71" spans="1:20" x14ac:dyDescent="0.3">
      <c r="A71" s="3">
        <v>2</v>
      </c>
      <c r="B71" s="3">
        <v>3</v>
      </c>
      <c r="C71" s="3">
        <v>10</v>
      </c>
      <c r="D71" s="3">
        <v>1</v>
      </c>
      <c r="E71" s="4">
        <v>1</v>
      </c>
      <c r="F71" s="3">
        <v>100</v>
      </c>
      <c r="G71" s="6">
        <v>4</v>
      </c>
      <c r="H71" s="16">
        <v>1</v>
      </c>
      <c r="I71" s="16">
        <v>1</v>
      </c>
      <c r="P71" s="4">
        <v>70</v>
      </c>
      <c r="Q71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125.72176263823752</v>
      </c>
      <c r="R71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361.60641296321194</v>
      </c>
      <c r="S71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733.35135289308869</v>
      </c>
      <c r="T71" s="4">
        <f t="shared" si="1"/>
        <v>1</v>
      </c>
    </row>
    <row r="72" spans="1:20" x14ac:dyDescent="0.3">
      <c r="A72" s="3">
        <v>2</v>
      </c>
      <c r="B72" s="3">
        <v>3</v>
      </c>
      <c r="C72" s="3">
        <v>1</v>
      </c>
      <c r="D72" s="3">
        <v>1</v>
      </c>
      <c r="E72" s="4">
        <v>1</v>
      </c>
      <c r="F72" s="3">
        <v>200</v>
      </c>
      <c r="G72" s="6">
        <v>4</v>
      </c>
      <c r="H72" s="16">
        <v>1</v>
      </c>
      <c r="I72" s="16">
        <v>1</v>
      </c>
      <c r="P72" s="4">
        <v>71</v>
      </c>
      <c r="Q72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25.969279183882815</v>
      </c>
      <c r="R72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261.57460660239536</v>
      </c>
      <c r="S72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633.36130298863134</v>
      </c>
      <c r="T72" s="4">
        <f t="shared" si="1"/>
        <v>1</v>
      </c>
    </row>
    <row r="73" spans="1:20" x14ac:dyDescent="0.3">
      <c r="A73" s="3">
        <v>1</v>
      </c>
      <c r="B73" s="3">
        <v>3</v>
      </c>
      <c r="C73" s="3">
        <v>10</v>
      </c>
      <c r="D73" s="3">
        <v>4</v>
      </c>
      <c r="E73" s="4">
        <v>1</v>
      </c>
      <c r="F73" s="3">
        <v>300</v>
      </c>
      <c r="G73" s="6">
        <v>4</v>
      </c>
      <c r="H73" s="16">
        <v>1</v>
      </c>
      <c r="I73" s="16">
        <v>1</v>
      </c>
      <c r="P73" s="4">
        <v>72</v>
      </c>
      <c r="Q73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74.682015648551214</v>
      </c>
      <c r="R73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161.68779015703248</v>
      </c>
      <c r="S73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533.35331849129716</v>
      </c>
      <c r="T73" s="4">
        <f t="shared" si="1"/>
        <v>1</v>
      </c>
    </row>
    <row r="74" spans="1:20" x14ac:dyDescent="0.3">
      <c r="A74" s="3">
        <v>2</v>
      </c>
      <c r="B74" s="3">
        <v>3</v>
      </c>
      <c r="C74" s="3">
        <v>8</v>
      </c>
      <c r="D74" s="3">
        <v>1</v>
      </c>
      <c r="E74" s="4">
        <v>1</v>
      </c>
      <c r="F74" s="3">
        <v>900</v>
      </c>
      <c r="G74" s="6">
        <v>4</v>
      </c>
      <c r="H74" s="16">
        <v>3</v>
      </c>
      <c r="I74" s="16">
        <v>3</v>
      </c>
      <c r="P74" s="4">
        <v>73</v>
      </c>
      <c r="Q74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674.43185993389181</v>
      </c>
      <c r="R74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438.49394692043876</v>
      </c>
      <c r="S74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66.774796568691386</v>
      </c>
      <c r="T74" s="4">
        <f t="shared" si="1"/>
        <v>3</v>
      </c>
    </row>
    <row r="75" spans="1:20" x14ac:dyDescent="0.3">
      <c r="A75" s="3">
        <v>2</v>
      </c>
      <c r="B75" s="3">
        <v>3</v>
      </c>
      <c r="C75" s="3">
        <v>3</v>
      </c>
      <c r="D75" s="3">
        <v>5</v>
      </c>
      <c r="E75" s="4">
        <v>1</v>
      </c>
      <c r="F75" s="3">
        <v>1000</v>
      </c>
      <c r="G75" s="6">
        <v>4</v>
      </c>
      <c r="H75" s="16">
        <v>3</v>
      </c>
      <c r="I75" s="16">
        <v>3</v>
      </c>
      <c r="P75" s="4">
        <v>74</v>
      </c>
      <c r="Q75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774.43067383569564</v>
      </c>
      <c r="R75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538.47519091361517</v>
      </c>
      <c r="S75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166.71561318308594</v>
      </c>
      <c r="T75" s="4">
        <f t="shared" si="1"/>
        <v>3</v>
      </c>
    </row>
    <row r="76" spans="1:20" x14ac:dyDescent="0.3">
      <c r="A76" s="3">
        <v>2</v>
      </c>
      <c r="B76" s="3">
        <v>3</v>
      </c>
      <c r="C76" s="3">
        <v>1</v>
      </c>
      <c r="D76" s="3">
        <v>4</v>
      </c>
      <c r="E76" s="4">
        <v>1</v>
      </c>
      <c r="F76" s="3">
        <v>500</v>
      </c>
      <c r="G76" s="6">
        <v>3</v>
      </c>
      <c r="H76" s="16">
        <v>1</v>
      </c>
      <c r="I76" s="16">
        <v>2</v>
      </c>
      <c r="P76" s="4">
        <v>75</v>
      </c>
      <c r="Q76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274.46105111219248</v>
      </c>
      <c r="R76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38.680054473458156</v>
      </c>
      <c r="S76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333.37764057382122</v>
      </c>
      <c r="T76" s="4">
        <f t="shared" si="1"/>
        <v>2</v>
      </c>
    </row>
    <row r="77" spans="1:20" x14ac:dyDescent="0.3">
      <c r="A77" s="3">
        <v>1</v>
      </c>
      <c r="B77" s="3">
        <v>3</v>
      </c>
      <c r="C77" s="3">
        <v>7</v>
      </c>
      <c r="D77" s="3">
        <v>4</v>
      </c>
      <c r="E77" s="4">
        <v>1</v>
      </c>
      <c r="F77" s="3">
        <v>400</v>
      </c>
      <c r="G77" s="6">
        <v>4</v>
      </c>
      <c r="H77" s="16">
        <v>1</v>
      </c>
      <c r="I77" s="16">
        <v>2</v>
      </c>
      <c r="P77" s="4">
        <v>76</v>
      </c>
      <c r="Q77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174.46498608118245</v>
      </c>
      <c r="R77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61.702287276042959</v>
      </c>
      <c r="S77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433.34062315805608</v>
      </c>
      <c r="T77" s="4">
        <f t="shared" si="1"/>
        <v>2</v>
      </c>
    </row>
    <row r="78" spans="1:20" x14ac:dyDescent="0.3">
      <c r="A78" s="3">
        <v>2</v>
      </c>
      <c r="B78" s="3">
        <v>3</v>
      </c>
      <c r="C78" s="3">
        <v>8</v>
      </c>
      <c r="D78" s="3">
        <v>2</v>
      </c>
      <c r="E78" s="4">
        <v>1</v>
      </c>
      <c r="F78" s="3">
        <v>300</v>
      </c>
      <c r="G78" s="6">
        <v>4</v>
      </c>
      <c r="H78" s="16">
        <v>1</v>
      </c>
      <c r="I78" s="16">
        <v>1</v>
      </c>
      <c r="P78" s="4">
        <v>77</v>
      </c>
      <c r="Q78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74.53411094182708</v>
      </c>
      <c r="R78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161.61950551461183</v>
      </c>
      <c r="S78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533.34331877226361</v>
      </c>
      <c r="T78" s="4">
        <f t="shared" si="1"/>
        <v>1</v>
      </c>
    </row>
    <row r="79" spans="1:20" x14ac:dyDescent="0.3">
      <c r="A79" s="3">
        <v>1</v>
      </c>
      <c r="B79" s="3">
        <v>3</v>
      </c>
      <c r="C79" s="3">
        <v>4</v>
      </c>
      <c r="D79" s="3">
        <v>2</v>
      </c>
      <c r="E79" s="4">
        <v>1</v>
      </c>
      <c r="F79" s="3">
        <v>400</v>
      </c>
      <c r="G79" s="6">
        <v>4</v>
      </c>
      <c r="H79" s="16">
        <v>1</v>
      </c>
      <c r="I79" s="16">
        <v>2</v>
      </c>
      <c r="P79" s="4">
        <v>78</v>
      </c>
      <c r="Q79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174.4370579385604</v>
      </c>
      <c r="R79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61.608090949809089</v>
      </c>
      <c r="S79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433.34587944800853</v>
      </c>
      <c r="T79" s="4">
        <f t="shared" si="1"/>
        <v>2</v>
      </c>
    </row>
    <row r="80" spans="1:20" x14ac:dyDescent="0.3">
      <c r="A80" s="3">
        <v>1</v>
      </c>
      <c r="B80" s="3">
        <v>3</v>
      </c>
      <c r="C80" s="3">
        <v>9</v>
      </c>
      <c r="D80" s="3">
        <v>1</v>
      </c>
      <c r="E80" s="4">
        <v>4</v>
      </c>
      <c r="F80" s="3">
        <v>400</v>
      </c>
      <c r="G80" s="6">
        <v>1</v>
      </c>
      <c r="H80" s="16">
        <v>2</v>
      </c>
      <c r="I80" s="16">
        <v>2</v>
      </c>
      <c r="P80" s="4">
        <v>79</v>
      </c>
      <c r="Q80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174.49357613532149</v>
      </c>
      <c r="R80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61.818327285916318</v>
      </c>
      <c r="S80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433.35869940002249</v>
      </c>
      <c r="T80" s="4">
        <f t="shared" si="1"/>
        <v>2</v>
      </c>
    </row>
    <row r="81" spans="1:20" x14ac:dyDescent="0.3">
      <c r="A81" s="3">
        <v>2</v>
      </c>
      <c r="B81" s="3">
        <v>3</v>
      </c>
      <c r="C81" s="3">
        <v>10</v>
      </c>
      <c r="D81" s="3">
        <v>3</v>
      </c>
      <c r="E81" s="4">
        <v>4</v>
      </c>
      <c r="F81" s="3">
        <v>400</v>
      </c>
      <c r="G81" s="6">
        <v>2</v>
      </c>
      <c r="H81" s="16">
        <v>2</v>
      </c>
      <c r="I81" s="16">
        <v>2</v>
      </c>
      <c r="P81" s="4">
        <v>80</v>
      </c>
      <c r="Q81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174.51363302760399</v>
      </c>
      <c r="R81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61.870360317882131</v>
      </c>
      <c r="S81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433.35613543995987</v>
      </c>
      <c r="T81" s="4">
        <f t="shared" si="1"/>
        <v>2</v>
      </c>
    </row>
    <row r="82" spans="1:20" x14ac:dyDescent="0.3">
      <c r="A82" s="3">
        <v>2</v>
      </c>
      <c r="B82" s="3">
        <v>3</v>
      </c>
      <c r="C82" s="3">
        <v>3</v>
      </c>
      <c r="D82" s="3">
        <v>1</v>
      </c>
      <c r="E82" s="4">
        <v>1</v>
      </c>
      <c r="F82" s="3">
        <v>300</v>
      </c>
      <c r="G82" s="6">
        <v>2</v>
      </c>
      <c r="H82" s="16">
        <v>1</v>
      </c>
      <c r="I82" s="16">
        <v>1</v>
      </c>
      <c r="P82" s="4">
        <v>81</v>
      </c>
      <c r="Q82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74.486045023151235</v>
      </c>
      <c r="R82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161.57222072963407</v>
      </c>
      <c r="S82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533.3523810256022</v>
      </c>
      <c r="T82" s="4">
        <f t="shared" si="1"/>
        <v>1</v>
      </c>
    </row>
    <row r="83" spans="1:20" x14ac:dyDescent="0.3">
      <c r="A83" s="3">
        <v>1</v>
      </c>
      <c r="B83" s="3">
        <v>3</v>
      </c>
      <c r="C83" s="3">
        <v>4</v>
      </c>
      <c r="D83" s="3">
        <v>1</v>
      </c>
      <c r="E83" s="4">
        <v>1</v>
      </c>
      <c r="F83" s="3">
        <v>100</v>
      </c>
      <c r="G83" s="6">
        <v>3</v>
      </c>
      <c r="H83" s="16">
        <v>1</v>
      </c>
      <c r="I83" s="16">
        <v>1</v>
      </c>
      <c r="P83" s="4">
        <v>82</v>
      </c>
      <c r="Q83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125.60702365537928</v>
      </c>
      <c r="R83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361.55152549592248</v>
      </c>
      <c r="S83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733.34294396059352</v>
      </c>
      <c r="T83" s="4">
        <f t="shared" si="1"/>
        <v>1</v>
      </c>
    </row>
    <row r="84" spans="1:20" x14ac:dyDescent="0.3">
      <c r="A84" s="3">
        <v>1</v>
      </c>
      <c r="B84" s="3">
        <v>3</v>
      </c>
      <c r="C84" s="3">
        <v>7</v>
      </c>
      <c r="D84" s="3">
        <v>2</v>
      </c>
      <c r="E84" s="4">
        <v>1</v>
      </c>
      <c r="F84" s="3">
        <v>400</v>
      </c>
      <c r="G84" s="6">
        <v>2</v>
      </c>
      <c r="H84" s="16">
        <v>1</v>
      </c>
      <c r="I84" s="16">
        <v>2</v>
      </c>
      <c r="P84" s="4">
        <v>83</v>
      </c>
      <c r="Q84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174.45352208627713</v>
      </c>
      <c r="R84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61.683999909530208</v>
      </c>
      <c r="S84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433.34344361425019</v>
      </c>
      <c r="T84" s="4">
        <f t="shared" si="1"/>
        <v>2</v>
      </c>
    </row>
    <row r="85" spans="1:20" x14ac:dyDescent="0.3">
      <c r="A85" s="3">
        <v>1</v>
      </c>
      <c r="B85" s="3">
        <v>3</v>
      </c>
      <c r="C85" s="3">
        <v>8</v>
      </c>
      <c r="D85" s="3">
        <v>1</v>
      </c>
      <c r="E85" s="4">
        <v>1</v>
      </c>
      <c r="F85" s="3">
        <v>300</v>
      </c>
      <c r="G85" s="6">
        <v>2</v>
      </c>
      <c r="H85" s="16">
        <v>1</v>
      </c>
      <c r="I85" s="16">
        <v>1</v>
      </c>
      <c r="P85" s="4">
        <v>84</v>
      </c>
      <c r="Q85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74.543158848400637</v>
      </c>
      <c r="R85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161.62363037662834</v>
      </c>
      <c r="S85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533.34790200009343</v>
      </c>
      <c r="T85" s="4">
        <f t="shared" si="1"/>
        <v>1</v>
      </c>
    </row>
    <row r="86" spans="1:20" x14ac:dyDescent="0.3">
      <c r="A86" s="3">
        <v>1</v>
      </c>
      <c r="B86" s="3">
        <v>3</v>
      </c>
      <c r="C86" s="3">
        <v>1</v>
      </c>
      <c r="D86" s="3">
        <v>1</v>
      </c>
      <c r="E86" s="4">
        <v>1</v>
      </c>
      <c r="F86" s="3">
        <v>200</v>
      </c>
      <c r="G86" s="6">
        <v>1</v>
      </c>
      <c r="H86" s="16">
        <v>1</v>
      </c>
      <c r="I86" s="16">
        <v>1</v>
      </c>
      <c r="P86" s="4">
        <v>85</v>
      </c>
      <c r="Q86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26.04617939987455</v>
      </c>
      <c r="R86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261.57793945388721</v>
      </c>
      <c r="S86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633.36489931082576</v>
      </c>
      <c r="T86" s="4">
        <f t="shared" si="1"/>
        <v>1</v>
      </c>
    </row>
    <row r="87" spans="1:20" x14ac:dyDescent="0.3">
      <c r="A87" s="3">
        <v>2</v>
      </c>
      <c r="B87" s="3">
        <v>3</v>
      </c>
      <c r="C87" s="3">
        <v>8</v>
      </c>
      <c r="D87" s="3">
        <v>4</v>
      </c>
      <c r="E87" s="4">
        <v>4</v>
      </c>
      <c r="F87" s="3">
        <v>800</v>
      </c>
      <c r="G87" s="6">
        <v>3</v>
      </c>
      <c r="H87" s="16">
        <v>3</v>
      </c>
      <c r="I87" s="16">
        <v>3</v>
      </c>
      <c r="P87" s="4">
        <v>86</v>
      </c>
      <c r="Q87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574.43406626399371</v>
      </c>
      <c r="R87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338.49310555978184</v>
      </c>
      <c r="S87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33.431291248886929</v>
      </c>
      <c r="T87" s="4">
        <f t="shared" si="1"/>
        <v>3</v>
      </c>
    </row>
    <row r="88" spans="1:20" x14ac:dyDescent="0.3">
      <c r="A88" s="3">
        <v>1</v>
      </c>
      <c r="B88" s="3">
        <v>3</v>
      </c>
      <c r="C88" s="3">
        <v>4</v>
      </c>
      <c r="D88" s="3">
        <v>1</v>
      </c>
      <c r="E88" s="4">
        <v>4</v>
      </c>
      <c r="F88" s="3">
        <v>200</v>
      </c>
      <c r="G88" s="6">
        <v>4</v>
      </c>
      <c r="H88" s="16">
        <v>1</v>
      </c>
      <c r="I88" s="16">
        <v>1</v>
      </c>
      <c r="P88" s="4">
        <v>87</v>
      </c>
      <c r="Q88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25.653481942010409</v>
      </c>
      <c r="R88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261.54955984496581</v>
      </c>
      <c r="S88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633.34332107134367</v>
      </c>
      <c r="T88" s="4">
        <f t="shared" si="1"/>
        <v>1</v>
      </c>
    </row>
    <row r="89" spans="1:20" x14ac:dyDescent="0.3">
      <c r="A89" s="3">
        <v>1</v>
      </c>
      <c r="B89" s="3">
        <v>3</v>
      </c>
      <c r="C89" s="3">
        <v>4</v>
      </c>
      <c r="D89" s="3">
        <v>1</v>
      </c>
      <c r="E89" s="4">
        <v>1</v>
      </c>
      <c r="F89" s="3">
        <v>100</v>
      </c>
      <c r="G89" s="6">
        <v>4</v>
      </c>
      <c r="H89" s="16">
        <v>1</v>
      </c>
      <c r="I89" s="16">
        <v>1</v>
      </c>
      <c r="P89" s="4">
        <v>88</v>
      </c>
      <c r="Q89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125.60970826400187</v>
      </c>
      <c r="R89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361.55340485575243</v>
      </c>
      <c r="S89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733.34332274341034</v>
      </c>
      <c r="T89" s="4">
        <f t="shared" si="1"/>
        <v>1</v>
      </c>
    </row>
    <row r="90" spans="1:20" x14ac:dyDescent="0.3">
      <c r="A90" s="3">
        <v>1</v>
      </c>
      <c r="B90" s="3">
        <v>3</v>
      </c>
      <c r="C90" s="3">
        <v>3</v>
      </c>
      <c r="D90" s="3">
        <v>4</v>
      </c>
      <c r="E90" s="4">
        <v>1</v>
      </c>
      <c r="F90" s="3">
        <v>300</v>
      </c>
      <c r="G90" s="6">
        <v>4</v>
      </c>
      <c r="H90" s="16">
        <v>1</v>
      </c>
      <c r="I90" s="16">
        <v>1</v>
      </c>
      <c r="P90" s="4">
        <v>89</v>
      </c>
      <c r="Q90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74.508521260324414</v>
      </c>
      <c r="R90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161.57174463795255</v>
      </c>
      <c r="S90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533.34675619682844</v>
      </c>
      <c r="T90" s="4">
        <f t="shared" si="1"/>
        <v>1</v>
      </c>
    </row>
    <row r="91" spans="1:20" x14ac:dyDescent="0.3">
      <c r="A91" s="3">
        <v>1</v>
      </c>
      <c r="B91" s="3">
        <v>3</v>
      </c>
      <c r="C91" s="3">
        <v>2</v>
      </c>
      <c r="D91" s="3">
        <v>4</v>
      </c>
      <c r="E91" s="4">
        <v>4</v>
      </c>
      <c r="F91" s="3">
        <v>400</v>
      </c>
      <c r="G91" s="6">
        <v>3</v>
      </c>
      <c r="H91" s="16">
        <v>2</v>
      </c>
      <c r="I91" s="16">
        <v>2</v>
      </c>
      <c r="P91" s="4">
        <v>90</v>
      </c>
      <c r="Q91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174.45758789160863</v>
      </c>
      <c r="R91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61.5956038118102</v>
      </c>
      <c r="S91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433.35498165298247</v>
      </c>
      <c r="T91" s="4">
        <f t="shared" si="1"/>
        <v>2</v>
      </c>
    </row>
    <row r="92" spans="1:20" x14ac:dyDescent="0.3">
      <c r="A92" s="3">
        <v>2</v>
      </c>
      <c r="B92" s="3">
        <v>3</v>
      </c>
      <c r="C92" s="3">
        <v>2</v>
      </c>
      <c r="D92" s="3">
        <v>1</v>
      </c>
      <c r="E92" s="4">
        <v>1</v>
      </c>
      <c r="F92" s="3">
        <v>700</v>
      </c>
      <c r="G92" s="6">
        <v>4</v>
      </c>
      <c r="H92" s="16">
        <v>1</v>
      </c>
      <c r="I92" s="16">
        <v>3</v>
      </c>
      <c r="P92" s="4">
        <v>91</v>
      </c>
      <c r="Q92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474.4330361462109</v>
      </c>
      <c r="R92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238.49145111532891</v>
      </c>
      <c r="S92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133.43240532240833</v>
      </c>
      <c r="T92" s="4">
        <f t="shared" si="1"/>
        <v>3</v>
      </c>
    </row>
    <row r="93" spans="1:20" x14ac:dyDescent="0.3">
      <c r="A93" s="3">
        <v>2</v>
      </c>
      <c r="B93" s="3">
        <v>3</v>
      </c>
      <c r="C93" s="3">
        <v>6</v>
      </c>
      <c r="D93" s="3">
        <v>4</v>
      </c>
      <c r="E93" s="4">
        <v>4</v>
      </c>
      <c r="F93" s="3">
        <v>100</v>
      </c>
      <c r="G93" s="6">
        <v>4</v>
      </c>
      <c r="H93" s="16">
        <v>1</v>
      </c>
      <c r="I93" s="16">
        <v>1</v>
      </c>
      <c r="P93" s="4">
        <v>92</v>
      </c>
      <c r="Q93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125.61739148193533</v>
      </c>
      <c r="R93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361.55230560873588</v>
      </c>
      <c r="S93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733.33544402053155</v>
      </c>
      <c r="T93" s="4">
        <f t="shared" si="1"/>
        <v>1</v>
      </c>
    </row>
    <row r="94" spans="1:20" x14ac:dyDescent="0.3">
      <c r="A94" s="3">
        <v>2</v>
      </c>
      <c r="B94" s="3">
        <v>3</v>
      </c>
      <c r="C94" s="3">
        <v>8</v>
      </c>
      <c r="D94" s="3">
        <v>3</v>
      </c>
      <c r="E94" s="4">
        <v>4</v>
      </c>
      <c r="F94" s="3">
        <v>800</v>
      </c>
      <c r="G94" s="6">
        <v>4</v>
      </c>
      <c r="H94" s="16">
        <v>3</v>
      </c>
      <c r="I94" s="16">
        <v>3</v>
      </c>
      <c r="P94" s="4">
        <v>93</v>
      </c>
      <c r="Q94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574.4317586291653</v>
      </c>
      <c r="R94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338.49249955515313</v>
      </c>
      <c r="S94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33.436276226596121</v>
      </c>
      <c r="T94" s="4">
        <f t="shared" si="1"/>
        <v>3</v>
      </c>
    </row>
    <row r="95" spans="1:20" x14ac:dyDescent="0.3">
      <c r="A95" s="3">
        <v>2</v>
      </c>
      <c r="B95" s="3">
        <v>3</v>
      </c>
      <c r="C95" s="3">
        <v>4</v>
      </c>
      <c r="D95" s="3">
        <v>3</v>
      </c>
      <c r="E95" s="4">
        <v>4</v>
      </c>
      <c r="F95" s="3">
        <v>300</v>
      </c>
      <c r="G95" s="6">
        <v>3</v>
      </c>
      <c r="H95" s="16">
        <v>2</v>
      </c>
      <c r="I95" s="16">
        <v>1</v>
      </c>
      <c r="P95" s="4">
        <v>94</v>
      </c>
      <c r="Q95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74.443102799075376</v>
      </c>
      <c r="R95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161.54516062625336</v>
      </c>
      <c r="S95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533.33925633285151</v>
      </c>
      <c r="T95" s="4">
        <f t="shared" si="1"/>
        <v>1</v>
      </c>
    </row>
    <row r="96" spans="1:20" x14ac:dyDescent="0.3">
      <c r="A96" s="3">
        <v>2</v>
      </c>
      <c r="B96" s="3">
        <v>3</v>
      </c>
      <c r="C96" s="3">
        <v>6</v>
      </c>
      <c r="D96" s="3">
        <v>2</v>
      </c>
      <c r="E96" s="4">
        <v>7</v>
      </c>
      <c r="F96" s="3">
        <v>300</v>
      </c>
      <c r="G96" s="6">
        <v>1</v>
      </c>
      <c r="H96" s="16">
        <v>2</v>
      </c>
      <c r="I96" s="16">
        <v>1</v>
      </c>
      <c r="P96" s="4">
        <v>95</v>
      </c>
      <c r="Q96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74.572634926862406</v>
      </c>
      <c r="R96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161.61085882759477</v>
      </c>
      <c r="S96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533.35675585141485</v>
      </c>
      <c r="T96" s="4">
        <f t="shared" si="1"/>
        <v>1</v>
      </c>
    </row>
    <row r="97" spans="1:20" x14ac:dyDescent="0.3">
      <c r="A97" s="3">
        <v>2</v>
      </c>
      <c r="B97" s="3">
        <v>3</v>
      </c>
      <c r="C97" s="3">
        <v>3</v>
      </c>
      <c r="D97" s="3">
        <v>2</v>
      </c>
      <c r="E97" s="4">
        <v>7</v>
      </c>
      <c r="F97" s="3">
        <v>400</v>
      </c>
      <c r="G97" s="6">
        <v>1</v>
      </c>
      <c r="H97" s="16">
        <v>2</v>
      </c>
      <c r="I97" s="16">
        <v>2</v>
      </c>
      <c r="P97" s="4">
        <v>96</v>
      </c>
      <c r="Q97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174.48697884630772</v>
      </c>
      <c r="R97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61.695222345198971</v>
      </c>
      <c r="S97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433.37254452223789</v>
      </c>
      <c r="T97" s="4">
        <f t="shared" si="1"/>
        <v>2</v>
      </c>
    </row>
    <row r="98" spans="1:20" x14ac:dyDescent="0.3">
      <c r="A98" s="3">
        <v>1</v>
      </c>
      <c r="B98" s="3">
        <v>3</v>
      </c>
      <c r="C98" s="3">
        <v>1</v>
      </c>
      <c r="D98" s="3">
        <v>1</v>
      </c>
      <c r="E98" s="4">
        <v>7</v>
      </c>
      <c r="F98" s="3">
        <v>100</v>
      </c>
      <c r="G98" s="6">
        <v>1</v>
      </c>
      <c r="H98" s="16">
        <v>2</v>
      </c>
      <c r="I98" s="16">
        <v>1</v>
      </c>
      <c r="P98" s="4">
        <v>97</v>
      </c>
      <c r="Q98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125.72130019131829</v>
      </c>
      <c r="R98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361.57808384446338</v>
      </c>
      <c r="S98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733.37014006958259</v>
      </c>
      <c r="T98" s="4">
        <f t="shared" si="1"/>
        <v>1</v>
      </c>
    </row>
    <row r="99" spans="1:20" x14ac:dyDescent="0.3">
      <c r="A99" s="3">
        <v>1</v>
      </c>
      <c r="B99" s="3">
        <v>3</v>
      </c>
      <c r="C99" s="3">
        <v>3</v>
      </c>
      <c r="D99" s="3">
        <v>1</v>
      </c>
      <c r="E99" s="4">
        <v>7</v>
      </c>
      <c r="F99" s="3">
        <v>200</v>
      </c>
      <c r="G99" s="6">
        <v>3</v>
      </c>
      <c r="H99" s="16">
        <v>2</v>
      </c>
      <c r="I99" s="16">
        <v>1</v>
      </c>
      <c r="P99" s="4">
        <v>98</v>
      </c>
      <c r="Q99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25.967488097130907</v>
      </c>
      <c r="R99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261.57303818699933</v>
      </c>
      <c r="S99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633.35946096203816</v>
      </c>
      <c r="T99" s="4">
        <f t="shared" si="1"/>
        <v>1</v>
      </c>
    </row>
    <row r="100" spans="1:20" x14ac:dyDescent="0.3">
      <c r="A100" s="3">
        <v>2</v>
      </c>
      <c r="B100" s="3">
        <v>3</v>
      </c>
      <c r="C100" s="3">
        <v>1</v>
      </c>
      <c r="D100" s="3">
        <v>2</v>
      </c>
      <c r="E100" s="4">
        <v>7</v>
      </c>
      <c r="F100" s="3">
        <v>200</v>
      </c>
      <c r="G100" s="6">
        <v>2</v>
      </c>
      <c r="H100" s="16">
        <v>2</v>
      </c>
      <c r="I100" s="16">
        <v>1</v>
      </c>
      <c r="P100" s="4">
        <v>99</v>
      </c>
      <c r="Q100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26.182876011129302</v>
      </c>
      <c r="R100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261.58426195252878</v>
      </c>
      <c r="S100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633.37007447034307</v>
      </c>
      <c r="T100" s="4">
        <f t="shared" si="1"/>
        <v>1</v>
      </c>
    </row>
    <row r="101" spans="1:20" x14ac:dyDescent="0.3">
      <c r="A101" s="9">
        <v>2</v>
      </c>
      <c r="B101" s="9">
        <v>3</v>
      </c>
      <c r="C101" s="9">
        <v>2</v>
      </c>
      <c r="D101" s="9">
        <v>2</v>
      </c>
      <c r="E101" s="10">
        <v>7</v>
      </c>
      <c r="F101" s="9">
        <v>300</v>
      </c>
      <c r="G101" s="11">
        <v>4</v>
      </c>
      <c r="H101" s="18">
        <v>2</v>
      </c>
      <c r="I101" s="16">
        <v>1</v>
      </c>
      <c r="P101" s="4">
        <v>100</v>
      </c>
      <c r="Q101" s="5">
        <f xml:space="preserve">  SQRT((Table2456[[#This Row],[Giới tính]]-$L$2)^2+(Table2456[[#This Row],[Khu vực]]-$L$3)^2+(Table2456[[#This Row],[Tần suất mua hàng (tháng)]]-$L$4)^2+(Table2456[[#This Row],[Số lượng sản phẩm mỗi đơn]]-$L$5)^2+(Table2456[[#This Row],[Loại sản phẩm quan tâm]]-$L$6)^2+(Table2456[[#This Row],[Giá trị mỗi đơn (Nghìn)]]-$L$7)^2+(Table2456[[#This Row],[Thời gian]]-$L$8)^2)</f>
        <v>74.580898614019347</v>
      </c>
      <c r="R101" s="5">
        <f xml:space="preserve">  SQRT((Table2456[[#This Row],[Giới tính]]-$M$2)^2+(Table2456[[#This Row],[Khu vực]]-$M$3)^2+(Table2456[[#This Row],[Tần suất mua hàng (tháng)]]-$M$4)^2+(Table2456[[#This Row],[Số lượng sản phẩm mỗi đơn]]-$M$5)^2+(Table2456[[#This Row],[Loại sản phẩm quan tâm]]-$M$6)^2+(Table2456[[#This Row],[Giá trị mỗi đơn (Nghìn)]]-$M$7)^2+(Table2456[[#This Row],[Thời gian]]-$M$8)^2)</f>
        <v>161.6004663255456</v>
      </c>
      <c r="S101" s="5">
        <f xml:space="preserve">  SQRT((Table2456[[#This Row],[Giới tính]]-$N$2)^2+(Table2456[[#This Row],[Khu vực]]-$N$3)^2+(Table2456[[#This Row],[Tần suất mua hàng (tháng)]]-$N$4)^2+(Table2456[[#This Row],[Số lượng sản phẩm mỗi đơn]]-$N$5)^2+(Table2456[[#This Row],[Loại sản phẩm quan tâm]]-$N$6)^2+(Table2456[[#This Row],[Giá trị mỗi đơn (Nghìn)]]-$N$7)^2+(Table2456[[#This Row],[Thời gian]]-$N$8)^2)</f>
        <v>533.36769275895631</v>
      </c>
      <c r="T101" s="4">
        <f t="shared" si="1"/>
        <v>1</v>
      </c>
    </row>
  </sheetData>
  <mergeCells count="5">
    <mergeCell ref="W2:W8"/>
    <mergeCell ref="W9:W15"/>
    <mergeCell ref="W16:W22"/>
    <mergeCell ref="K11:N12"/>
    <mergeCell ref="K10:N10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C36E-ED0F-4952-93B8-650A5D551F55}">
  <dimension ref="A1:AB101"/>
  <sheetViews>
    <sheetView tabSelected="1" topLeftCell="J19" zoomScale="96" zoomScaleNormal="96" workbookViewId="0">
      <selection activeCell="X30" sqref="X30:Y30"/>
    </sheetView>
  </sheetViews>
  <sheetFormatPr defaultRowHeight="14.4" x14ac:dyDescent="0.3"/>
  <cols>
    <col min="1" max="1" width="9.6640625" style="1" customWidth="1"/>
    <col min="2" max="2" width="11.33203125" style="1" customWidth="1"/>
    <col min="3" max="3" width="24.21875" style="1" customWidth="1"/>
    <col min="4" max="4" width="25.44140625" style="1" customWidth="1"/>
    <col min="5" max="5" width="22.6640625" style="1" customWidth="1"/>
    <col min="6" max="6" width="21.21875" style="1" customWidth="1"/>
    <col min="7" max="7" width="10.21875" style="1" customWidth="1"/>
    <col min="8" max="8" width="14.77734375" customWidth="1"/>
    <col min="9" max="9" width="13.44140625" customWidth="1"/>
    <col min="10" max="10" width="14.33203125" customWidth="1"/>
    <col min="12" max="12" width="14" customWidth="1"/>
    <col min="17" max="17" width="12.6640625" customWidth="1"/>
    <col min="18" max="18" width="12.109375" customWidth="1"/>
    <col min="19" max="19" width="12.5546875" customWidth="1"/>
    <col min="20" max="20" width="12.77734375" customWidth="1"/>
    <col min="21" max="21" width="11.109375" customWidth="1"/>
    <col min="23" max="23" width="12.88671875" customWidth="1"/>
    <col min="24" max="24" width="14" customWidth="1"/>
    <col min="25" max="25" width="13.44140625" customWidth="1"/>
    <col min="26" max="26" width="14" customWidth="1"/>
    <col min="27" max="27" width="18.109375" customWidth="1"/>
  </cols>
  <sheetData>
    <row r="1" spans="1:28" x14ac:dyDescent="0.3">
      <c r="A1" s="7" t="s">
        <v>104</v>
      </c>
      <c r="B1" s="7" t="s">
        <v>112</v>
      </c>
      <c r="C1" s="7" t="s">
        <v>106</v>
      </c>
      <c r="D1" s="7" t="s">
        <v>107</v>
      </c>
      <c r="E1" s="7" t="s">
        <v>115</v>
      </c>
      <c r="F1" s="7" t="s">
        <v>114</v>
      </c>
      <c r="G1" s="8" t="s">
        <v>113</v>
      </c>
      <c r="H1" s="19" t="s">
        <v>150</v>
      </c>
      <c r="I1" s="4" t="s">
        <v>151</v>
      </c>
      <c r="J1" s="20" t="s">
        <v>160</v>
      </c>
      <c r="L1" s="15" t="s">
        <v>144</v>
      </c>
      <c r="M1" s="15">
        <v>1</v>
      </c>
      <c r="N1" s="15">
        <v>2</v>
      </c>
      <c r="O1" s="15">
        <v>3</v>
      </c>
      <c r="Q1" s="25" t="s">
        <v>143</v>
      </c>
      <c r="R1" s="26" t="s">
        <v>145</v>
      </c>
      <c r="S1" s="26" t="s">
        <v>146</v>
      </c>
      <c r="T1" s="26" t="s">
        <v>147</v>
      </c>
      <c r="U1" s="27" t="s">
        <v>148</v>
      </c>
      <c r="W1" s="15" t="s">
        <v>143</v>
      </c>
      <c r="X1" s="15" t="s">
        <v>142</v>
      </c>
      <c r="Y1" s="15" t="s">
        <v>152</v>
      </c>
      <c r="Z1" s="15" t="s">
        <v>153</v>
      </c>
      <c r="AA1" s="15" t="s">
        <v>157</v>
      </c>
      <c r="AB1" s="15"/>
    </row>
    <row r="2" spans="1:28" x14ac:dyDescent="0.3">
      <c r="A2" s="3">
        <v>2</v>
      </c>
      <c r="B2" s="3">
        <v>1</v>
      </c>
      <c r="C2" s="3">
        <v>1</v>
      </c>
      <c r="D2" s="3">
        <v>1</v>
      </c>
      <c r="E2" s="4">
        <v>2</v>
      </c>
      <c r="F2" s="3">
        <v>600</v>
      </c>
      <c r="G2" s="6">
        <v>4</v>
      </c>
      <c r="H2" s="17">
        <v>1</v>
      </c>
      <c r="I2" s="16">
        <v>2</v>
      </c>
      <c r="J2" s="16">
        <v>2</v>
      </c>
      <c r="L2" s="4" t="s">
        <v>104</v>
      </c>
      <c r="M2" s="4">
        <f xml:space="preserve"> AVERAGEIF(Table24567[Cụm lần 3],1,Table24567[Giới tính])</f>
        <v>1.5116279069767442</v>
      </c>
      <c r="N2" s="4">
        <f xml:space="preserve"> AVERAGEIF(Table24567[Cụm lần 3],2,Table24567[Giới tính])</f>
        <v>1.4102564102564104</v>
      </c>
      <c r="O2" s="4">
        <f xml:space="preserve"> AVERAGEIF(Table24567[Cụm lần 3],3,Table24567[Giới tính])</f>
        <v>1.6111111111111112</v>
      </c>
      <c r="Q2" s="13">
        <v>25</v>
      </c>
      <c r="R2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374.44185902074548</v>
      </c>
      <c r="S2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138.51545483971924</v>
      </c>
      <c r="T2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233.40543198266053</v>
      </c>
      <c r="U2" s="12">
        <f t="shared" ref="U2:U33" si="0">IF(MIN(R2,S2,T2) = R2, 1, IF(MIN(R2,S2,T2) = S2, 2,3))</f>
        <v>2</v>
      </c>
      <c r="W2" s="31" t="s">
        <v>154</v>
      </c>
      <c r="X2" s="4" t="s">
        <v>104</v>
      </c>
      <c r="Y2" s="4">
        <v>2</v>
      </c>
      <c r="Z2" s="4">
        <f xml:space="preserve"> AVERAGEIF(Table24567[Cụm lần 1],1,Table24567[Giới tính])</f>
        <v>1.5384615384615385</v>
      </c>
      <c r="AA2" s="28">
        <v>1.5116279069767442</v>
      </c>
      <c r="AB2" s="28">
        <v>1.5116279069767442</v>
      </c>
    </row>
    <row r="3" spans="1:28" x14ac:dyDescent="0.3">
      <c r="A3" s="3">
        <v>1</v>
      </c>
      <c r="B3" s="3">
        <v>1</v>
      </c>
      <c r="C3" s="3">
        <v>1</v>
      </c>
      <c r="D3" s="3">
        <v>1</v>
      </c>
      <c r="E3" s="4">
        <v>2</v>
      </c>
      <c r="F3" s="3">
        <v>200</v>
      </c>
      <c r="G3" s="6">
        <v>1</v>
      </c>
      <c r="H3" s="16">
        <v>1</v>
      </c>
      <c r="I3" s="16">
        <v>1</v>
      </c>
      <c r="J3" s="16">
        <v>1</v>
      </c>
      <c r="L3" s="4" t="s">
        <v>112</v>
      </c>
      <c r="M3" s="4">
        <f xml:space="preserve"> AVERAGEIF(Table24567[Cụm lần 3],1,Table24567[Khu vực])</f>
        <v>2.13953488372093</v>
      </c>
      <c r="N3" s="4">
        <f xml:space="preserve"> AVERAGEIF(Table24567[Cụm lần 3],2,Table24567[Khu vực])</f>
        <v>1.9230769230769231</v>
      </c>
      <c r="O3" s="4">
        <f xml:space="preserve"> AVERAGEIF(Table24567[Cụm lần 3],3,Table24567[Khu vực])</f>
        <v>2.2222222222222223</v>
      </c>
      <c r="Q3" s="13">
        <v>40</v>
      </c>
      <c r="R3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25.99657796675578</v>
      </c>
      <c r="S3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261.57034245106445</v>
      </c>
      <c r="T3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633.36349587044776</v>
      </c>
      <c r="U3" s="12">
        <f t="shared" si="0"/>
        <v>1</v>
      </c>
      <c r="W3" s="31"/>
      <c r="X3" s="4" t="s">
        <v>112</v>
      </c>
      <c r="Y3" s="4">
        <v>1</v>
      </c>
      <c r="Z3" s="4">
        <f xml:space="preserve"> AVERAGEIF(Table24567[Cụm lần 1],1,Table24567[Khu vực])</f>
        <v>1.9615384615384615</v>
      </c>
      <c r="AA3" s="28">
        <v>2.13953488372093</v>
      </c>
      <c r="AB3" s="28">
        <v>2.13953488372093</v>
      </c>
    </row>
    <row r="4" spans="1:28" x14ac:dyDescent="0.3">
      <c r="A4" s="3">
        <v>2</v>
      </c>
      <c r="B4" s="3">
        <v>1</v>
      </c>
      <c r="C4" s="3">
        <v>15</v>
      </c>
      <c r="D4" s="3">
        <v>1</v>
      </c>
      <c r="E4" s="4">
        <v>2</v>
      </c>
      <c r="F4" s="3">
        <v>200</v>
      </c>
      <c r="G4" s="6">
        <v>4</v>
      </c>
      <c r="H4" s="16">
        <v>1</v>
      </c>
      <c r="I4" s="16">
        <v>1</v>
      </c>
      <c r="J4" s="16">
        <v>1</v>
      </c>
      <c r="L4" s="4" t="s">
        <v>140</v>
      </c>
      <c r="M4" s="4">
        <f xml:space="preserve"> AVERAGEIF(Table24567[Cụm lần 3],1,Table24567[Tần suất mua hàng (tháng)])</f>
        <v>4.6511627906976747</v>
      </c>
      <c r="N4" s="4">
        <f xml:space="preserve"> AVERAGEIF(Table24567[Cụm lần 3],2,Table24567[Tần suất mua hàng (tháng)])</f>
        <v>3.8205128205128207</v>
      </c>
      <c r="O4" s="4">
        <f xml:space="preserve"> AVERAGEIF(Table24567[Cụm lần 3],3,Table24567[Tần suất mua hàng (tháng)])</f>
        <v>6</v>
      </c>
      <c r="Q4" s="13">
        <v>89</v>
      </c>
      <c r="R4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27.669288170136888</v>
      </c>
      <c r="S4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261.79061499841657</v>
      </c>
      <c r="T4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633.40410666941455</v>
      </c>
      <c r="U4" s="12">
        <f t="shared" si="0"/>
        <v>1</v>
      </c>
      <c r="W4" s="31"/>
      <c r="X4" s="4" t="s">
        <v>140</v>
      </c>
      <c r="Y4" s="4">
        <v>1</v>
      </c>
      <c r="Z4" s="4">
        <f xml:space="preserve"> AVERAGEIF(Table24567[Cụm lần 1],1,Table24567[Tần suất mua hàng (tháng)])</f>
        <v>4.2692307692307692</v>
      </c>
      <c r="AA4" s="28">
        <v>4.6511627906976747</v>
      </c>
      <c r="AB4" s="28">
        <v>4.6511627906976747</v>
      </c>
    </row>
    <row r="5" spans="1:28" x14ac:dyDescent="0.3">
      <c r="A5" s="3">
        <v>2</v>
      </c>
      <c r="B5" s="3">
        <v>1</v>
      </c>
      <c r="C5" s="3">
        <v>2</v>
      </c>
      <c r="D5" s="3">
        <v>2</v>
      </c>
      <c r="E5" s="4">
        <v>3</v>
      </c>
      <c r="F5" s="3">
        <v>500</v>
      </c>
      <c r="G5" s="6">
        <v>1</v>
      </c>
      <c r="H5" s="16">
        <v>2</v>
      </c>
      <c r="I5" s="16">
        <v>2</v>
      </c>
      <c r="J5" s="16">
        <v>2</v>
      </c>
      <c r="L5" s="4" t="s">
        <v>139</v>
      </c>
      <c r="M5" s="4">
        <f xml:space="preserve"> AVERAGEIF(Table24567[Cụm lần 3],1,Table24567[Số lượng sản phẩm mỗi đơn])</f>
        <v>1.8372093023255813</v>
      </c>
      <c r="N5" s="4">
        <f xml:space="preserve"> AVERAGEIF(Table24567[Cụm lần 3],2,Table24567[Số lượng sản phẩm mỗi đơn])</f>
        <v>2.6153846153846154</v>
      </c>
      <c r="O5" s="4">
        <f xml:space="preserve"> AVERAGEIF(Table24567[Cụm lần 3],3,Table24567[Số lượng sản phẩm mỗi đơn])</f>
        <v>3.3888888888888888</v>
      </c>
      <c r="Q5" s="13">
        <v>27</v>
      </c>
      <c r="R5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274.44279061727161</v>
      </c>
      <c r="S5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38.569523623338007</v>
      </c>
      <c r="T5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333.37014148625838</v>
      </c>
      <c r="U5" s="12">
        <f t="shared" si="0"/>
        <v>2</v>
      </c>
      <c r="W5" s="31"/>
      <c r="X5" s="4" t="s">
        <v>139</v>
      </c>
      <c r="Y5" s="4">
        <v>1</v>
      </c>
      <c r="Z5" s="4">
        <f xml:space="preserve"> AVERAGEIF(Table24567[Cụm lần 1],1,Table24567[Số lượng sản phẩm mỗi đơn])</f>
        <v>1.8653846153846154</v>
      </c>
      <c r="AA5" s="28">
        <v>1.8372093023255813</v>
      </c>
      <c r="AB5" s="28">
        <v>1.8372093023255813</v>
      </c>
    </row>
    <row r="6" spans="1:28" x14ac:dyDescent="0.3">
      <c r="A6" s="3">
        <v>1</v>
      </c>
      <c r="B6" s="3">
        <v>1</v>
      </c>
      <c r="C6" s="3">
        <v>3</v>
      </c>
      <c r="D6" s="3">
        <v>1</v>
      </c>
      <c r="E6" s="4">
        <v>3</v>
      </c>
      <c r="F6" s="3">
        <v>800</v>
      </c>
      <c r="G6" s="6">
        <v>4</v>
      </c>
      <c r="H6" s="16">
        <v>1</v>
      </c>
      <c r="I6" s="16">
        <v>3</v>
      </c>
      <c r="J6" s="16">
        <v>3</v>
      </c>
      <c r="L6" s="4" t="s">
        <v>141</v>
      </c>
      <c r="M6" s="4">
        <f xml:space="preserve"> AVERAGEIF(Table24567[Cụm lần 3],1,Table24567[Loại sản phẩm quan tâm])</f>
        <v>3.0697674418604652</v>
      </c>
      <c r="N6" s="4">
        <f xml:space="preserve"> AVERAGEIF(Table24567[Cụm lần 3],2,Table24567[Loại sản phẩm quan tâm])</f>
        <v>3.3333333333333335</v>
      </c>
      <c r="O6" s="4">
        <f xml:space="preserve"> AVERAGEIF(Table24567[Cụm lần 3],3,Table24567[Loại sản phẩm quan tâm])</f>
        <v>2.8333333333333335</v>
      </c>
      <c r="Q6" s="13">
        <v>37</v>
      </c>
      <c r="R6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574.42356037783168</v>
      </c>
      <c r="S6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338.47011449896354</v>
      </c>
      <c r="T6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33.590443599848015</v>
      </c>
      <c r="U6" s="12">
        <f t="shared" si="0"/>
        <v>3</v>
      </c>
      <c r="W6" s="31"/>
      <c r="X6" s="4" t="s">
        <v>141</v>
      </c>
      <c r="Y6" s="4">
        <v>2</v>
      </c>
      <c r="Z6" s="4">
        <f xml:space="preserve"> AVERAGEIF(Table24567[Cụm lần 1],1,Table24567[Loại sản phẩm quan tâm])</f>
        <v>1.6923076923076923</v>
      </c>
      <c r="AA6" s="28">
        <v>3.0697674418604652</v>
      </c>
      <c r="AB6" s="28">
        <v>3.0697674418604652</v>
      </c>
    </row>
    <row r="7" spans="1:28" x14ac:dyDescent="0.3">
      <c r="A7" s="3">
        <v>2</v>
      </c>
      <c r="B7" s="3">
        <v>1</v>
      </c>
      <c r="C7" s="3">
        <v>1</v>
      </c>
      <c r="D7" s="3">
        <v>1</v>
      </c>
      <c r="E7" s="4">
        <v>3</v>
      </c>
      <c r="F7" s="3">
        <v>700</v>
      </c>
      <c r="G7" s="6">
        <v>2</v>
      </c>
      <c r="H7" s="16">
        <v>1</v>
      </c>
      <c r="I7" s="16">
        <v>3</v>
      </c>
      <c r="J7" s="16">
        <v>3</v>
      </c>
      <c r="L7" s="4" t="s">
        <v>142</v>
      </c>
      <c r="M7" s="4">
        <f xml:space="preserve"> AVERAGEIF(Table24567[Cụm lần 3],1,Table24567[Giá trị mỗi đơn (Nghìn)])</f>
        <v>225.58139534883722</v>
      </c>
      <c r="N7" s="4">
        <f xml:space="preserve"> AVERAGEIF(Table24567[Cụm lần 3],2,Table24567[Giá trị mỗi đơn (Nghìn)])</f>
        <v>461.53846153846155</v>
      </c>
      <c r="O7" s="4">
        <f xml:space="preserve"> AVERAGEIF(Table24567[Cụm lần 3],3,Table24567[Giá trị mỗi đơn (Nghìn)])</f>
        <v>833.33333333333337</v>
      </c>
      <c r="Q7" s="13">
        <v>57</v>
      </c>
      <c r="R7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474.43644289309333</v>
      </c>
      <c r="S7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238.48784938939212</v>
      </c>
      <c r="T7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133.46029834586733</v>
      </c>
      <c r="U7" s="12">
        <f t="shared" si="0"/>
        <v>3</v>
      </c>
      <c r="W7" s="31"/>
      <c r="X7" s="4" t="s">
        <v>142</v>
      </c>
      <c r="Y7" s="4">
        <v>600</v>
      </c>
      <c r="Z7" s="4">
        <f xml:space="preserve"> AVERAGEIF(Table24567[Cụm lần 1],1,Table24567[Giá trị mỗi đơn (Nghìn)])</f>
        <v>357.69230769230768</v>
      </c>
      <c r="AA7" s="28">
        <v>225.58139534883722</v>
      </c>
      <c r="AB7" s="28">
        <v>225.58139534883722</v>
      </c>
    </row>
    <row r="8" spans="1:28" x14ac:dyDescent="0.3">
      <c r="A8" s="3">
        <v>1</v>
      </c>
      <c r="B8" s="3">
        <v>1</v>
      </c>
      <c r="C8" s="3">
        <v>1</v>
      </c>
      <c r="D8" s="3">
        <v>1</v>
      </c>
      <c r="E8" s="4">
        <v>3</v>
      </c>
      <c r="F8" s="3">
        <v>500</v>
      </c>
      <c r="G8" s="6">
        <v>4</v>
      </c>
      <c r="H8" s="16">
        <v>1</v>
      </c>
      <c r="I8" s="16">
        <v>2</v>
      </c>
      <c r="J8" s="16">
        <v>2</v>
      </c>
      <c r="L8" s="4" t="s">
        <v>113</v>
      </c>
      <c r="M8" s="4">
        <f xml:space="preserve"> AVERAGEIF(Table24567[Cụm lần 3],1,Table24567[Thời gian])</f>
        <v>3.1627906976744184</v>
      </c>
      <c r="N8" s="4">
        <f xml:space="preserve"> AVERAGEIF(Table24567[Cụm lần 3],2,Table24567[Thời gian])</f>
        <v>2.8205128205128207</v>
      </c>
      <c r="O8" s="4">
        <f xml:space="preserve"> AVERAGEIF(Table24567[Cụm lần 3],3,Table24567[Thời gian])</f>
        <v>3.2222222222222223</v>
      </c>
      <c r="Q8" s="13">
        <v>59</v>
      </c>
      <c r="R8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274.4482985511288</v>
      </c>
      <c r="S8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38.631300564444622</v>
      </c>
      <c r="T8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333.38313979749273</v>
      </c>
      <c r="U8" s="12">
        <f t="shared" si="0"/>
        <v>2</v>
      </c>
      <c r="W8" s="31"/>
      <c r="X8" s="4" t="s">
        <v>113</v>
      </c>
      <c r="Y8" s="4">
        <v>4</v>
      </c>
      <c r="Z8" s="4">
        <f xml:space="preserve"> AVERAGEIF(Table24567[Cụm lần 1],1,Table24567[Thời gian])</f>
        <v>3.2884615384615383</v>
      </c>
      <c r="AA8" s="28">
        <v>3.1627906976744184</v>
      </c>
      <c r="AB8" s="28">
        <v>3.1627906976744184</v>
      </c>
    </row>
    <row r="9" spans="1:28" x14ac:dyDescent="0.3">
      <c r="A9" s="3">
        <v>2</v>
      </c>
      <c r="B9" s="3">
        <v>1</v>
      </c>
      <c r="C9" s="3">
        <v>5</v>
      </c>
      <c r="D9" s="3">
        <v>1</v>
      </c>
      <c r="E9" s="4">
        <v>2</v>
      </c>
      <c r="F9" s="3">
        <v>200</v>
      </c>
      <c r="G9" s="6">
        <v>4</v>
      </c>
      <c r="H9" s="16">
        <v>1</v>
      </c>
      <c r="I9" s="16">
        <v>1</v>
      </c>
      <c r="J9" s="16">
        <v>1</v>
      </c>
      <c r="Q9" s="13">
        <v>63</v>
      </c>
      <c r="R9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25.663451904528173</v>
      </c>
      <c r="S9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261.55446155181414</v>
      </c>
      <c r="T9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633.34095268321244</v>
      </c>
      <c r="U9" s="12">
        <f t="shared" si="0"/>
        <v>1</v>
      </c>
      <c r="W9" s="31" t="s">
        <v>155</v>
      </c>
      <c r="X9" s="4" t="s">
        <v>104</v>
      </c>
      <c r="Y9" s="4">
        <v>2</v>
      </c>
      <c r="Z9" s="4">
        <f xml:space="preserve"> AVERAGEIF(Table24567[Cụm lần 1],2,Table24567[Giới tính])</f>
        <v>1.3611111111111112</v>
      </c>
      <c r="AA9" s="28">
        <v>1.4102564102564104</v>
      </c>
      <c r="AB9" s="28">
        <v>1.4102564102564104</v>
      </c>
    </row>
    <row r="10" spans="1:28" x14ac:dyDescent="0.3">
      <c r="A10" s="3">
        <v>2</v>
      </c>
      <c r="B10" s="3">
        <v>1</v>
      </c>
      <c r="C10" s="3">
        <v>1</v>
      </c>
      <c r="D10" s="3">
        <v>3</v>
      </c>
      <c r="E10" s="4">
        <v>2</v>
      </c>
      <c r="F10" s="3">
        <v>100</v>
      </c>
      <c r="G10" s="6">
        <v>4</v>
      </c>
      <c r="H10" s="16">
        <v>1</v>
      </c>
      <c r="I10" s="16">
        <v>1</v>
      </c>
      <c r="J10" s="16">
        <v>1</v>
      </c>
      <c r="L10" s="36" t="s">
        <v>163</v>
      </c>
      <c r="M10" s="36"/>
      <c r="N10" s="36"/>
      <c r="O10" s="36"/>
      <c r="Q10" s="13">
        <v>70</v>
      </c>
      <c r="R10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125.65330198024942</v>
      </c>
      <c r="S10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361.55570971767867</v>
      </c>
      <c r="T10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733.35248922792255</v>
      </c>
      <c r="U10" s="12">
        <f t="shared" si="0"/>
        <v>1</v>
      </c>
      <c r="W10" s="31"/>
      <c r="X10" s="4" t="s">
        <v>112</v>
      </c>
      <c r="Y10" s="4">
        <v>2</v>
      </c>
      <c r="Z10" s="4">
        <f xml:space="preserve"> AVERAGEIF(Table24567[Cụm lần 1],2,Table24567[Khu vực])</f>
        <v>2.1388888888888888</v>
      </c>
      <c r="AA10" s="28">
        <v>1.9230769230769231</v>
      </c>
      <c r="AB10" s="28">
        <v>1.9230769230769231</v>
      </c>
    </row>
    <row r="11" spans="1:28" x14ac:dyDescent="0.3">
      <c r="A11" s="3">
        <v>2</v>
      </c>
      <c r="B11" s="3">
        <v>1</v>
      </c>
      <c r="C11" s="3">
        <v>8</v>
      </c>
      <c r="D11" s="3">
        <v>1</v>
      </c>
      <c r="E11" s="4">
        <v>2</v>
      </c>
      <c r="F11" s="3">
        <v>600</v>
      </c>
      <c r="G11" s="6">
        <v>4</v>
      </c>
      <c r="H11" s="16">
        <v>1</v>
      </c>
      <c r="I11" s="16">
        <v>2</v>
      </c>
      <c r="J11" s="16">
        <v>2</v>
      </c>
      <c r="L11" s="37" t="s">
        <v>149</v>
      </c>
      <c r="M11" s="38"/>
      <c r="N11" s="38"/>
      <c r="O11" s="39"/>
      <c r="Q11" s="13">
        <v>81</v>
      </c>
      <c r="R11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374.43903309863686</v>
      </c>
      <c r="S11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138.54978906504016</v>
      </c>
      <c r="T11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233.36044154700335</v>
      </c>
      <c r="U11" s="12">
        <f t="shared" si="0"/>
        <v>2</v>
      </c>
      <c r="W11" s="31"/>
      <c r="X11" s="4" t="s">
        <v>140</v>
      </c>
      <c r="Y11" s="4">
        <v>1</v>
      </c>
      <c r="Z11" s="4">
        <f xml:space="preserve"> AVERAGEIF(Table24567[Cụm lần 1],2,Table24567[Tần suất mua hàng (tháng)])</f>
        <v>3.9444444444444446</v>
      </c>
      <c r="AA11" s="28">
        <v>3.8205128205128207</v>
      </c>
      <c r="AB11" s="28">
        <v>3.8205128205128207</v>
      </c>
    </row>
    <row r="12" spans="1:28" x14ac:dyDescent="0.3">
      <c r="A12" s="3">
        <v>1</v>
      </c>
      <c r="B12" s="3">
        <v>1</v>
      </c>
      <c r="C12" s="3">
        <v>3</v>
      </c>
      <c r="D12" s="3">
        <v>1</v>
      </c>
      <c r="E12" s="4">
        <v>1</v>
      </c>
      <c r="F12" s="3">
        <v>100</v>
      </c>
      <c r="G12" s="6">
        <v>4</v>
      </c>
      <c r="H12" s="16">
        <v>1</v>
      </c>
      <c r="I12" s="16">
        <v>1</v>
      </c>
      <c r="J12" s="16">
        <v>1</v>
      </c>
      <c r="L12" s="40"/>
      <c r="M12" s="41"/>
      <c r="N12" s="41"/>
      <c r="O12" s="42"/>
      <c r="Q12" s="13">
        <v>98</v>
      </c>
      <c r="R12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125.6210940697618</v>
      </c>
      <c r="S12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361.55386582931317</v>
      </c>
      <c r="T12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733.34733782924081</v>
      </c>
      <c r="U12" s="12">
        <f t="shared" si="0"/>
        <v>1</v>
      </c>
      <c r="W12" s="31"/>
      <c r="X12" s="4" t="s">
        <v>139</v>
      </c>
      <c r="Y12" s="4">
        <v>1</v>
      </c>
      <c r="Z12" s="4">
        <f xml:space="preserve"> AVERAGEIF(Table24567[Cụm lần 1],2,Table24567[Số lượng sản phẩm mỗi đơn])</f>
        <v>2.7222222222222223</v>
      </c>
      <c r="AA12" s="28">
        <v>2.6153846153846154</v>
      </c>
      <c r="AB12" s="28">
        <v>2.6153846153846154</v>
      </c>
    </row>
    <row r="13" spans="1:28" x14ac:dyDescent="0.3">
      <c r="A13" s="3">
        <v>2</v>
      </c>
      <c r="B13" s="3">
        <v>1</v>
      </c>
      <c r="C13" s="3">
        <v>1</v>
      </c>
      <c r="D13" s="3">
        <v>1</v>
      </c>
      <c r="E13" s="4">
        <v>1</v>
      </c>
      <c r="F13" s="3">
        <v>400</v>
      </c>
      <c r="G13" s="6">
        <v>4</v>
      </c>
      <c r="H13" s="16">
        <v>1</v>
      </c>
      <c r="I13" s="16">
        <v>2</v>
      </c>
      <c r="J13" s="16">
        <v>2</v>
      </c>
      <c r="Q13" s="13">
        <v>4</v>
      </c>
      <c r="R13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174.47751563261795</v>
      </c>
      <c r="S13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61.689403559327666</v>
      </c>
      <c r="T13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433.37523657797101</v>
      </c>
      <c r="U13" s="12">
        <f t="shared" si="0"/>
        <v>2</v>
      </c>
      <c r="W13" s="31"/>
      <c r="X13" s="4" t="s">
        <v>141</v>
      </c>
      <c r="Y13" s="4">
        <v>5</v>
      </c>
      <c r="Z13" s="4">
        <f xml:space="preserve"> AVERAGEIF(Table24567[Cụm lần 1],2,Table24567[Loại sản phẩm quan tâm])</f>
        <v>5.3611111111111107</v>
      </c>
      <c r="AA13" s="28">
        <v>3.3333333333333335</v>
      </c>
      <c r="AB13" s="28">
        <v>3.3333333333333335</v>
      </c>
    </row>
    <row r="14" spans="1:28" x14ac:dyDescent="0.3">
      <c r="A14" s="3">
        <v>2</v>
      </c>
      <c r="B14" s="3">
        <v>1</v>
      </c>
      <c r="C14" s="3">
        <v>4</v>
      </c>
      <c r="D14" s="3">
        <v>1</v>
      </c>
      <c r="E14" s="4">
        <v>3</v>
      </c>
      <c r="F14" s="3">
        <v>600</v>
      </c>
      <c r="G14" s="6">
        <v>3</v>
      </c>
      <c r="H14" s="16">
        <v>1</v>
      </c>
      <c r="I14" s="16">
        <v>2</v>
      </c>
      <c r="J14" s="16">
        <v>2</v>
      </c>
      <c r="Q14" s="13">
        <v>32</v>
      </c>
      <c r="R14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374.42220134051786</v>
      </c>
      <c r="S14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138.47592755242908</v>
      </c>
      <c r="T14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233.35782278893103</v>
      </c>
      <c r="U14" s="12">
        <f t="shared" si="0"/>
        <v>2</v>
      </c>
      <c r="W14" s="31"/>
      <c r="X14" s="4" t="s">
        <v>142</v>
      </c>
      <c r="Y14" s="4">
        <v>600</v>
      </c>
      <c r="Z14" s="4">
        <f xml:space="preserve"> AVERAGEIF(Table24567[Cụm lần 1],2,Table24567[Giá trị mỗi đơn (Nghìn)])</f>
        <v>372.22222222222223</v>
      </c>
      <c r="AA14" s="28">
        <v>461.53846153846155</v>
      </c>
      <c r="AB14" s="28">
        <v>461.53846153846155</v>
      </c>
    </row>
    <row r="15" spans="1:28" x14ac:dyDescent="0.3">
      <c r="A15" s="3">
        <v>2</v>
      </c>
      <c r="B15" s="3">
        <v>1</v>
      </c>
      <c r="C15" s="3">
        <v>1</v>
      </c>
      <c r="D15" s="3">
        <v>4</v>
      </c>
      <c r="E15" s="4">
        <v>3</v>
      </c>
      <c r="F15" s="3">
        <v>500</v>
      </c>
      <c r="G15" s="6">
        <v>3</v>
      </c>
      <c r="H15" s="16">
        <v>1</v>
      </c>
      <c r="I15" s="16">
        <v>2</v>
      </c>
      <c r="J15" s="16">
        <v>2</v>
      </c>
      <c r="L15" s="21"/>
      <c r="M15" s="21"/>
      <c r="N15" s="21"/>
      <c r="O15" s="21"/>
      <c r="Q15" s="13">
        <v>49</v>
      </c>
      <c r="R15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274.45427241596542</v>
      </c>
      <c r="S15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38.607066560782165</v>
      </c>
      <c r="T15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333.37397437431059</v>
      </c>
      <c r="U15" s="12">
        <f t="shared" si="0"/>
        <v>2</v>
      </c>
      <c r="W15" s="31"/>
      <c r="X15" s="4" t="s">
        <v>113</v>
      </c>
      <c r="Y15" s="4">
        <v>1</v>
      </c>
      <c r="Z15" s="4">
        <f xml:space="preserve"> AVERAGEIF(Table24567[Cụm lần 1],2,Table24567[Thời gian])</f>
        <v>2.5833333333333335</v>
      </c>
      <c r="AA15" s="28">
        <v>2.8205128205128207</v>
      </c>
      <c r="AB15" s="28">
        <v>2.8205128205128207</v>
      </c>
    </row>
    <row r="16" spans="1:28" x14ac:dyDescent="0.3">
      <c r="A16" s="3">
        <v>1</v>
      </c>
      <c r="B16" s="3">
        <v>1</v>
      </c>
      <c r="C16" s="3">
        <v>10</v>
      </c>
      <c r="D16" s="3">
        <v>5</v>
      </c>
      <c r="E16" s="4">
        <v>3</v>
      </c>
      <c r="F16" s="3">
        <v>1000</v>
      </c>
      <c r="G16" s="6">
        <v>4</v>
      </c>
      <c r="H16" s="16">
        <v>3</v>
      </c>
      <c r="I16" s="16">
        <v>3</v>
      </c>
      <c r="J16" s="16">
        <v>3</v>
      </c>
      <c r="L16" s="21"/>
      <c r="M16" s="21"/>
      <c r="N16" s="21"/>
      <c r="O16" s="21"/>
      <c r="Q16" s="13">
        <v>50</v>
      </c>
      <c r="R16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774.44499780431227</v>
      </c>
      <c r="S16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538.50461793483873</v>
      </c>
      <c r="T16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166.72994169251697</v>
      </c>
      <c r="U16" s="12">
        <f t="shared" si="0"/>
        <v>3</v>
      </c>
      <c r="W16" s="31" t="s">
        <v>156</v>
      </c>
      <c r="X16" s="4" t="s">
        <v>104</v>
      </c>
      <c r="Y16" s="4">
        <v>2</v>
      </c>
      <c r="Z16" s="4">
        <f xml:space="preserve"> AVERAGEIF(Table24567[Cụm lần 1],3,Table24567[Giới tính])</f>
        <v>1.6666666666666667</v>
      </c>
      <c r="AA16" s="28">
        <v>1.6111111111111112</v>
      </c>
      <c r="AB16" s="28">
        <v>1.6111111111111112</v>
      </c>
    </row>
    <row r="17" spans="1:28" x14ac:dyDescent="0.3">
      <c r="A17" s="3">
        <v>2</v>
      </c>
      <c r="B17" s="3">
        <v>1</v>
      </c>
      <c r="C17" s="3">
        <v>1</v>
      </c>
      <c r="D17" s="3">
        <v>1</v>
      </c>
      <c r="E17" s="4">
        <v>3</v>
      </c>
      <c r="F17" s="3">
        <v>200</v>
      </c>
      <c r="G17" s="6">
        <v>4</v>
      </c>
      <c r="H17" s="16">
        <v>1</v>
      </c>
      <c r="I17" s="16">
        <v>1</v>
      </c>
      <c r="J17" s="16">
        <v>1</v>
      </c>
      <c r="L17" s="21"/>
      <c r="M17" s="21"/>
      <c r="N17" s="21"/>
      <c r="O17" s="21"/>
      <c r="Q17" s="13">
        <v>55</v>
      </c>
      <c r="R17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25.897539093471629</v>
      </c>
      <c r="S17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261.56382355661663</v>
      </c>
      <c r="T17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633.35937324635245</v>
      </c>
      <c r="U17" s="12">
        <f t="shared" si="0"/>
        <v>1</v>
      </c>
      <c r="W17" s="31"/>
      <c r="X17" s="4" t="s">
        <v>112</v>
      </c>
      <c r="Y17" s="4">
        <v>3</v>
      </c>
      <c r="Z17" s="4">
        <f xml:space="preserve"> AVERAGEIF(Table24567[Cụm lần 1],3,Table24567[Khu vực])</f>
        <v>2.3333333333333335</v>
      </c>
      <c r="AA17" s="28">
        <v>2.2222222222222223</v>
      </c>
      <c r="AB17" s="28">
        <v>2.2222222222222223</v>
      </c>
    </row>
    <row r="18" spans="1:28" x14ac:dyDescent="0.3">
      <c r="A18" s="3">
        <v>2</v>
      </c>
      <c r="B18" s="3">
        <v>1</v>
      </c>
      <c r="C18" s="3">
        <v>4</v>
      </c>
      <c r="D18" s="3">
        <v>1</v>
      </c>
      <c r="E18" s="4">
        <v>3</v>
      </c>
      <c r="F18" s="3">
        <v>200</v>
      </c>
      <c r="G18" s="6">
        <v>4</v>
      </c>
      <c r="H18" s="16">
        <v>1</v>
      </c>
      <c r="I18" s="16">
        <v>1</v>
      </c>
      <c r="J18" s="16">
        <v>1</v>
      </c>
      <c r="L18" s="21"/>
      <c r="M18" s="21"/>
      <c r="N18" s="21"/>
      <c r="O18" s="21"/>
      <c r="Q18" s="13">
        <v>26</v>
      </c>
      <c r="R18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25.64713540249096</v>
      </c>
      <c r="S18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261.54867752797719</v>
      </c>
      <c r="T18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633.34279476363542</v>
      </c>
      <c r="U18" s="12">
        <f t="shared" si="0"/>
        <v>1</v>
      </c>
      <c r="W18" s="31"/>
      <c r="X18" s="4" t="s">
        <v>140</v>
      </c>
      <c r="Y18" s="4">
        <v>3</v>
      </c>
      <c r="Z18" s="4">
        <f xml:space="preserve"> AVERAGEIF(Table24567[Cụm lần 1],3,Table24567[Tần suất mua hàng (tháng)])</f>
        <v>7.75</v>
      </c>
      <c r="AA18" s="28">
        <v>6</v>
      </c>
      <c r="AB18" s="28">
        <v>6</v>
      </c>
    </row>
    <row r="19" spans="1:28" x14ac:dyDescent="0.3">
      <c r="A19" s="3">
        <v>2</v>
      </c>
      <c r="B19" s="3">
        <v>1</v>
      </c>
      <c r="C19" s="3">
        <v>4</v>
      </c>
      <c r="D19" s="3">
        <v>1</v>
      </c>
      <c r="E19" s="4">
        <v>2</v>
      </c>
      <c r="F19" s="3">
        <v>200</v>
      </c>
      <c r="G19" s="6">
        <v>4</v>
      </c>
      <c r="H19" s="16">
        <v>1</v>
      </c>
      <c r="I19" s="16">
        <v>1</v>
      </c>
      <c r="J19" s="16">
        <v>1</v>
      </c>
      <c r="L19" s="21"/>
      <c r="M19" s="21"/>
      <c r="N19" s="21"/>
      <c r="O19" s="21"/>
      <c r="Q19" s="13">
        <v>41</v>
      </c>
      <c r="R19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25.669341425861049</v>
      </c>
      <c r="S19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261.55186365862596</v>
      </c>
      <c r="T19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633.34332107134367</v>
      </c>
      <c r="U19" s="12">
        <f t="shared" si="0"/>
        <v>1</v>
      </c>
      <c r="W19" s="31"/>
      <c r="X19" s="4" t="s">
        <v>139</v>
      </c>
      <c r="Y19" s="4">
        <v>5</v>
      </c>
      <c r="Z19" s="4">
        <f xml:space="preserve"> AVERAGEIF(Table24567[Cụm lần 1],3,Table24567[Số lượng sản phẩm mỗi đơn])</f>
        <v>3.9166666666666665</v>
      </c>
      <c r="AA19" s="28">
        <v>3.3888888888888888</v>
      </c>
      <c r="AB19" s="28">
        <v>3.3888888888888888</v>
      </c>
    </row>
    <row r="20" spans="1:28" x14ac:dyDescent="0.3">
      <c r="A20" s="3">
        <v>2</v>
      </c>
      <c r="B20" s="3">
        <v>1</v>
      </c>
      <c r="C20" s="3">
        <v>8</v>
      </c>
      <c r="D20" s="3">
        <v>2</v>
      </c>
      <c r="E20" s="4">
        <v>2</v>
      </c>
      <c r="F20" s="3">
        <v>400</v>
      </c>
      <c r="G20" s="6">
        <v>4</v>
      </c>
      <c r="H20" s="16">
        <v>1</v>
      </c>
      <c r="I20" s="16">
        <v>2</v>
      </c>
      <c r="J20" s="16">
        <v>2</v>
      </c>
      <c r="L20" s="21"/>
      <c r="M20" s="21"/>
      <c r="N20" s="21"/>
      <c r="O20" s="21"/>
      <c r="Q20" s="13">
        <v>3</v>
      </c>
      <c r="R20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174.46052054482786</v>
      </c>
      <c r="S20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61.718699728048172</v>
      </c>
      <c r="T20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433.34357181636824</v>
      </c>
      <c r="U20" s="12">
        <f t="shared" si="0"/>
        <v>2</v>
      </c>
      <c r="W20" s="31"/>
      <c r="X20" s="4" t="s">
        <v>141</v>
      </c>
      <c r="Y20" s="4">
        <v>1</v>
      </c>
      <c r="Z20" s="4">
        <f xml:space="preserve"> AVERAGEIF(Table24567[Cụm lần 1],3,Table24567[Loại sản phẩm quan tâm])</f>
        <v>2.6666666666666665</v>
      </c>
      <c r="AA20" s="28">
        <v>2.8333333333333335</v>
      </c>
      <c r="AB20" s="28">
        <v>2.8333333333333335</v>
      </c>
    </row>
    <row r="21" spans="1:28" x14ac:dyDescent="0.3">
      <c r="A21" s="3">
        <v>2</v>
      </c>
      <c r="B21" s="3">
        <v>1</v>
      </c>
      <c r="C21" s="3">
        <v>6</v>
      </c>
      <c r="D21" s="3">
        <v>1</v>
      </c>
      <c r="E21" s="4">
        <v>2</v>
      </c>
      <c r="F21" s="3">
        <v>200</v>
      </c>
      <c r="G21" s="6">
        <v>4</v>
      </c>
      <c r="H21" s="16">
        <v>1</v>
      </c>
      <c r="I21" s="16">
        <v>1</v>
      </c>
      <c r="J21" s="16">
        <v>1</v>
      </c>
      <c r="L21" s="21"/>
      <c r="M21" s="21"/>
      <c r="N21" s="21"/>
      <c r="O21" s="21"/>
      <c r="Q21" s="13">
        <v>20</v>
      </c>
      <c r="R21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25.696506339863312</v>
      </c>
      <c r="S21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261.56088264879827</v>
      </c>
      <c r="T21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633.3401632185338</v>
      </c>
      <c r="U21" s="12">
        <f t="shared" si="0"/>
        <v>1</v>
      </c>
      <c r="W21" s="31"/>
      <c r="X21" s="4" t="s">
        <v>142</v>
      </c>
      <c r="Y21" s="4">
        <v>1000</v>
      </c>
      <c r="Z21" s="4">
        <f xml:space="preserve"> AVERAGEIF(Table24567[Cụm lần 1],3,Table24567[Giá trị mỗi đơn (Nghìn)])</f>
        <v>891.66666666666663</v>
      </c>
      <c r="AA21" s="28">
        <v>833.33333333333337</v>
      </c>
      <c r="AB21" s="28">
        <v>833.33333333333337</v>
      </c>
    </row>
    <row r="22" spans="1:28" x14ac:dyDescent="0.3">
      <c r="A22" s="3">
        <v>2</v>
      </c>
      <c r="B22" s="3">
        <v>1</v>
      </c>
      <c r="C22" s="3">
        <v>4</v>
      </c>
      <c r="D22" s="3">
        <v>3</v>
      </c>
      <c r="E22" s="4">
        <v>1</v>
      </c>
      <c r="F22" s="3">
        <v>800</v>
      </c>
      <c r="G22" s="6">
        <v>4</v>
      </c>
      <c r="H22" s="16">
        <v>3</v>
      </c>
      <c r="I22" s="16">
        <v>3</v>
      </c>
      <c r="J22" s="16">
        <v>3</v>
      </c>
      <c r="L22" s="21"/>
      <c r="M22" s="21"/>
      <c r="N22" s="21"/>
      <c r="O22" s="21"/>
      <c r="Q22" s="13">
        <v>42</v>
      </c>
      <c r="R22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574.42582756027537</v>
      </c>
      <c r="S22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338.47367499607964</v>
      </c>
      <c r="T22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33.479448274876425</v>
      </c>
      <c r="U22" s="12">
        <f t="shared" si="0"/>
        <v>3</v>
      </c>
      <c r="W22" s="31"/>
      <c r="X22" s="4" t="s">
        <v>113</v>
      </c>
      <c r="Y22" s="4">
        <v>4</v>
      </c>
      <c r="Z22" s="4">
        <f xml:space="preserve"> AVERAGEIF(Table24567[Cụm lần 1],3,Table24567[Thời gian])</f>
        <v>3.3333333333333335</v>
      </c>
      <c r="AA22" s="28">
        <v>3.2222222222222223</v>
      </c>
      <c r="AB22" s="28">
        <v>3.2222222222222223</v>
      </c>
    </row>
    <row r="23" spans="1:28" x14ac:dyDescent="0.3">
      <c r="A23" s="3">
        <v>1</v>
      </c>
      <c r="B23" s="3">
        <v>1</v>
      </c>
      <c r="C23" s="3">
        <v>1</v>
      </c>
      <c r="D23" s="3">
        <v>1</v>
      </c>
      <c r="E23" s="4">
        <v>1</v>
      </c>
      <c r="F23" s="3">
        <v>300</v>
      </c>
      <c r="G23" s="6">
        <v>4</v>
      </c>
      <c r="H23" s="16">
        <v>1</v>
      </c>
      <c r="I23" s="16">
        <v>1</v>
      </c>
      <c r="J23" s="16">
        <v>1</v>
      </c>
      <c r="Q23" s="13">
        <v>56</v>
      </c>
      <c r="R23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74.556728649477662</v>
      </c>
      <c r="S23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161.5954681667107</v>
      </c>
      <c r="T23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533.36758859898987</v>
      </c>
      <c r="U23" s="12">
        <f t="shared" si="0"/>
        <v>1</v>
      </c>
    </row>
    <row r="24" spans="1:28" x14ac:dyDescent="0.3">
      <c r="A24" s="3">
        <v>1</v>
      </c>
      <c r="B24" s="3">
        <v>1</v>
      </c>
      <c r="C24" s="3">
        <v>4</v>
      </c>
      <c r="D24" s="3">
        <v>1</v>
      </c>
      <c r="E24" s="4">
        <v>1</v>
      </c>
      <c r="F24" s="3">
        <v>600</v>
      </c>
      <c r="G24" s="6">
        <v>1</v>
      </c>
      <c r="H24" s="16">
        <v>1</v>
      </c>
      <c r="I24" s="16">
        <v>2</v>
      </c>
      <c r="J24" s="16">
        <v>2</v>
      </c>
      <c r="Q24" s="13">
        <v>77</v>
      </c>
      <c r="R24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374.43415755650733</v>
      </c>
      <c r="S24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138.50638400067155</v>
      </c>
      <c r="T24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233.37591542666647</v>
      </c>
      <c r="U24" s="12">
        <f t="shared" si="0"/>
        <v>2</v>
      </c>
      <c r="W24" s="44" t="s">
        <v>161</v>
      </c>
      <c r="X24" s="44"/>
      <c r="Y24" s="44"/>
      <c r="Z24" s="44"/>
      <c r="AA24" s="44"/>
      <c r="AB24" s="44"/>
    </row>
    <row r="25" spans="1:28" x14ac:dyDescent="0.3">
      <c r="A25" s="3">
        <v>1</v>
      </c>
      <c r="B25" s="3">
        <v>1</v>
      </c>
      <c r="C25" s="3">
        <v>4</v>
      </c>
      <c r="D25" s="3">
        <v>4</v>
      </c>
      <c r="E25" s="4">
        <v>2</v>
      </c>
      <c r="F25" s="3">
        <v>400</v>
      </c>
      <c r="G25" s="6">
        <v>4</v>
      </c>
      <c r="H25" s="16">
        <v>1</v>
      </c>
      <c r="I25" s="16">
        <v>2</v>
      </c>
      <c r="J25" s="16">
        <v>2</v>
      </c>
      <c r="Q25" s="13">
        <v>82</v>
      </c>
      <c r="R25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174.44299054333635</v>
      </c>
      <c r="S25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61.588318478783386</v>
      </c>
      <c r="T25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433.34203338844782</v>
      </c>
      <c r="U25" s="12">
        <f t="shared" si="0"/>
        <v>2</v>
      </c>
      <c r="W25" s="43" t="s">
        <v>162</v>
      </c>
      <c r="X25" s="43"/>
      <c r="Y25" s="43"/>
      <c r="Z25" s="43"/>
      <c r="AA25" s="43"/>
      <c r="AB25" s="43"/>
    </row>
    <row r="26" spans="1:28" x14ac:dyDescent="0.3">
      <c r="A26" s="3">
        <v>1</v>
      </c>
      <c r="B26" s="3">
        <v>1</v>
      </c>
      <c r="C26" s="3">
        <v>4</v>
      </c>
      <c r="D26" s="3">
        <v>2</v>
      </c>
      <c r="E26" s="4">
        <v>3</v>
      </c>
      <c r="F26" s="3">
        <v>300</v>
      </c>
      <c r="G26" s="6">
        <v>2</v>
      </c>
      <c r="H26" s="16">
        <v>1</v>
      </c>
      <c r="I26" s="16">
        <v>1</v>
      </c>
      <c r="J26" s="16">
        <v>1</v>
      </c>
      <c r="Q26" s="13">
        <v>85</v>
      </c>
      <c r="R26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74.441228392512855</v>
      </c>
      <c r="S26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161.54531934975176</v>
      </c>
      <c r="T26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533.34206879420185</v>
      </c>
      <c r="U26" s="12">
        <f t="shared" si="0"/>
        <v>1</v>
      </c>
    </row>
    <row r="27" spans="1:28" x14ac:dyDescent="0.3">
      <c r="A27" s="3">
        <v>1</v>
      </c>
      <c r="B27" s="3">
        <v>1</v>
      </c>
      <c r="C27" s="3">
        <v>4</v>
      </c>
      <c r="D27" s="3">
        <v>4</v>
      </c>
      <c r="E27" s="4">
        <v>3</v>
      </c>
      <c r="F27" s="3">
        <v>400</v>
      </c>
      <c r="G27" s="6">
        <v>3</v>
      </c>
      <c r="H27" s="16">
        <v>1</v>
      </c>
      <c r="I27" s="16">
        <v>2</v>
      </c>
      <c r="J27" s="16">
        <v>2</v>
      </c>
      <c r="Q27" s="13">
        <v>12</v>
      </c>
      <c r="R27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174.43779119277499</v>
      </c>
      <c r="S27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61.56375014583184</v>
      </c>
      <c r="T27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433.34062315805608</v>
      </c>
      <c r="U27" s="12">
        <f t="shared" si="0"/>
        <v>2</v>
      </c>
      <c r="W27" s="30" t="s">
        <v>167</v>
      </c>
      <c r="X27" s="45" t="s">
        <v>168</v>
      </c>
      <c r="Y27" s="45"/>
    </row>
    <row r="28" spans="1:28" x14ac:dyDescent="0.3">
      <c r="A28" s="3">
        <v>1</v>
      </c>
      <c r="B28" s="3">
        <v>1</v>
      </c>
      <c r="C28" s="3">
        <v>3</v>
      </c>
      <c r="D28" s="3">
        <v>3</v>
      </c>
      <c r="E28" s="4">
        <v>6</v>
      </c>
      <c r="F28" s="3">
        <v>400</v>
      </c>
      <c r="G28" s="6">
        <v>4</v>
      </c>
      <c r="H28" s="16">
        <v>2</v>
      </c>
      <c r="I28" s="16">
        <v>2</v>
      </c>
      <c r="J28" s="16">
        <v>2</v>
      </c>
      <c r="Q28" s="13">
        <v>34</v>
      </c>
      <c r="R28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174.46138700111752</v>
      </c>
      <c r="S28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61.622448030317479</v>
      </c>
      <c r="T28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433.35831480698016</v>
      </c>
      <c r="U28" s="12">
        <f t="shared" si="0"/>
        <v>2</v>
      </c>
      <c r="W28" s="4">
        <v>1</v>
      </c>
      <c r="X28" s="31">
        <f>COUNTIF(Table24567[Cụm lần 3],1)</f>
        <v>43</v>
      </c>
      <c r="Y28" s="31"/>
    </row>
    <row r="29" spans="1:28" x14ac:dyDescent="0.3">
      <c r="A29" s="3">
        <v>1</v>
      </c>
      <c r="B29" s="3">
        <v>1</v>
      </c>
      <c r="C29" s="3">
        <v>5</v>
      </c>
      <c r="D29" s="3">
        <v>2</v>
      </c>
      <c r="E29" s="4">
        <v>6</v>
      </c>
      <c r="F29" s="3">
        <v>400</v>
      </c>
      <c r="G29" s="6">
        <v>2</v>
      </c>
      <c r="H29" s="16">
        <v>2</v>
      </c>
      <c r="I29" s="16">
        <v>2</v>
      </c>
      <c r="J29" s="16">
        <v>2</v>
      </c>
      <c r="Q29" s="13">
        <v>43</v>
      </c>
      <c r="R29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174.45198905310957</v>
      </c>
      <c r="S29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61.624320446394769</v>
      </c>
      <c r="T29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433.35216127188335</v>
      </c>
      <c r="U29" s="12">
        <f t="shared" si="0"/>
        <v>2</v>
      </c>
      <c r="W29" s="4">
        <v>2</v>
      </c>
      <c r="X29" s="31">
        <f>COUNTIF(Table24567[Cụm lần 3],2)</f>
        <v>39</v>
      </c>
      <c r="Y29" s="31"/>
    </row>
    <row r="30" spans="1:28" x14ac:dyDescent="0.3">
      <c r="A30" s="3">
        <v>1</v>
      </c>
      <c r="B30" s="3">
        <v>1</v>
      </c>
      <c r="C30" s="3">
        <v>3</v>
      </c>
      <c r="D30" s="3">
        <v>3</v>
      </c>
      <c r="E30" s="4">
        <v>6</v>
      </c>
      <c r="F30" s="3">
        <v>300</v>
      </c>
      <c r="G30" s="6">
        <v>1</v>
      </c>
      <c r="H30" s="16">
        <v>2</v>
      </c>
      <c r="I30" s="16">
        <v>1</v>
      </c>
      <c r="J30" s="16">
        <v>1</v>
      </c>
      <c r="Q30" s="13">
        <v>60</v>
      </c>
      <c r="R30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74.54549864550637</v>
      </c>
      <c r="S30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161.57642614522877</v>
      </c>
      <c r="T30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533.35769330942037</v>
      </c>
      <c r="U30" s="12">
        <f t="shared" si="0"/>
        <v>1</v>
      </c>
      <c r="W30" s="4">
        <v>3</v>
      </c>
      <c r="X30" s="31">
        <f>COUNTIF(Table24567[Cụm lần 3],3)</f>
        <v>18</v>
      </c>
      <c r="Y30" s="31"/>
    </row>
    <row r="31" spans="1:28" x14ac:dyDescent="0.3">
      <c r="A31" s="3">
        <v>1</v>
      </c>
      <c r="B31" s="3">
        <v>1</v>
      </c>
      <c r="C31" s="3">
        <v>7</v>
      </c>
      <c r="D31" s="3">
        <v>4</v>
      </c>
      <c r="E31" s="4">
        <v>6</v>
      </c>
      <c r="F31" s="3">
        <v>400</v>
      </c>
      <c r="G31" s="6">
        <v>3</v>
      </c>
      <c r="H31" s="16">
        <v>2</v>
      </c>
      <c r="I31" s="16">
        <v>2</v>
      </c>
      <c r="J31" s="16">
        <v>2</v>
      </c>
      <c r="Q31" s="13">
        <v>61</v>
      </c>
      <c r="R31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174.47698247854592</v>
      </c>
      <c r="S31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61.702287276042959</v>
      </c>
      <c r="T31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433.34869986999195</v>
      </c>
      <c r="U31" s="12">
        <f t="shared" si="0"/>
        <v>2</v>
      </c>
    </row>
    <row r="32" spans="1:28" x14ac:dyDescent="0.3">
      <c r="A32" s="3">
        <v>1</v>
      </c>
      <c r="B32" s="3">
        <v>1</v>
      </c>
      <c r="C32" s="3">
        <v>4</v>
      </c>
      <c r="D32" s="3">
        <v>2</v>
      </c>
      <c r="E32" s="4">
        <v>1</v>
      </c>
      <c r="F32" s="3">
        <v>300</v>
      </c>
      <c r="G32" s="6">
        <v>2</v>
      </c>
      <c r="H32" s="16">
        <v>1</v>
      </c>
      <c r="I32" s="16">
        <v>1</v>
      </c>
      <c r="J32" s="16">
        <v>1</v>
      </c>
      <c r="Q32" s="13">
        <v>66</v>
      </c>
      <c r="R32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74.469964108717704</v>
      </c>
      <c r="S32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161.56182574218025</v>
      </c>
      <c r="T32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533.34519373386354</v>
      </c>
      <c r="U32" s="12">
        <f t="shared" si="0"/>
        <v>1</v>
      </c>
    </row>
    <row r="33" spans="1:21" x14ac:dyDescent="0.3">
      <c r="A33" s="3">
        <v>2</v>
      </c>
      <c r="B33" s="3">
        <v>1</v>
      </c>
      <c r="C33" s="3">
        <v>3</v>
      </c>
      <c r="D33" s="3">
        <v>3</v>
      </c>
      <c r="E33" s="4">
        <v>3</v>
      </c>
      <c r="F33" s="3">
        <v>500</v>
      </c>
      <c r="G33" s="6">
        <v>2</v>
      </c>
      <c r="H33" s="16">
        <v>1</v>
      </c>
      <c r="I33" s="16">
        <v>2</v>
      </c>
      <c r="J33" s="16">
        <v>2</v>
      </c>
      <c r="Q33" s="13">
        <v>90</v>
      </c>
      <c r="R33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274.43130833819629</v>
      </c>
      <c r="S33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38.497991272511975</v>
      </c>
      <c r="T33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333.35180967312255</v>
      </c>
      <c r="U33" s="12">
        <f t="shared" si="0"/>
        <v>2</v>
      </c>
    </row>
    <row r="34" spans="1:21" x14ac:dyDescent="0.3">
      <c r="A34" s="3">
        <v>2</v>
      </c>
      <c r="B34" s="3">
        <v>1</v>
      </c>
      <c r="C34" s="3">
        <v>9</v>
      </c>
      <c r="D34" s="3">
        <v>2</v>
      </c>
      <c r="E34" s="4">
        <v>1</v>
      </c>
      <c r="F34" s="3">
        <v>300</v>
      </c>
      <c r="G34" s="6">
        <v>4</v>
      </c>
      <c r="H34" s="16">
        <v>1</v>
      </c>
      <c r="I34" s="16">
        <v>1</v>
      </c>
      <c r="J34" s="16">
        <v>1</v>
      </c>
      <c r="Q34" s="13">
        <v>6</v>
      </c>
      <c r="R34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74.589473170428519</v>
      </c>
      <c r="S34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161.64750491374411</v>
      </c>
      <c r="T34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533.34883947366131</v>
      </c>
      <c r="U34" s="12">
        <f t="shared" ref="U34:U65" si="1">IF(MIN(R34,S34,T34) = R34, 1, IF(MIN(R34,S34,T34) = S34, 2,3))</f>
        <v>1</v>
      </c>
    </row>
    <row r="35" spans="1:21" x14ac:dyDescent="0.3">
      <c r="A35" s="3">
        <v>2</v>
      </c>
      <c r="B35" s="3">
        <v>2</v>
      </c>
      <c r="C35" s="3">
        <v>3</v>
      </c>
      <c r="D35" s="3">
        <v>4</v>
      </c>
      <c r="E35" s="4">
        <v>1</v>
      </c>
      <c r="F35" s="3">
        <v>500</v>
      </c>
      <c r="G35" s="6">
        <v>2</v>
      </c>
      <c r="H35" s="16">
        <v>1</v>
      </c>
      <c r="I35" s="16">
        <v>2</v>
      </c>
      <c r="J35" s="16">
        <v>2</v>
      </c>
      <c r="Q35" s="13">
        <v>35</v>
      </c>
      <c r="R35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274.44283298641545</v>
      </c>
      <c r="S35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38.579162021417964</v>
      </c>
      <c r="T35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333.35497614923469</v>
      </c>
      <c r="U35" s="12">
        <f t="shared" si="1"/>
        <v>2</v>
      </c>
    </row>
    <row r="36" spans="1:21" x14ac:dyDescent="0.3">
      <c r="A36" s="3">
        <v>2</v>
      </c>
      <c r="B36" s="3">
        <v>2</v>
      </c>
      <c r="C36" s="3">
        <v>8</v>
      </c>
      <c r="D36" s="3">
        <v>2</v>
      </c>
      <c r="E36" s="4">
        <v>1</v>
      </c>
      <c r="F36" s="3">
        <v>900</v>
      </c>
      <c r="G36" s="6">
        <v>2</v>
      </c>
      <c r="H36" s="16">
        <v>3</v>
      </c>
      <c r="I36" s="16">
        <v>3</v>
      </c>
      <c r="J36" s="16">
        <v>3</v>
      </c>
      <c r="Q36" s="13">
        <v>65</v>
      </c>
      <c r="R36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674.43130822037176</v>
      </c>
      <c r="S36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438.48926887868305</v>
      </c>
      <c r="T36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66.7490000849876</v>
      </c>
      <c r="U36" s="12">
        <f t="shared" si="1"/>
        <v>3</v>
      </c>
    </row>
    <row r="37" spans="1:21" x14ac:dyDescent="0.3">
      <c r="A37" s="3">
        <v>2</v>
      </c>
      <c r="B37" s="3">
        <v>2</v>
      </c>
      <c r="C37" s="3">
        <v>8</v>
      </c>
      <c r="D37" s="3">
        <v>4</v>
      </c>
      <c r="E37" s="4">
        <v>1</v>
      </c>
      <c r="F37" s="3">
        <v>300</v>
      </c>
      <c r="G37" s="6">
        <v>4</v>
      </c>
      <c r="H37" s="16">
        <v>1</v>
      </c>
      <c r="I37" s="16">
        <v>1</v>
      </c>
      <c r="J37" s="16">
        <v>1</v>
      </c>
      <c r="Q37" s="13">
        <v>69</v>
      </c>
      <c r="R37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74.560471608263896</v>
      </c>
      <c r="S37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161.62069538945889</v>
      </c>
      <c r="T37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533.34133963897955</v>
      </c>
      <c r="U37" s="12">
        <f t="shared" si="1"/>
        <v>1</v>
      </c>
    </row>
    <row r="38" spans="1:21" x14ac:dyDescent="0.3">
      <c r="A38" s="3">
        <v>2</v>
      </c>
      <c r="B38" s="3">
        <v>2</v>
      </c>
      <c r="C38" s="3">
        <v>10</v>
      </c>
      <c r="D38" s="3">
        <v>5</v>
      </c>
      <c r="E38" s="4">
        <v>5</v>
      </c>
      <c r="F38" s="3">
        <v>800</v>
      </c>
      <c r="G38" s="6">
        <v>2</v>
      </c>
      <c r="H38" s="16">
        <v>3</v>
      </c>
      <c r="I38" s="16">
        <v>3</v>
      </c>
      <c r="J38" s="16">
        <v>3</v>
      </c>
      <c r="Q38" s="13">
        <v>86</v>
      </c>
      <c r="R38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574.4568587205639</v>
      </c>
      <c r="S38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338.53196334144474</v>
      </c>
      <c r="T38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33.706018439031745</v>
      </c>
      <c r="U38" s="12">
        <f t="shared" si="1"/>
        <v>3</v>
      </c>
    </row>
    <row r="39" spans="1:21" x14ac:dyDescent="0.3">
      <c r="A39" s="3">
        <v>2</v>
      </c>
      <c r="B39" s="3">
        <v>2</v>
      </c>
      <c r="C39" s="3">
        <v>1</v>
      </c>
      <c r="D39" s="3">
        <v>1</v>
      </c>
      <c r="E39" s="4">
        <v>5</v>
      </c>
      <c r="F39" s="3">
        <v>600</v>
      </c>
      <c r="G39" s="6">
        <v>1</v>
      </c>
      <c r="H39" s="16">
        <v>2</v>
      </c>
      <c r="I39" s="16">
        <v>2</v>
      </c>
      <c r="J39" s="16">
        <v>2</v>
      </c>
      <c r="Q39" s="13">
        <v>93</v>
      </c>
      <c r="R39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374.44890820601853</v>
      </c>
      <c r="S39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138.52295171750862</v>
      </c>
      <c r="T39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233.42018886099217</v>
      </c>
      <c r="U39" s="12">
        <f t="shared" si="1"/>
        <v>2</v>
      </c>
    </row>
    <row r="40" spans="1:21" x14ac:dyDescent="0.3">
      <c r="A40" s="3">
        <v>1</v>
      </c>
      <c r="B40" s="3">
        <v>2</v>
      </c>
      <c r="C40" s="3">
        <v>3</v>
      </c>
      <c r="D40" s="3">
        <v>3</v>
      </c>
      <c r="E40" s="4">
        <v>5</v>
      </c>
      <c r="F40" s="3">
        <v>500</v>
      </c>
      <c r="G40" s="6">
        <v>2</v>
      </c>
      <c r="H40" s="16">
        <v>2</v>
      </c>
      <c r="I40" s="16">
        <v>2</v>
      </c>
      <c r="J40" s="16">
        <v>2</v>
      </c>
      <c r="Q40" s="13">
        <v>2</v>
      </c>
      <c r="R40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274.43579961895142</v>
      </c>
      <c r="S40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38.519298509441136</v>
      </c>
      <c r="T40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333.3569760133874</v>
      </c>
      <c r="U40" s="12">
        <f t="shared" si="1"/>
        <v>2</v>
      </c>
    </row>
    <row r="41" spans="1:21" x14ac:dyDescent="0.3">
      <c r="A41" s="3">
        <v>2</v>
      </c>
      <c r="B41" s="3">
        <v>2</v>
      </c>
      <c r="C41" s="3">
        <v>3</v>
      </c>
      <c r="D41" s="3">
        <v>1</v>
      </c>
      <c r="E41" s="4">
        <v>5</v>
      </c>
      <c r="F41" s="3">
        <v>200</v>
      </c>
      <c r="G41" s="6">
        <v>3</v>
      </c>
      <c r="H41" s="16">
        <v>2</v>
      </c>
      <c r="I41" s="16">
        <v>1</v>
      </c>
      <c r="J41" s="16">
        <v>1</v>
      </c>
      <c r="Q41" s="13">
        <v>9</v>
      </c>
      <c r="R41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25.726354615366045</v>
      </c>
      <c r="S41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261.55078528029003</v>
      </c>
      <c r="T41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633.34884727587462</v>
      </c>
      <c r="U41" s="12">
        <f t="shared" si="1"/>
        <v>1</v>
      </c>
    </row>
    <row r="42" spans="1:21" x14ac:dyDescent="0.3">
      <c r="A42" s="3">
        <v>2</v>
      </c>
      <c r="B42" s="3">
        <v>2</v>
      </c>
      <c r="C42" s="3">
        <v>4</v>
      </c>
      <c r="D42" s="3">
        <v>4</v>
      </c>
      <c r="E42" s="4">
        <v>5</v>
      </c>
      <c r="F42" s="3">
        <v>500</v>
      </c>
      <c r="G42" s="6">
        <v>2</v>
      </c>
      <c r="H42" s="16">
        <v>2</v>
      </c>
      <c r="I42" s="16">
        <v>2</v>
      </c>
      <c r="J42" s="16">
        <v>2</v>
      </c>
      <c r="Q42" s="13">
        <v>22</v>
      </c>
      <c r="R42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274.43762153264129</v>
      </c>
      <c r="S42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38.536269279305259</v>
      </c>
      <c r="T42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333.34947646095105</v>
      </c>
      <c r="U42" s="12">
        <f t="shared" si="1"/>
        <v>2</v>
      </c>
    </row>
    <row r="43" spans="1:21" x14ac:dyDescent="0.3">
      <c r="A43" s="3">
        <v>2</v>
      </c>
      <c r="B43" s="3">
        <v>2</v>
      </c>
      <c r="C43" s="3">
        <v>8</v>
      </c>
      <c r="D43" s="3">
        <v>2</v>
      </c>
      <c r="E43" s="4">
        <v>5</v>
      </c>
      <c r="F43" s="3">
        <v>200</v>
      </c>
      <c r="G43" s="6">
        <v>4</v>
      </c>
      <c r="H43" s="16">
        <v>2</v>
      </c>
      <c r="I43" s="16">
        <v>1</v>
      </c>
      <c r="J43" s="16">
        <v>1</v>
      </c>
      <c r="Q43" s="13">
        <v>31</v>
      </c>
      <c r="R43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25.890803268508083</v>
      </c>
      <c r="S43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261.58122325132484</v>
      </c>
      <c r="T43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633.34235617354454</v>
      </c>
      <c r="U43" s="12">
        <f t="shared" si="1"/>
        <v>1</v>
      </c>
    </row>
    <row r="44" spans="1:21" x14ac:dyDescent="0.3">
      <c r="A44" s="3">
        <v>1</v>
      </c>
      <c r="B44" s="3">
        <v>2</v>
      </c>
      <c r="C44" s="3">
        <v>3</v>
      </c>
      <c r="D44" s="3">
        <v>3</v>
      </c>
      <c r="E44" s="4">
        <v>5</v>
      </c>
      <c r="F44" s="3">
        <v>400</v>
      </c>
      <c r="G44" s="6">
        <v>4</v>
      </c>
      <c r="H44" s="16">
        <v>2</v>
      </c>
      <c r="I44" s="16">
        <v>2</v>
      </c>
      <c r="J44" s="16">
        <v>2</v>
      </c>
      <c r="Q44" s="13">
        <v>33</v>
      </c>
      <c r="R44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174.44379042966813</v>
      </c>
      <c r="S44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61.580407712759516</v>
      </c>
      <c r="T44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433.35049467442394</v>
      </c>
      <c r="U44" s="12">
        <f t="shared" si="1"/>
        <v>2</v>
      </c>
    </row>
    <row r="45" spans="1:21" x14ac:dyDescent="0.3">
      <c r="A45" s="3">
        <v>1</v>
      </c>
      <c r="B45" s="3">
        <v>2</v>
      </c>
      <c r="C45" s="3">
        <v>5</v>
      </c>
      <c r="D45" s="3">
        <v>5</v>
      </c>
      <c r="E45" s="4">
        <v>5</v>
      </c>
      <c r="F45" s="3">
        <v>500</v>
      </c>
      <c r="G45" s="6">
        <v>3</v>
      </c>
      <c r="H45" s="16">
        <v>2</v>
      </c>
      <c r="I45" s="16">
        <v>2</v>
      </c>
      <c r="J45" s="16">
        <v>2</v>
      </c>
      <c r="Q45" s="13">
        <v>84</v>
      </c>
      <c r="R45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274.44440064014026</v>
      </c>
      <c r="S45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38.592120209633705</v>
      </c>
      <c r="T45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333.34647659273401</v>
      </c>
      <c r="U45" s="12">
        <f t="shared" si="1"/>
        <v>2</v>
      </c>
    </row>
    <row r="46" spans="1:21" x14ac:dyDescent="0.3">
      <c r="A46" s="3">
        <v>1</v>
      </c>
      <c r="B46" s="3">
        <v>2</v>
      </c>
      <c r="C46" s="3">
        <v>3</v>
      </c>
      <c r="D46" s="3">
        <v>4</v>
      </c>
      <c r="E46" s="4">
        <v>5</v>
      </c>
      <c r="F46" s="3">
        <v>500</v>
      </c>
      <c r="G46" s="6">
        <v>4</v>
      </c>
      <c r="H46" s="16">
        <v>2</v>
      </c>
      <c r="I46" s="16">
        <v>2</v>
      </c>
      <c r="J46" s="16">
        <v>2</v>
      </c>
      <c r="Q46" s="13">
        <v>94</v>
      </c>
      <c r="R46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274.44067215173828</v>
      </c>
      <c r="S46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38.551569840236255</v>
      </c>
      <c r="T46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333.35597608281074</v>
      </c>
      <c r="U46" s="12">
        <f t="shared" si="1"/>
        <v>2</v>
      </c>
    </row>
    <row r="47" spans="1:21" x14ac:dyDescent="0.3">
      <c r="A47" s="3">
        <v>1</v>
      </c>
      <c r="B47" s="3">
        <v>2</v>
      </c>
      <c r="C47" s="3">
        <v>5</v>
      </c>
      <c r="D47" s="3">
        <v>3</v>
      </c>
      <c r="E47" s="4">
        <v>5</v>
      </c>
      <c r="F47" s="3">
        <v>300</v>
      </c>
      <c r="G47" s="6">
        <v>3</v>
      </c>
      <c r="H47" s="16">
        <v>2</v>
      </c>
      <c r="I47" s="16">
        <v>1</v>
      </c>
      <c r="J47" s="16">
        <v>1</v>
      </c>
      <c r="Q47" s="13">
        <v>95</v>
      </c>
      <c r="R47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74.455597636913652</v>
      </c>
      <c r="S47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161.55246174577772</v>
      </c>
      <c r="T47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533.33925633285151</v>
      </c>
      <c r="U47" s="12">
        <f t="shared" si="1"/>
        <v>1</v>
      </c>
    </row>
    <row r="48" spans="1:21" x14ac:dyDescent="0.3">
      <c r="A48" s="3">
        <v>1</v>
      </c>
      <c r="B48" s="3">
        <v>2</v>
      </c>
      <c r="C48" s="3">
        <v>2</v>
      </c>
      <c r="D48" s="3">
        <v>4</v>
      </c>
      <c r="E48" s="4">
        <v>5</v>
      </c>
      <c r="F48" s="3">
        <v>400</v>
      </c>
      <c r="G48" s="6">
        <v>3</v>
      </c>
      <c r="H48" s="16">
        <v>2</v>
      </c>
      <c r="I48" s="16">
        <v>2</v>
      </c>
      <c r="J48" s="16">
        <v>2</v>
      </c>
      <c r="Q48" s="13">
        <v>10</v>
      </c>
      <c r="R48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174.46371974666272</v>
      </c>
      <c r="S48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61.60517751066849</v>
      </c>
      <c r="T48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433.35818660922348</v>
      </c>
      <c r="U48" s="12">
        <f t="shared" si="1"/>
        <v>2</v>
      </c>
    </row>
    <row r="49" spans="1:21" x14ac:dyDescent="0.3">
      <c r="A49" s="3">
        <v>1</v>
      </c>
      <c r="B49" s="3">
        <v>2</v>
      </c>
      <c r="C49" s="3">
        <v>3</v>
      </c>
      <c r="D49" s="3">
        <v>4</v>
      </c>
      <c r="E49" s="4">
        <v>5</v>
      </c>
      <c r="F49" s="3">
        <v>300</v>
      </c>
      <c r="G49" s="6">
        <v>4</v>
      </c>
      <c r="H49" s="16">
        <v>2</v>
      </c>
      <c r="I49" s="16">
        <v>1</v>
      </c>
      <c r="J49" s="16">
        <v>1</v>
      </c>
      <c r="Q49" s="13">
        <v>13</v>
      </c>
      <c r="R49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74.499937386770824</v>
      </c>
      <c r="S49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161.55992124450677</v>
      </c>
      <c r="T49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533.34748534464552</v>
      </c>
      <c r="U49" s="12">
        <f t="shared" si="1"/>
        <v>1</v>
      </c>
    </row>
    <row r="50" spans="1:21" x14ac:dyDescent="0.3">
      <c r="A50" s="3">
        <v>1</v>
      </c>
      <c r="B50" s="3">
        <v>2</v>
      </c>
      <c r="C50" s="3">
        <v>2</v>
      </c>
      <c r="D50" s="3">
        <v>3</v>
      </c>
      <c r="E50" s="4">
        <v>5</v>
      </c>
      <c r="F50" s="3">
        <v>400</v>
      </c>
      <c r="G50" s="6">
        <v>1</v>
      </c>
      <c r="H50" s="16">
        <v>2</v>
      </c>
      <c r="I50" s="16">
        <v>2</v>
      </c>
      <c r="J50" s="16">
        <v>2</v>
      </c>
      <c r="Q50" s="13">
        <v>14</v>
      </c>
      <c r="R50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174.4675187226477</v>
      </c>
      <c r="S50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61.61745464260752</v>
      </c>
      <c r="T50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433.36357088234962</v>
      </c>
      <c r="U50" s="12">
        <f t="shared" si="1"/>
        <v>2</v>
      </c>
    </row>
    <row r="51" spans="1:21" x14ac:dyDescent="0.3">
      <c r="A51" s="3">
        <v>1</v>
      </c>
      <c r="B51" s="3">
        <v>2</v>
      </c>
      <c r="C51" s="3">
        <v>2</v>
      </c>
      <c r="D51" s="3">
        <v>2</v>
      </c>
      <c r="E51" s="4">
        <v>5</v>
      </c>
      <c r="F51" s="3">
        <v>400</v>
      </c>
      <c r="G51" s="6">
        <v>2</v>
      </c>
      <c r="H51" s="16">
        <v>2</v>
      </c>
      <c r="I51" s="16">
        <v>2</v>
      </c>
      <c r="J51" s="16">
        <v>2</v>
      </c>
      <c r="Q51" s="13">
        <v>75</v>
      </c>
      <c r="R51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174.45418861823501</v>
      </c>
      <c r="S51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61.597893309946386</v>
      </c>
      <c r="T51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433.36164793534118</v>
      </c>
      <c r="U51" s="12">
        <f t="shared" si="1"/>
        <v>2</v>
      </c>
    </row>
    <row r="52" spans="1:21" x14ac:dyDescent="0.3">
      <c r="A52" s="3">
        <v>1</v>
      </c>
      <c r="B52" s="3">
        <v>2</v>
      </c>
      <c r="C52" s="3">
        <v>8</v>
      </c>
      <c r="D52" s="3">
        <v>2</v>
      </c>
      <c r="E52" s="4">
        <v>5</v>
      </c>
      <c r="F52" s="3">
        <v>200</v>
      </c>
      <c r="G52" s="6">
        <v>3</v>
      </c>
      <c r="H52" s="16">
        <v>2</v>
      </c>
      <c r="I52" s="16">
        <v>1</v>
      </c>
      <c r="J52" s="16">
        <v>1</v>
      </c>
      <c r="Q52" s="13">
        <v>76</v>
      </c>
      <c r="R52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25.878225037623643</v>
      </c>
      <c r="S52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261.5782825391301</v>
      </c>
      <c r="T52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633.34209301934413</v>
      </c>
      <c r="U52" s="12">
        <f t="shared" si="1"/>
        <v>1</v>
      </c>
    </row>
    <row r="53" spans="1:21" x14ac:dyDescent="0.3">
      <c r="A53" s="3">
        <v>1</v>
      </c>
      <c r="B53" s="3">
        <v>2</v>
      </c>
      <c r="C53" s="3">
        <v>4</v>
      </c>
      <c r="D53" s="3">
        <v>5</v>
      </c>
      <c r="E53" s="4">
        <v>5</v>
      </c>
      <c r="F53" s="3">
        <v>700</v>
      </c>
      <c r="G53" s="6">
        <v>4</v>
      </c>
      <c r="H53" s="16">
        <v>2</v>
      </c>
      <c r="I53" s="16">
        <v>3</v>
      </c>
      <c r="J53" s="16">
        <v>3</v>
      </c>
      <c r="Q53" s="13">
        <v>80</v>
      </c>
      <c r="R53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474.43455570539652</v>
      </c>
      <c r="S53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238.48263485396623</v>
      </c>
      <c r="T53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133.37951746431068</v>
      </c>
      <c r="U53" s="12">
        <f t="shared" si="1"/>
        <v>3</v>
      </c>
    </row>
    <row r="54" spans="1:21" x14ac:dyDescent="0.3">
      <c r="A54" s="3">
        <v>2</v>
      </c>
      <c r="B54" s="3">
        <v>2</v>
      </c>
      <c r="C54" s="3">
        <v>10</v>
      </c>
      <c r="D54" s="3">
        <v>5</v>
      </c>
      <c r="E54" s="4">
        <v>5</v>
      </c>
      <c r="F54" s="3">
        <v>1000</v>
      </c>
      <c r="G54" s="6">
        <v>4</v>
      </c>
      <c r="H54" s="16">
        <v>3</v>
      </c>
      <c r="I54" s="16">
        <v>3</v>
      </c>
      <c r="J54" s="16">
        <v>3</v>
      </c>
      <c r="Q54" s="13">
        <v>83</v>
      </c>
      <c r="R54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774.44655931108139</v>
      </c>
      <c r="S54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538.50647492592566</v>
      </c>
      <c r="T54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166.73893803425196</v>
      </c>
      <c r="U54" s="12">
        <f t="shared" si="1"/>
        <v>3</v>
      </c>
    </row>
    <row r="55" spans="1:21" x14ac:dyDescent="0.3">
      <c r="A55" s="3">
        <v>1</v>
      </c>
      <c r="B55" s="3">
        <v>2</v>
      </c>
      <c r="C55" s="3">
        <v>8</v>
      </c>
      <c r="D55" s="3">
        <v>4</v>
      </c>
      <c r="E55" s="4">
        <v>5</v>
      </c>
      <c r="F55" s="3">
        <v>800</v>
      </c>
      <c r="G55" s="6">
        <v>1</v>
      </c>
      <c r="H55" s="16">
        <v>3</v>
      </c>
      <c r="I55" s="16">
        <v>3</v>
      </c>
      <c r="J55" s="16">
        <v>3</v>
      </c>
      <c r="Q55" s="13">
        <v>5</v>
      </c>
      <c r="R55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574.43999724781929</v>
      </c>
      <c r="S55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338.49943066833606</v>
      </c>
      <c r="T55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33.549070381409862</v>
      </c>
      <c r="U55" s="12">
        <f t="shared" si="1"/>
        <v>3</v>
      </c>
    </row>
    <row r="56" spans="1:21" x14ac:dyDescent="0.3">
      <c r="A56" s="3">
        <v>1</v>
      </c>
      <c r="B56" s="3">
        <v>2</v>
      </c>
      <c r="C56" s="3">
        <v>7</v>
      </c>
      <c r="D56" s="3">
        <v>2</v>
      </c>
      <c r="E56" s="4">
        <v>5</v>
      </c>
      <c r="F56" s="3">
        <v>300</v>
      </c>
      <c r="G56" s="6">
        <v>2</v>
      </c>
      <c r="H56" s="16">
        <v>2</v>
      </c>
      <c r="I56" s="16">
        <v>1</v>
      </c>
      <c r="J56" s="16">
        <v>1</v>
      </c>
      <c r="Q56" s="13">
        <v>11</v>
      </c>
      <c r="R56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74.491820814819604</v>
      </c>
      <c r="S56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161.58213898729872</v>
      </c>
      <c r="T56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533.34227712408222</v>
      </c>
      <c r="U56" s="12">
        <f t="shared" si="1"/>
        <v>1</v>
      </c>
    </row>
    <row r="57" spans="1:21" x14ac:dyDescent="0.3">
      <c r="A57" s="3">
        <v>1</v>
      </c>
      <c r="B57" s="3">
        <v>2</v>
      </c>
      <c r="C57" s="3">
        <v>4</v>
      </c>
      <c r="D57" s="3">
        <v>2</v>
      </c>
      <c r="E57" s="4">
        <v>5</v>
      </c>
      <c r="F57" s="3">
        <v>200</v>
      </c>
      <c r="G57" s="6">
        <v>4</v>
      </c>
      <c r="H57" s="16">
        <v>2</v>
      </c>
      <c r="I57" s="16">
        <v>1</v>
      </c>
      <c r="J57" s="16">
        <v>1</v>
      </c>
      <c r="Q57" s="13">
        <v>24</v>
      </c>
      <c r="R57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25.682021961444622</v>
      </c>
      <c r="S57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261.54755011860476</v>
      </c>
      <c r="T57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633.34253160961737</v>
      </c>
      <c r="U57" s="12">
        <f t="shared" si="1"/>
        <v>1</v>
      </c>
    </row>
    <row r="58" spans="1:21" x14ac:dyDescent="0.3">
      <c r="A58" s="3">
        <v>2</v>
      </c>
      <c r="B58" s="3">
        <v>2</v>
      </c>
      <c r="C58" s="3">
        <v>4</v>
      </c>
      <c r="D58" s="3">
        <v>5</v>
      </c>
      <c r="E58" s="4">
        <v>6</v>
      </c>
      <c r="F58" s="3">
        <v>700</v>
      </c>
      <c r="G58" s="6">
        <v>3</v>
      </c>
      <c r="H58" s="16">
        <v>2</v>
      </c>
      <c r="I58" s="16">
        <v>3</v>
      </c>
      <c r="J58" s="16">
        <v>3</v>
      </c>
      <c r="Q58" s="13">
        <v>67</v>
      </c>
      <c r="R58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474.43894279251009</v>
      </c>
      <c r="S58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238.4892470805425</v>
      </c>
      <c r="T58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133.39659378922653</v>
      </c>
      <c r="U58" s="12">
        <f t="shared" si="1"/>
        <v>3</v>
      </c>
    </row>
    <row r="59" spans="1:21" x14ac:dyDescent="0.3">
      <c r="A59" s="3">
        <v>1</v>
      </c>
      <c r="B59" s="3">
        <v>2</v>
      </c>
      <c r="C59" s="3">
        <v>4</v>
      </c>
      <c r="D59" s="3">
        <v>3</v>
      </c>
      <c r="E59" s="4">
        <v>6</v>
      </c>
      <c r="F59" s="3">
        <v>400</v>
      </c>
      <c r="G59" s="6">
        <v>4</v>
      </c>
      <c r="H59" s="16">
        <v>2</v>
      </c>
      <c r="I59" s="16">
        <v>2</v>
      </c>
      <c r="J59" s="16">
        <v>2</v>
      </c>
      <c r="Q59" s="13">
        <v>8</v>
      </c>
      <c r="R59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174.45112255014257</v>
      </c>
      <c r="S59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61.610379983911798</v>
      </c>
      <c r="T59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433.35087927440651</v>
      </c>
      <c r="U59" s="12">
        <f t="shared" si="1"/>
        <v>2</v>
      </c>
    </row>
    <row r="60" spans="1:21" x14ac:dyDescent="0.3">
      <c r="A60" s="3">
        <v>1</v>
      </c>
      <c r="B60" s="3">
        <v>2</v>
      </c>
      <c r="C60" s="3">
        <v>2</v>
      </c>
      <c r="D60" s="3">
        <v>2</v>
      </c>
      <c r="E60" s="4">
        <v>6</v>
      </c>
      <c r="F60" s="3">
        <v>300</v>
      </c>
      <c r="G60" s="6">
        <v>1</v>
      </c>
      <c r="H60" s="16">
        <v>2</v>
      </c>
      <c r="I60" s="16">
        <v>1</v>
      </c>
      <c r="J60" s="16">
        <v>1</v>
      </c>
      <c r="Q60" s="13">
        <v>18</v>
      </c>
      <c r="R60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74.556884609845355</v>
      </c>
      <c r="S60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161.58269439172687</v>
      </c>
      <c r="T60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533.36456795111451</v>
      </c>
      <c r="U60" s="12">
        <f t="shared" si="1"/>
        <v>1</v>
      </c>
    </row>
    <row r="61" spans="1:21" x14ac:dyDescent="0.3">
      <c r="A61" s="3">
        <v>2</v>
      </c>
      <c r="B61" s="3">
        <v>2</v>
      </c>
      <c r="C61" s="3">
        <v>4</v>
      </c>
      <c r="D61" s="3">
        <v>3</v>
      </c>
      <c r="E61" s="4">
        <v>5</v>
      </c>
      <c r="F61" s="3">
        <v>400</v>
      </c>
      <c r="G61" s="6">
        <v>4</v>
      </c>
      <c r="H61" s="16">
        <v>2</v>
      </c>
      <c r="I61" s="16">
        <v>2</v>
      </c>
      <c r="J61" s="16">
        <v>2</v>
      </c>
      <c r="Q61" s="13">
        <v>46</v>
      </c>
      <c r="R61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174.4371245981618</v>
      </c>
      <c r="S61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61.576660153081974</v>
      </c>
      <c r="T61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433.34446923013303</v>
      </c>
      <c r="U61" s="12">
        <f t="shared" si="1"/>
        <v>2</v>
      </c>
    </row>
    <row r="62" spans="1:21" x14ac:dyDescent="0.3">
      <c r="A62" s="3">
        <v>1</v>
      </c>
      <c r="B62" s="3">
        <v>3</v>
      </c>
      <c r="C62" s="3">
        <v>5</v>
      </c>
      <c r="D62" s="3">
        <v>3</v>
      </c>
      <c r="E62" s="4">
        <v>1</v>
      </c>
      <c r="F62" s="3">
        <v>500</v>
      </c>
      <c r="G62" s="6">
        <v>4</v>
      </c>
      <c r="H62" s="16">
        <v>1</v>
      </c>
      <c r="I62" s="16">
        <v>2</v>
      </c>
      <c r="J62" s="16">
        <v>2</v>
      </c>
      <c r="Q62" s="13">
        <v>51</v>
      </c>
      <c r="R62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274.43219812607123</v>
      </c>
      <c r="S62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38.587469052994962</v>
      </c>
      <c r="T62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333.34247672644943</v>
      </c>
      <c r="U62" s="12">
        <f t="shared" si="1"/>
        <v>2</v>
      </c>
    </row>
    <row r="63" spans="1:21" x14ac:dyDescent="0.3">
      <c r="A63" s="3">
        <v>1</v>
      </c>
      <c r="B63" s="3">
        <v>3</v>
      </c>
      <c r="C63" s="3">
        <v>10</v>
      </c>
      <c r="D63" s="3">
        <v>5</v>
      </c>
      <c r="E63" s="4">
        <v>1</v>
      </c>
      <c r="F63" s="3">
        <v>1000</v>
      </c>
      <c r="G63" s="6">
        <v>4</v>
      </c>
      <c r="H63" s="16">
        <v>3</v>
      </c>
      <c r="I63" s="16">
        <v>3</v>
      </c>
      <c r="J63" s="16">
        <v>3</v>
      </c>
      <c r="Q63" s="13">
        <v>64</v>
      </c>
      <c r="R63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774.44740012111458</v>
      </c>
      <c r="S63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538.50985558556647</v>
      </c>
      <c r="T63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166.73727208166312</v>
      </c>
      <c r="U63" s="12">
        <f t="shared" si="1"/>
        <v>3</v>
      </c>
    </row>
    <row r="64" spans="1:21" x14ac:dyDescent="0.3">
      <c r="A64" s="3">
        <v>2</v>
      </c>
      <c r="B64" s="3">
        <v>3</v>
      </c>
      <c r="C64" s="3">
        <v>10</v>
      </c>
      <c r="D64" s="3">
        <v>2</v>
      </c>
      <c r="E64" s="4">
        <v>1</v>
      </c>
      <c r="F64" s="3">
        <v>300</v>
      </c>
      <c r="G64" s="6">
        <v>4</v>
      </c>
      <c r="H64" s="16">
        <v>1</v>
      </c>
      <c r="I64" s="16">
        <v>1</v>
      </c>
      <c r="J64" s="16">
        <v>1</v>
      </c>
      <c r="Q64" s="13">
        <v>97</v>
      </c>
      <c r="R64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74.650713611631318</v>
      </c>
      <c r="S64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161.68358763803329</v>
      </c>
      <c r="T64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533.35456844299404</v>
      </c>
      <c r="U64" s="12">
        <f t="shared" si="1"/>
        <v>1</v>
      </c>
    </row>
    <row r="65" spans="1:21" x14ac:dyDescent="0.3">
      <c r="A65" s="3">
        <v>2</v>
      </c>
      <c r="B65" s="3">
        <v>3</v>
      </c>
      <c r="C65" s="3">
        <v>2</v>
      </c>
      <c r="D65" s="3">
        <v>1</v>
      </c>
      <c r="E65" s="4">
        <v>1</v>
      </c>
      <c r="F65" s="3">
        <v>100</v>
      </c>
      <c r="G65" s="6">
        <v>4</v>
      </c>
      <c r="H65" s="16">
        <v>1</v>
      </c>
      <c r="I65" s="16">
        <v>1</v>
      </c>
      <c r="J65" s="16">
        <v>1</v>
      </c>
      <c r="Q65" s="13">
        <v>99</v>
      </c>
      <c r="R65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125.63590332988615</v>
      </c>
      <c r="S65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361.55819186024422</v>
      </c>
      <c r="T65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733.35135289308869</v>
      </c>
      <c r="U65" s="12">
        <f t="shared" si="1"/>
        <v>1</v>
      </c>
    </row>
    <row r="66" spans="1:21" x14ac:dyDescent="0.3">
      <c r="A66" s="3">
        <v>1</v>
      </c>
      <c r="B66" s="3">
        <v>3</v>
      </c>
      <c r="C66" s="3">
        <v>6</v>
      </c>
      <c r="D66" s="3">
        <v>5</v>
      </c>
      <c r="E66" s="4">
        <v>1</v>
      </c>
      <c r="F66" s="3">
        <v>900</v>
      </c>
      <c r="G66" s="6">
        <v>4</v>
      </c>
      <c r="H66" s="16">
        <v>3</v>
      </c>
      <c r="I66" s="16">
        <v>3</v>
      </c>
      <c r="J66" s="16">
        <v>3</v>
      </c>
      <c r="Q66" s="13">
        <v>7</v>
      </c>
      <c r="R66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674.43180821076851</v>
      </c>
      <c r="S66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438.48274877473119</v>
      </c>
      <c r="T66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66.723193627862486</v>
      </c>
      <c r="U66" s="12">
        <f t="shared" ref="U66:U97" si="2">IF(MIN(R66,S66,T66) = R66, 1, IF(MIN(R66,S66,T66) = S66, 2,3))</f>
        <v>3</v>
      </c>
    </row>
    <row r="67" spans="1:21" x14ac:dyDescent="0.3">
      <c r="A67" s="3">
        <v>1</v>
      </c>
      <c r="B67" s="3">
        <v>3</v>
      </c>
      <c r="C67" s="3">
        <v>1</v>
      </c>
      <c r="D67" s="3">
        <v>1</v>
      </c>
      <c r="E67" s="4">
        <v>1</v>
      </c>
      <c r="F67" s="3">
        <v>400</v>
      </c>
      <c r="G67" s="6">
        <v>4</v>
      </c>
      <c r="H67" s="16">
        <v>1</v>
      </c>
      <c r="I67" s="16">
        <v>2</v>
      </c>
      <c r="J67" s="16">
        <v>2</v>
      </c>
      <c r="Q67" s="13">
        <v>19</v>
      </c>
      <c r="R67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174.47598281026964</v>
      </c>
      <c r="S67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61.690442668486298</v>
      </c>
      <c r="T67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433.37446742089651</v>
      </c>
      <c r="U67" s="12">
        <f t="shared" si="2"/>
        <v>2</v>
      </c>
    </row>
    <row r="68" spans="1:21" x14ac:dyDescent="0.3">
      <c r="A68" s="3">
        <v>1</v>
      </c>
      <c r="B68" s="3">
        <v>3</v>
      </c>
      <c r="C68" s="3">
        <v>1</v>
      </c>
      <c r="D68" s="3">
        <v>1</v>
      </c>
      <c r="E68" s="4">
        <v>1</v>
      </c>
      <c r="F68" s="3">
        <v>600</v>
      </c>
      <c r="G68" s="6">
        <v>1</v>
      </c>
      <c r="H68" s="16">
        <v>1</v>
      </c>
      <c r="I68" s="16">
        <v>2</v>
      </c>
      <c r="J68" s="16">
        <v>2</v>
      </c>
      <c r="Q68" s="13">
        <v>28</v>
      </c>
      <c r="R68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374.45064719167021</v>
      </c>
      <c r="S68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138.53609341313276</v>
      </c>
      <c r="T68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233.41899882474368</v>
      </c>
      <c r="U68" s="12">
        <f t="shared" si="2"/>
        <v>2</v>
      </c>
    </row>
    <row r="69" spans="1:21" x14ac:dyDescent="0.3">
      <c r="A69" s="3">
        <v>2</v>
      </c>
      <c r="B69" s="3">
        <v>3</v>
      </c>
      <c r="C69" s="3">
        <v>7</v>
      </c>
      <c r="D69" s="3">
        <v>2</v>
      </c>
      <c r="E69" s="4">
        <v>1</v>
      </c>
      <c r="F69" s="3">
        <v>500</v>
      </c>
      <c r="G69" s="6">
        <v>3</v>
      </c>
      <c r="H69" s="16">
        <v>1</v>
      </c>
      <c r="I69" s="16">
        <v>2</v>
      </c>
      <c r="J69" s="16">
        <v>2</v>
      </c>
      <c r="Q69" s="13">
        <v>44</v>
      </c>
      <c r="R69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274.43834182076392</v>
      </c>
      <c r="S69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38.68800846108617</v>
      </c>
      <c r="T69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333.3439766819306</v>
      </c>
      <c r="U69" s="12">
        <f t="shared" si="2"/>
        <v>2</v>
      </c>
    </row>
    <row r="70" spans="1:21" x14ac:dyDescent="0.3">
      <c r="A70" s="3">
        <v>1</v>
      </c>
      <c r="B70" s="3">
        <v>3</v>
      </c>
      <c r="C70" s="3">
        <v>1</v>
      </c>
      <c r="D70" s="3">
        <v>1</v>
      </c>
      <c r="E70" s="4">
        <v>1</v>
      </c>
      <c r="F70" s="3">
        <v>700</v>
      </c>
      <c r="G70" s="6">
        <v>1</v>
      </c>
      <c r="H70" s="16">
        <v>1</v>
      </c>
      <c r="I70" s="16">
        <v>3</v>
      </c>
      <c r="J70" s="16">
        <v>3</v>
      </c>
      <c r="Q70" s="13">
        <v>78</v>
      </c>
      <c r="R70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474.44389353483439</v>
      </c>
      <c r="S70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238.50483615742459</v>
      </c>
      <c r="T70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133.4831912477336</v>
      </c>
      <c r="U70" s="12">
        <f t="shared" si="2"/>
        <v>3</v>
      </c>
    </row>
    <row r="71" spans="1:21" x14ac:dyDescent="0.3">
      <c r="A71" s="3">
        <v>2</v>
      </c>
      <c r="B71" s="3">
        <v>3</v>
      </c>
      <c r="C71" s="3">
        <v>10</v>
      </c>
      <c r="D71" s="3">
        <v>1</v>
      </c>
      <c r="E71" s="4">
        <v>1</v>
      </c>
      <c r="F71" s="3">
        <v>100</v>
      </c>
      <c r="G71" s="6">
        <v>4</v>
      </c>
      <c r="H71" s="16">
        <v>1</v>
      </c>
      <c r="I71" s="16">
        <v>1</v>
      </c>
      <c r="J71" s="16">
        <v>1</v>
      </c>
      <c r="Q71" s="13">
        <v>96</v>
      </c>
      <c r="R71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125.72176263823752</v>
      </c>
      <c r="S71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361.60641296321194</v>
      </c>
      <c r="T71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733.35135289308869</v>
      </c>
      <c r="U71" s="12">
        <f t="shared" si="2"/>
        <v>1</v>
      </c>
    </row>
    <row r="72" spans="1:21" x14ac:dyDescent="0.3">
      <c r="A72" s="3">
        <v>2</v>
      </c>
      <c r="B72" s="3">
        <v>3</v>
      </c>
      <c r="C72" s="3">
        <v>1</v>
      </c>
      <c r="D72" s="3">
        <v>1</v>
      </c>
      <c r="E72" s="4">
        <v>1</v>
      </c>
      <c r="F72" s="3">
        <v>200</v>
      </c>
      <c r="G72" s="6">
        <v>4</v>
      </c>
      <c r="H72" s="16">
        <v>1</v>
      </c>
      <c r="I72" s="16">
        <v>1</v>
      </c>
      <c r="J72" s="16">
        <v>1</v>
      </c>
      <c r="Q72" s="13">
        <v>15</v>
      </c>
      <c r="R72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25.969279183882815</v>
      </c>
      <c r="S72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261.57460660239536</v>
      </c>
      <c r="T72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633.36130298863134</v>
      </c>
      <c r="U72" s="12">
        <f t="shared" si="2"/>
        <v>1</v>
      </c>
    </row>
    <row r="73" spans="1:21" x14ac:dyDescent="0.3">
      <c r="A73" s="3">
        <v>1</v>
      </c>
      <c r="B73" s="3">
        <v>3</v>
      </c>
      <c r="C73" s="3">
        <v>10</v>
      </c>
      <c r="D73" s="3">
        <v>4</v>
      </c>
      <c r="E73" s="4">
        <v>1</v>
      </c>
      <c r="F73" s="3">
        <v>300</v>
      </c>
      <c r="G73" s="6">
        <v>4</v>
      </c>
      <c r="H73" s="16">
        <v>1</v>
      </c>
      <c r="I73" s="16">
        <v>1</v>
      </c>
      <c r="J73" s="16">
        <v>1</v>
      </c>
      <c r="Q73" s="13">
        <v>52</v>
      </c>
      <c r="R73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74.682015648551214</v>
      </c>
      <c r="S73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161.68779015703248</v>
      </c>
      <c r="T73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533.35331849129716</v>
      </c>
      <c r="U73" s="12">
        <f t="shared" si="2"/>
        <v>1</v>
      </c>
    </row>
    <row r="74" spans="1:21" x14ac:dyDescent="0.3">
      <c r="A74" s="3">
        <v>2</v>
      </c>
      <c r="B74" s="3">
        <v>3</v>
      </c>
      <c r="C74" s="3">
        <v>8</v>
      </c>
      <c r="D74" s="3">
        <v>1</v>
      </c>
      <c r="E74" s="4">
        <v>1</v>
      </c>
      <c r="F74" s="3">
        <v>900</v>
      </c>
      <c r="G74" s="6">
        <v>4</v>
      </c>
      <c r="H74" s="16">
        <v>3</v>
      </c>
      <c r="I74" s="16">
        <v>3</v>
      </c>
      <c r="J74" s="16">
        <v>3</v>
      </c>
      <c r="Q74" s="13">
        <v>74</v>
      </c>
      <c r="R74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674.43185993389181</v>
      </c>
      <c r="S74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438.49394692043876</v>
      </c>
      <c r="T74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66.774796568691386</v>
      </c>
      <c r="U74" s="12">
        <f t="shared" si="2"/>
        <v>3</v>
      </c>
    </row>
    <row r="75" spans="1:21" x14ac:dyDescent="0.3">
      <c r="A75" s="3">
        <v>2</v>
      </c>
      <c r="B75" s="3">
        <v>3</v>
      </c>
      <c r="C75" s="3">
        <v>3</v>
      </c>
      <c r="D75" s="3">
        <v>5</v>
      </c>
      <c r="E75" s="4">
        <v>1</v>
      </c>
      <c r="F75" s="3">
        <v>1000</v>
      </c>
      <c r="G75" s="6">
        <v>4</v>
      </c>
      <c r="H75" s="16">
        <v>3</v>
      </c>
      <c r="I75" s="16">
        <v>3</v>
      </c>
      <c r="J75" s="16">
        <v>3</v>
      </c>
      <c r="Q75" s="13">
        <v>91</v>
      </c>
      <c r="R75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774.43067383569564</v>
      </c>
      <c r="S75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538.47519091361517</v>
      </c>
      <c r="T75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166.71561318308594</v>
      </c>
      <c r="U75" s="12">
        <f t="shared" si="2"/>
        <v>3</v>
      </c>
    </row>
    <row r="76" spans="1:21" x14ac:dyDescent="0.3">
      <c r="A76" s="3">
        <v>2</v>
      </c>
      <c r="B76" s="3">
        <v>3</v>
      </c>
      <c r="C76" s="3">
        <v>1</v>
      </c>
      <c r="D76" s="3">
        <v>4</v>
      </c>
      <c r="E76" s="4">
        <v>1</v>
      </c>
      <c r="F76" s="3">
        <v>500</v>
      </c>
      <c r="G76" s="6">
        <v>3</v>
      </c>
      <c r="H76" s="16">
        <v>1</v>
      </c>
      <c r="I76" s="16">
        <v>2</v>
      </c>
      <c r="J76" s="16">
        <v>2</v>
      </c>
      <c r="Q76" s="13">
        <v>17</v>
      </c>
      <c r="R76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274.46105111219248</v>
      </c>
      <c r="S76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38.680054473458156</v>
      </c>
      <c r="T76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333.37764057382122</v>
      </c>
      <c r="U76" s="12">
        <f t="shared" si="2"/>
        <v>2</v>
      </c>
    </row>
    <row r="77" spans="1:21" x14ac:dyDescent="0.3">
      <c r="A77" s="3">
        <v>1</v>
      </c>
      <c r="B77" s="3">
        <v>3</v>
      </c>
      <c r="C77" s="3">
        <v>7</v>
      </c>
      <c r="D77" s="3">
        <v>4</v>
      </c>
      <c r="E77" s="4">
        <v>1</v>
      </c>
      <c r="F77" s="3">
        <v>400</v>
      </c>
      <c r="G77" s="6">
        <v>4</v>
      </c>
      <c r="H77" s="16">
        <v>1</v>
      </c>
      <c r="I77" s="16">
        <v>2</v>
      </c>
      <c r="J77" s="16">
        <v>2</v>
      </c>
      <c r="Q77" s="13">
        <v>29</v>
      </c>
      <c r="R77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174.46498608118245</v>
      </c>
      <c r="S77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61.702287276042959</v>
      </c>
      <c r="T77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433.34062315805608</v>
      </c>
      <c r="U77" s="12">
        <f t="shared" si="2"/>
        <v>2</v>
      </c>
    </row>
    <row r="78" spans="1:21" x14ac:dyDescent="0.3">
      <c r="A78" s="3">
        <v>2</v>
      </c>
      <c r="B78" s="3">
        <v>3</v>
      </c>
      <c r="C78" s="3">
        <v>8</v>
      </c>
      <c r="D78" s="3">
        <v>2</v>
      </c>
      <c r="E78" s="4">
        <v>1</v>
      </c>
      <c r="F78" s="3">
        <v>300</v>
      </c>
      <c r="G78" s="6">
        <v>4</v>
      </c>
      <c r="H78" s="16">
        <v>1</v>
      </c>
      <c r="I78" s="16">
        <v>1</v>
      </c>
      <c r="J78" s="16">
        <v>1</v>
      </c>
      <c r="Q78" s="13">
        <v>48</v>
      </c>
      <c r="R78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74.53411094182708</v>
      </c>
      <c r="S78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161.61950551461183</v>
      </c>
      <c r="T78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533.34331877226361</v>
      </c>
      <c r="U78" s="12">
        <f t="shared" si="2"/>
        <v>1</v>
      </c>
    </row>
    <row r="79" spans="1:21" x14ac:dyDescent="0.3">
      <c r="A79" s="3">
        <v>1</v>
      </c>
      <c r="B79" s="3">
        <v>3</v>
      </c>
      <c r="C79" s="3">
        <v>4</v>
      </c>
      <c r="D79" s="3">
        <v>2</v>
      </c>
      <c r="E79" s="4">
        <v>1</v>
      </c>
      <c r="F79" s="3">
        <v>400</v>
      </c>
      <c r="G79" s="6">
        <v>4</v>
      </c>
      <c r="H79" s="16">
        <v>1</v>
      </c>
      <c r="I79" s="16">
        <v>2</v>
      </c>
      <c r="J79" s="16">
        <v>2</v>
      </c>
      <c r="Q79" s="13">
        <v>71</v>
      </c>
      <c r="R79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174.4370579385604</v>
      </c>
      <c r="S79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61.608090949809089</v>
      </c>
      <c r="T79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433.34587944800853</v>
      </c>
      <c r="U79" s="12">
        <f t="shared" si="2"/>
        <v>2</v>
      </c>
    </row>
    <row r="80" spans="1:21" x14ac:dyDescent="0.3">
      <c r="A80" s="3">
        <v>1</v>
      </c>
      <c r="B80" s="3">
        <v>3</v>
      </c>
      <c r="C80" s="3">
        <v>9</v>
      </c>
      <c r="D80" s="3">
        <v>1</v>
      </c>
      <c r="E80" s="4">
        <v>4</v>
      </c>
      <c r="F80" s="3">
        <v>400</v>
      </c>
      <c r="G80" s="6">
        <v>1</v>
      </c>
      <c r="H80" s="16">
        <v>2</v>
      </c>
      <c r="I80" s="16">
        <v>2</v>
      </c>
      <c r="J80" s="16">
        <v>2</v>
      </c>
      <c r="Q80" s="13">
        <v>72</v>
      </c>
      <c r="R80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174.49357613532149</v>
      </c>
      <c r="S80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61.818327285916318</v>
      </c>
      <c r="T80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433.35869940002249</v>
      </c>
      <c r="U80" s="12">
        <f t="shared" si="2"/>
        <v>2</v>
      </c>
    </row>
    <row r="81" spans="1:21" x14ac:dyDescent="0.3">
      <c r="A81" s="3">
        <v>2</v>
      </c>
      <c r="B81" s="3">
        <v>3</v>
      </c>
      <c r="C81" s="3">
        <v>10</v>
      </c>
      <c r="D81" s="3">
        <v>3</v>
      </c>
      <c r="E81" s="4">
        <v>4</v>
      </c>
      <c r="F81" s="3">
        <v>400</v>
      </c>
      <c r="G81" s="6">
        <v>2</v>
      </c>
      <c r="H81" s="16">
        <v>2</v>
      </c>
      <c r="I81" s="16">
        <v>2</v>
      </c>
      <c r="J81" s="16">
        <v>2</v>
      </c>
      <c r="Q81" s="13">
        <v>87</v>
      </c>
      <c r="R81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174.51363302760399</v>
      </c>
      <c r="S81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61.870360317882131</v>
      </c>
      <c r="T81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433.35613543995987</v>
      </c>
      <c r="U81" s="12">
        <f t="shared" si="2"/>
        <v>2</v>
      </c>
    </row>
    <row r="82" spans="1:21" x14ac:dyDescent="0.3">
      <c r="A82" s="3">
        <v>2</v>
      </c>
      <c r="B82" s="3">
        <v>3</v>
      </c>
      <c r="C82" s="3">
        <v>3</v>
      </c>
      <c r="D82" s="3">
        <v>1</v>
      </c>
      <c r="E82" s="4">
        <v>1</v>
      </c>
      <c r="F82" s="3">
        <v>300</v>
      </c>
      <c r="G82" s="6">
        <v>2</v>
      </c>
      <c r="H82" s="16">
        <v>1</v>
      </c>
      <c r="I82" s="16">
        <v>1</v>
      </c>
      <c r="J82" s="16">
        <v>1</v>
      </c>
      <c r="Q82" s="13">
        <v>100</v>
      </c>
      <c r="R82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74.486045023151235</v>
      </c>
      <c r="S82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161.57222072963407</v>
      </c>
      <c r="T82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533.3523810256022</v>
      </c>
      <c r="U82" s="12">
        <f t="shared" si="2"/>
        <v>1</v>
      </c>
    </row>
    <row r="83" spans="1:21" x14ac:dyDescent="0.3">
      <c r="A83" s="3">
        <v>1</v>
      </c>
      <c r="B83" s="3">
        <v>3</v>
      </c>
      <c r="C83" s="3">
        <v>4</v>
      </c>
      <c r="D83" s="3">
        <v>1</v>
      </c>
      <c r="E83" s="4">
        <v>1</v>
      </c>
      <c r="F83" s="3">
        <v>100</v>
      </c>
      <c r="G83" s="6">
        <v>3</v>
      </c>
      <c r="H83" s="16">
        <v>1</v>
      </c>
      <c r="I83" s="16">
        <v>1</v>
      </c>
      <c r="J83" s="16">
        <v>1</v>
      </c>
      <c r="Q83" s="13">
        <v>1</v>
      </c>
      <c r="R83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125.60702365537928</v>
      </c>
      <c r="S83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361.55152549592248</v>
      </c>
      <c r="T83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733.34294396059352</v>
      </c>
      <c r="U83" s="12">
        <f t="shared" si="2"/>
        <v>1</v>
      </c>
    </row>
    <row r="84" spans="1:21" x14ac:dyDescent="0.3">
      <c r="A84" s="3">
        <v>1</v>
      </c>
      <c r="B84" s="3">
        <v>3</v>
      </c>
      <c r="C84" s="3">
        <v>7</v>
      </c>
      <c r="D84" s="3">
        <v>2</v>
      </c>
      <c r="E84" s="4">
        <v>1</v>
      </c>
      <c r="F84" s="3">
        <v>400</v>
      </c>
      <c r="G84" s="6">
        <v>2</v>
      </c>
      <c r="H84" s="16">
        <v>1</v>
      </c>
      <c r="I84" s="16">
        <v>2</v>
      </c>
      <c r="J84" s="16">
        <v>2</v>
      </c>
      <c r="Q84" s="13">
        <v>38</v>
      </c>
      <c r="R84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174.45352208627713</v>
      </c>
      <c r="S84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61.683999909530208</v>
      </c>
      <c r="T84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433.34344361425019</v>
      </c>
      <c r="U84" s="12">
        <f t="shared" si="2"/>
        <v>2</v>
      </c>
    </row>
    <row r="85" spans="1:21" x14ac:dyDescent="0.3">
      <c r="A85" s="3">
        <v>1</v>
      </c>
      <c r="B85" s="3">
        <v>3</v>
      </c>
      <c r="C85" s="3">
        <v>8</v>
      </c>
      <c r="D85" s="3">
        <v>1</v>
      </c>
      <c r="E85" s="4">
        <v>1</v>
      </c>
      <c r="F85" s="3">
        <v>300</v>
      </c>
      <c r="G85" s="6">
        <v>2</v>
      </c>
      <c r="H85" s="16">
        <v>1</v>
      </c>
      <c r="I85" s="16">
        <v>1</v>
      </c>
      <c r="J85" s="16">
        <v>1</v>
      </c>
      <c r="Q85" s="13">
        <v>39</v>
      </c>
      <c r="R85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74.543158848400637</v>
      </c>
      <c r="S85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161.62363037662834</v>
      </c>
      <c r="T85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533.34790200009343</v>
      </c>
      <c r="U85" s="12">
        <f t="shared" si="2"/>
        <v>1</v>
      </c>
    </row>
    <row r="86" spans="1:21" x14ac:dyDescent="0.3">
      <c r="A86" s="3">
        <v>1</v>
      </c>
      <c r="B86" s="3">
        <v>3</v>
      </c>
      <c r="C86" s="3">
        <v>1</v>
      </c>
      <c r="D86" s="3">
        <v>1</v>
      </c>
      <c r="E86" s="4">
        <v>1</v>
      </c>
      <c r="F86" s="3">
        <v>200</v>
      </c>
      <c r="G86" s="6">
        <v>1</v>
      </c>
      <c r="H86" s="16">
        <v>1</v>
      </c>
      <c r="I86" s="16">
        <v>1</v>
      </c>
      <c r="J86" s="16">
        <v>1</v>
      </c>
      <c r="Q86" s="13">
        <v>47</v>
      </c>
      <c r="R86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26.04617939987455</v>
      </c>
      <c r="S86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261.57793945388721</v>
      </c>
      <c r="T86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633.36489931082576</v>
      </c>
      <c r="U86" s="12">
        <f t="shared" si="2"/>
        <v>1</v>
      </c>
    </row>
    <row r="87" spans="1:21" x14ac:dyDescent="0.3">
      <c r="A87" s="3">
        <v>2</v>
      </c>
      <c r="B87" s="3">
        <v>3</v>
      </c>
      <c r="C87" s="3">
        <v>8</v>
      </c>
      <c r="D87" s="3">
        <v>4</v>
      </c>
      <c r="E87" s="4">
        <v>4</v>
      </c>
      <c r="F87" s="3">
        <v>800</v>
      </c>
      <c r="G87" s="6">
        <v>3</v>
      </c>
      <c r="H87" s="16">
        <v>3</v>
      </c>
      <c r="I87" s="16">
        <v>3</v>
      </c>
      <c r="J87" s="16">
        <v>3</v>
      </c>
      <c r="Q87" s="13">
        <v>79</v>
      </c>
      <c r="R87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574.43406626399371</v>
      </c>
      <c r="S87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338.49310555978184</v>
      </c>
      <c r="T87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33.431291248886929</v>
      </c>
      <c r="U87" s="12">
        <f t="shared" si="2"/>
        <v>3</v>
      </c>
    </row>
    <row r="88" spans="1:21" x14ac:dyDescent="0.3">
      <c r="A88" s="3">
        <v>1</v>
      </c>
      <c r="B88" s="3">
        <v>3</v>
      </c>
      <c r="C88" s="3">
        <v>4</v>
      </c>
      <c r="D88" s="3">
        <v>1</v>
      </c>
      <c r="E88" s="4">
        <v>4</v>
      </c>
      <c r="F88" s="3">
        <v>200</v>
      </c>
      <c r="G88" s="6">
        <v>4</v>
      </c>
      <c r="H88" s="16">
        <v>1</v>
      </c>
      <c r="I88" s="16">
        <v>1</v>
      </c>
      <c r="J88" s="16">
        <v>1</v>
      </c>
      <c r="Q88" s="13">
        <v>53</v>
      </c>
      <c r="R88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25.653481942010409</v>
      </c>
      <c r="S88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261.54955984496581</v>
      </c>
      <c r="T88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633.34332107134367</v>
      </c>
      <c r="U88" s="12">
        <f t="shared" si="2"/>
        <v>1</v>
      </c>
    </row>
    <row r="89" spans="1:21" x14ac:dyDescent="0.3">
      <c r="A89" s="3">
        <v>1</v>
      </c>
      <c r="B89" s="3">
        <v>3</v>
      </c>
      <c r="C89" s="3">
        <v>4</v>
      </c>
      <c r="D89" s="3">
        <v>1</v>
      </c>
      <c r="E89" s="4">
        <v>1</v>
      </c>
      <c r="F89" s="3">
        <v>100</v>
      </c>
      <c r="G89" s="6">
        <v>4</v>
      </c>
      <c r="H89" s="16">
        <v>1</v>
      </c>
      <c r="I89" s="16">
        <v>1</v>
      </c>
      <c r="J89" s="16">
        <v>1</v>
      </c>
      <c r="Q89" s="13">
        <v>73</v>
      </c>
      <c r="R89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125.60970826400187</v>
      </c>
      <c r="S89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361.55340485575243</v>
      </c>
      <c r="T89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733.34332274341034</v>
      </c>
      <c r="U89" s="12">
        <f t="shared" si="2"/>
        <v>1</v>
      </c>
    </row>
    <row r="90" spans="1:21" x14ac:dyDescent="0.3">
      <c r="A90" s="3">
        <v>1</v>
      </c>
      <c r="B90" s="3">
        <v>3</v>
      </c>
      <c r="C90" s="3">
        <v>3</v>
      </c>
      <c r="D90" s="3">
        <v>4</v>
      </c>
      <c r="E90" s="4">
        <v>1</v>
      </c>
      <c r="F90" s="3">
        <v>300</v>
      </c>
      <c r="G90" s="6">
        <v>4</v>
      </c>
      <c r="H90" s="16">
        <v>1</v>
      </c>
      <c r="I90" s="16">
        <v>1</v>
      </c>
      <c r="J90" s="16">
        <v>1</v>
      </c>
      <c r="Q90" s="13">
        <v>16</v>
      </c>
      <c r="R90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74.508521260324414</v>
      </c>
      <c r="S90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161.57174463795255</v>
      </c>
      <c r="T90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533.34675619682844</v>
      </c>
      <c r="U90" s="12">
        <f t="shared" si="2"/>
        <v>1</v>
      </c>
    </row>
    <row r="91" spans="1:21" x14ac:dyDescent="0.3">
      <c r="A91" s="3">
        <v>1</v>
      </c>
      <c r="B91" s="3">
        <v>3</v>
      </c>
      <c r="C91" s="3">
        <v>2</v>
      </c>
      <c r="D91" s="3">
        <v>4</v>
      </c>
      <c r="E91" s="4">
        <v>4</v>
      </c>
      <c r="F91" s="3">
        <v>400</v>
      </c>
      <c r="G91" s="6">
        <v>3</v>
      </c>
      <c r="H91" s="16">
        <v>2</v>
      </c>
      <c r="I91" s="16">
        <v>2</v>
      </c>
      <c r="J91" s="16">
        <v>2</v>
      </c>
      <c r="Q91" s="13">
        <v>36</v>
      </c>
      <c r="R91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174.45758789160863</v>
      </c>
      <c r="S91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61.5956038118102</v>
      </c>
      <c r="T91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433.35498165298247</v>
      </c>
      <c r="U91" s="12">
        <f t="shared" si="2"/>
        <v>2</v>
      </c>
    </row>
    <row r="92" spans="1:21" x14ac:dyDescent="0.3">
      <c r="A92" s="3">
        <v>2</v>
      </c>
      <c r="B92" s="3">
        <v>3</v>
      </c>
      <c r="C92" s="3">
        <v>2</v>
      </c>
      <c r="D92" s="3">
        <v>1</v>
      </c>
      <c r="E92" s="4">
        <v>1</v>
      </c>
      <c r="F92" s="3">
        <v>700</v>
      </c>
      <c r="G92" s="6">
        <v>4</v>
      </c>
      <c r="H92" s="16">
        <v>1</v>
      </c>
      <c r="I92" s="16">
        <v>3</v>
      </c>
      <c r="J92" s="16">
        <v>3</v>
      </c>
      <c r="Q92" s="13">
        <v>88</v>
      </c>
      <c r="R92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474.4330361462109</v>
      </c>
      <c r="S92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238.49145111532891</v>
      </c>
      <c r="T92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133.43240532240833</v>
      </c>
      <c r="U92" s="12">
        <f t="shared" si="2"/>
        <v>3</v>
      </c>
    </row>
    <row r="93" spans="1:21" x14ac:dyDescent="0.3">
      <c r="A93" s="3">
        <v>2</v>
      </c>
      <c r="B93" s="3">
        <v>3</v>
      </c>
      <c r="C93" s="3">
        <v>6</v>
      </c>
      <c r="D93" s="3">
        <v>4</v>
      </c>
      <c r="E93" s="4">
        <v>4</v>
      </c>
      <c r="F93" s="3">
        <v>100</v>
      </c>
      <c r="G93" s="6">
        <v>4</v>
      </c>
      <c r="H93" s="16">
        <v>1</v>
      </c>
      <c r="I93" s="16">
        <v>1</v>
      </c>
      <c r="J93" s="16">
        <v>1</v>
      </c>
      <c r="Q93" s="13">
        <v>92</v>
      </c>
      <c r="R93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125.61739148193533</v>
      </c>
      <c r="S93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361.55230560873588</v>
      </c>
      <c r="T93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733.33544402053155</v>
      </c>
      <c r="U93" s="12">
        <f t="shared" si="2"/>
        <v>1</v>
      </c>
    </row>
    <row r="94" spans="1:21" x14ac:dyDescent="0.3">
      <c r="A94" s="3">
        <v>2</v>
      </c>
      <c r="B94" s="3">
        <v>3</v>
      </c>
      <c r="C94" s="3">
        <v>8</v>
      </c>
      <c r="D94" s="3">
        <v>3</v>
      </c>
      <c r="E94" s="4">
        <v>4</v>
      </c>
      <c r="F94" s="3">
        <v>800</v>
      </c>
      <c r="G94" s="6">
        <v>4</v>
      </c>
      <c r="H94" s="16">
        <v>3</v>
      </c>
      <c r="I94" s="16">
        <v>3</v>
      </c>
      <c r="J94" s="16">
        <v>3</v>
      </c>
      <c r="Q94" s="13">
        <v>23</v>
      </c>
      <c r="R94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574.4317586291653</v>
      </c>
      <c r="S94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338.49249955515313</v>
      </c>
      <c r="T94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33.436276226596121</v>
      </c>
      <c r="U94" s="12">
        <f t="shared" si="2"/>
        <v>3</v>
      </c>
    </row>
    <row r="95" spans="1:21" x14ac:dyDescent="0.3">
      <c r="A95" s="3">
        <v>2</v>
      </c>
      <c r="B95" s="3">
        <v>3</v>
      </c>
      <c r="C95" s="3">
        <v>4</v>
      </c>
      <c r="D95" s="3">
        <v>3</v>
      </c>
      <c r="E95" s="4">
        <v>4</v>
      </c>
      <c r="F95" s="3">
        <v>300</v>
      </c>
      <c r="G95" s="6">
        <v>3</v>
      </c>
      <c r="H95" s="16">
        <v>2</v>
      </c>
      <c r="I95" s="16">
        <v>1</v>
      </c>
      <c r="J95" s="16">
        <v>1</v>
      </c>
      <c r="Q95" s="13">
        <v>30</v>
      </c>
      <c r="R95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74.443102799075376</v>
      </c>
      <c r="S95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161.54516062625336</v>
      </c>
      <c r="T95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533.33925633285151</v>
      </c>
      <c r="U95" s="12">
        <f t="shared" si="2"/>
        <v>1</v>
      </c>
    </row>
    <row r="96" spans="1:21" x14ac:dyDescent="0.3">
      <c r="A96" s="3">
        <v>2</v>
      </c>
      <c r="B96" s="3">
        <v>3</v>
      </c>
      <c r="C96" s="3">
        <v>6</v>
      </c>
      <c r="D96" s="3">
        <v>2</v>
      </c>
      <c r="E96" s="4">
        <v>7</v>
      </c>
      <c r="F96" s="3">
        <v>300</v>
      </c>
      <c r="G96" s="6">
        <v>1</v>
      </c>
      <c r="H96" s="16">
        <v>2</v>
      </c>
      <c r="I96" s="16">
        <v>1</v>
      </c>
      <c r="J96" s="16">
        <v>1</v>
      </c>
      <c r="Q96" s="13">
        <v>45</v>
      </c>
      <c r="R96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74.572634926862406</v>
      </c>
      <c r="S96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161.61085882759477</v>
      </c>
      <c r="T96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533.35675585141485</v>
      </c>
      <c r="U96" s="12">
        <f t="shared" si="2"/>
        <v>1</v>
      </c>
    </row>
    <row r="97" spans="1:21" x14ac:dyDescent="0.3">
      <c r="A97" s="3">
        <v>2</v>
      </c>
      <c r="B97" s="3">
        <v>3</v>
      </c>
      <c r="C97" s="3">
        <v>3</v>
      </c>
      <c r="D97" s="3">
        <v>2</v>
      </c>
      <c r="E97" s="4">
        <v>7</v>
      </c>
      <c r="F97" s="3">
        <v>400</v>
      </c>
      <c r="G97" s="6">
        <v>1</v>
      </c>
      <c r="H97" s="16">
        <v>2</v>
      </c>
      <c r="I97" s="16">
        <v>2</v>
      </c>
      <c r="J97" s="16">
        <v>2</v>
      </c>
      <c r="Q97" s="13">
        <v>58</v>
      </c>
      <c r="R97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174.48697884630772</v>
      </c>
      <c r="S97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61.695222345198971</v>
      </c>
      <c r="T97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433.37254452223789</v>
      </c>
      <c r="U97" s="12">
        <f t="shared" si="2"/>
        <v>2</v>
      </c>
    </row>
    <row r="98" spans="1:21" x14ac:dyDescent="0.3">
      <c r="A98" s="3">
        <v>1</v>
      </c>
      <c r="B98" s="3">
        <v>3</v>
      </c>
      <c r="C98" s="3">
        <v>1</v>
      </c>
      <c r="D98" s="3">
        <v>1</v>
      </c>
      <c r="E98" s="4">
        <v>7</v>
      </c>
      <c r="F98" s="3">
        <v>100</v>
      </c>
      <c r="G98" s="6">
        <v>1</v>
      </c>
      <c r="H98" s="16">
        <v>2</v>
      </c>
      <c r="I98" s="16">
        <v>1</v>
      </c>
      <c r="J98" s="16">
        <v>1</v>
      </c>
      <c r="Q98" s="13">
        <v>68</v>
      </c>
      <c r="R98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125.72130019131829</v>
      </c>
      <c r="S98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361.57808384446338</v>
      </c>
      <c r="T98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733.37014006958259</v>
      </c>
      <c r="U98" s="12">
        <f t="shared" ref="U98:U101" si="3">IF(MIN(R98,S98,T98) = R98, 1, IF(MIN(R98,S98,T98) = S98, 2,3))</f>
        <v>1</v>
      </c>
    </row>
    <row r="99" spans="1:21" x14ac:dyDescent="0.3">
      <c r="A99" s="3">
        <v>1</v>
      </c>
      <c r="B99" s="3">
        <v>3</v>
      </c>
      <c r="C99" s="3">
        <v>3</v>
      </c>
      <c r="D99" s="3">
        <v>1</v>
      </c>
      <c r="E99" s="4">
        <v>7</v>
      </c>
      <c r="F99" s="3">
        <v>200</v>
      </c>
      <c r="G99" s="6">
        <v>3</v>
      </c>
      <c r="H99" s="16">
        <v>2</v>
      </c>
      <c r="I99" s="16">
        <v>1</v>
      </c>
      <c r="J99" s="16">
        <v>1</v>
      </c>
      <c r="Q99" s="13">
        <v>21</v>
      </c>
      <c r="R99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25.967488097130907</v>
      </c>
      <c r="S99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261.57303818699933</v>
      </c>
      <c r="T99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633.35946096203816</v>
      </c>
      <c r="U99" s="12">
        <f t="shared" si="3"/>
        <v>1</v>
      </c>
    </row>
    <row r="100" spans="1:21" x14ac:dyDescent="0.3">
      <c r="A100" s="3">
        <v>2</v>
      </c>
      <c r="B100" s="3">
        <v>3</v>
      </c>
      <c r="C100" s="3">
        <v>1</v>
      </c>
      <c r="D100" s="3">
        <v>2</v>
      </c>
      <c r="E100" s="4">
        <v>7</v>
      </c>
      <c r="F100" s="3">
        <v>200</v>
      </c>
      <c r="G100" s="6">
        <v>2</v>
      </c>
      <c r="H100" s="16">
        <v>2</v>
      </c>
      <c r="I100" s="16">
        <v>1</v>
      </c>
      <c r="J100" s="16">
        <v>1</v>
      </c>
      <c r="Q100" s="13">
        <v>54</v>
      </c>
      <c r="R100" s="5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26.182876011129302</v>
      </c>
      <c r="S100" s="5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261.58426195252878</v>
      </c>
      <c r="T100" s="5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633.37007447034307</v>
      </c>
      <c r="U100" s="12">
        <f t="shared" si="3"/>
        <v>1</v>
      </c>
    </row>
    <row r="101" spans="1:21" x14ac:dyDescent="0.3">
      <c r="A101" s="9">
        <v>2</v>
      </c>
      <c r="B101" s="9">
        <v>3</v>
      </c>
      <c r="C101" s="9">
        <v>2</v>
      </c>
      <c r="D101" s="9">
        <v>2</v>
      </c>
      <c r="E101" s="10">
        <v>7</v>
      </c>
      <c r="F101" s="9">
        <v>300</v>
      </c>
      <c r="G101" s="11">
        <v>4</v>
      </c>
      <c r="H101" s="18">
        <v>2</v>
      </c>
      <c r="I101" s="16">
        <v>1</v>
      </c>
      <c r="J101" s="16">
        <v>1</v>
      </c>
      <c r="Q101" s="23">
        <v>62</v>
      </c>
      <c r="R101" s="24">
        <f xml:space="preserve">  SQRT((Table24567[[#This Row],[Giới tính]]-$M$2)^2+(Table24567[[#This Row],[Khu vực]]-$M$3)^2+(Table24567[[#This Row],[Tần suất mua hàng (tháng)]]-$M$4)^2+(Table24567[[#This Row],[Số lượng sản phẩm mỗi đơn]]-$M$5)^2+(Table24567[[#This Row],[Loại sản phẩm quan tâm]]-$M$6)^2+(Table24567[[#This Row],[Giá trị mỗi đơn (Nghìn)]]-$M$7)^2+(Table24567[[#This Row],[Thời gian]]-$M$8)^2)</f>
        <v>74.580898614019347</v>
      </c>
      <c r="S101" s="24">
        <f xml:space="preserve">  SQRT((Table24567[[#This Row],[Giới tính]]-$N$2)^2+(Table24567[[#This Row],[Khu vực]]-$N$3)^2+(Table24567[[#This Row],[Tần suất mua hàng (tháng)]]-$N$4)^2+(Table24567[[#This Row],[Số lượng sản phẩm mỗi đơn]]-$N$5)^2+(Table24567[[#This Row],[Loại sản phẩm quan tâm]]-$N$6)^2+(Table24567[[#This Row],[Giá trị mỗi đơn (Nghìn)]]-$N$7)^2+(Table24567[[#This Row],[Thời gian]]-$N$8)^2)</f>
        <v>161.6004663255456</v>
      </c>
      <c r="T101" s="24">
        <f xml:space="preserve">  SQRT((Table24567[[#This Row],[Giới tính]]-$O$2)^2+(Table24567[[#This Row],[Khu vực]]-$O$3)^2+(Table24567[[#This Row],[Tần suất mua hàng (tháng)]]-$O$4)^2+(Table24567[[#This Row],[Số lượng sản phẩm mỗi đơn]]-$O$5)^2+(Table24567[[#This Row],[Loại sản phẩm quan tâm]]-$O$6)^2+(Table24567[[#This Row],[Giá trị mỗi đơn (Nghìn)]]-$O$7)^2+(Table24567[[#This Row],[Thời gian]]-$O$8)^2)</f>
        <v>533.36769275895631</v>
      </c>
      <c r="U101" s="22">
        <f t="shared" si="3"/>
        <v>1</v>
      </c>
    </row>
  </sheetData>
  <mergeCells count="11">
    <mergeCell ref="X27:Y27"/>
    <mergeCell ref="X28:Y28"/>
    <mergeCell ref="X30:Y30"/>
    <mergeCell ref="X29:Y29"/>
    <mergeCell ref="W25:AB25"/>
    <mergeCell ref="W2:W8"/>
    <mergeCell ref="W9:W15"/>
    <mergeCell ref="W16:W22"/>
    <mergeCell ref="L11:O12"/>
    <mergeCell ref="W24:AB24"/>
    <mergeCell ref="L10:O10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2c50867-af99-425c-99f3-b209ec1cb7b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616FD8DAC8F540B481D81B0C8A651D" ma:contentTypeVersion="14" ma:contentTypeDescription="Create a new document." ma:contentTypeScope="" ma:versionID="4512af71aedd9b021efea7baa45981d2">
  <xsd:schema xmlns:xsd="http://www.w3.org/2001/XMLSchema" xmlns:xs="http://www.w3.org/2001/XMLSchema" xmlns:p="http://schemas.microsoft.com/office/2006/metadata/properties" xmlns:ns3="a2c50867-af99-425c-99f3-b209ec1cb7b9" xmlns:ns4="5a51b05b-591f-4609-945c-ebfd9d54a30e" targetNamespace="http://schemas.microsoft.com/office/2006/metadata/properties" ma:root="true" ma:fieldsID="a061ef0f80a6692c06d7df8b13417f30" ns3:_="" ns4:_="">
    <xsd:import namespace="a2c50867-af99-425c-99f3-b209ec1cb7b9"/>
    <xsd:import namespace="5a51b05b-591f-4609-945c-ebfd9d54a3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50867-af99-425c-99f3-b209ec1cb7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1b05b-591f-4609-945c-ebfd9d54a30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1BA21-6918-4C36-BF3E-F2CA2709BF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49CF81-B4E2-4BAA-A89A-E66BF8B48FEE}">
  <ds:schemaRefs>
    <ds:schemaRef ds:uri="5a51b05b-591f-4609-945c-ebfd9d54a30e"/>
    <ds:schemaRef ds:uri="a2c50867-af99-425c-99f3-b209ec1cb7b9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7972CF2-7BB1-4BC3-8DF3-AD8EFC3398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c50867-af99-425c-99f3-b209ec1cb7b9"/>
    <ds:schemaRef ds:uri="5a51b05b-591f-4609-945c-ebfd9d54a3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Dữ liệu thô</vt:lpstr>
      <vt:lpstr>Tiền xử lý dữ liệu</vt:lpstr>
      <vt:lpstr>Phân cụm lần khởi tạo</vt:lpstr>
      <vt:lpstr>Phân cụm lần 1</vt:lpstr>
      <vt:lpstr>Phân cụm lần 2</vt:lpstr>
      <vt:lpstr>Phân cụm lần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2023-04-09T14:13:01Z</dcterms:created>
  <dcterms:modified xsi:type="dcterms:W3CDTF">2023-04-15T08:40:08Z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0x01010034616FD8DAC8F540B481D81B0C8A651D</vt:lpwstr>
  </property>
</Properties>
</file>